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penev\Downloads\"/>
    </mc:Choice>
  </mc:AlternateContent>
  <xr:revisionPtr revIDLastSave="0" documentId="13_ncr:1_{6BAC4909-C3AD-43BE-AE7B-BCD4AD406B03}" xr6:coauthVersionLast="47" xr6:coauthVersionMax="47" xr10:uidLastSave="{00000000-0000-0000-0000-000000000000}"/>
  <bookViews>
    <workbookView xWindow="12804" yWindow="1476" windowWidth="23040" windowHeight="16320" tabRatio="846"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Input_Sheet_Template!$E$101</definedName>
    <definedName name="acres">Input_Sheet_Template!$E$102</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Sequestration'!#REF!</definedName>
    <definedName name="CCSEqpCap">'Carbon Sequestration'!#REF!</definedName>
    <definedName name="CEPC_Factor_08to05">'Carbon Sequestration'!#REF!</definedName>
    <definedName name="CEPCIinflator">'Capital Costs'!$C$11</definedName>
    <definedName name="Chemical_price_indexes">'HyARC Physical Property Data'!$K$94:$L$123</definedName>
    <definedName name="cmboSelectFeed">"Drop Down 23"</definedName>
    <definedName name="CO2_aprx_indCap">'Carbon Sequestration'!#REF!</definedName>
    <definedName name="CO2_cap_charge_rate">'Carbon Sequestration'!$C$32</definedName>
    <definedName name="CO2_cap_rec">'Carbon Sequestration'!#REF!</definedName>
    <definedName name="CO2_capptonneCO2">'Carbon Sequestration'!#REF!</definedName>
    <definedName name="CO2_Capture_Efficiency">'Carbon Sequestration'!$C$28</definedName>
    <definedName name="CO2_CashFlow_eUse">'Cash Flow Analysis'!$J$133</definedName>
    <definedName name="CO2_ControlSystem">'Carbon Sequestration'!#REF!</definedName>
    <definedName name="CO2_credit">'Carbon Sequestration'!$C$31</definedName>
    <definedName name="CO2_depr_factor">'Carbon Sequestration'!#REF!</definedName>
    <definedName name="CO2_eCost">'Carbon Sequestration'!#REF!</definedName>
    <definedName name="CO2_eCostpY">'Carbon Sequestration'!$J$31</definedName>
    <definedName name="CO2_energyptonneCO2">'Carbon Sequestration'!#REF!</definedName>
    <definedName name="CO2_eUse_kWhpkg">'Carbon Sequestration'!#REF!</definedName>
    <definedName name="CO2_flowrate">'Carbon Sequestration'!$C$23</definedName>
    <definedName name="CO2_flowrate_GTpY">'Carbon Sequestration'!$C$24</definedName>
    <definedName name="CO2_inUse">'Carbon Sequestration'!$B$2</definedName>
    <definedName name="CO2_Location">Lists!$T$4:$T$5</definedName>
    <definedName name="CO2_MaintFactor">'Carbon Sequestration'!#REF!</definedName>
    <definedName name="CO2_Nwells">'Carbon Sequestration'!#REF!</definedName>
    <definedName name="CO2_OandMcost">Input_Sheet_Template!$E$155</definedName>
    <definedName name="CO2_OandMptonneCO2">'Carbon Sequestration'!#REF!</definedName>
    <definedName name="CO2_Pin_psia">'Carbon Sequestration'!$C$33</definedName>
    <definedName name="CO2_PipeDia">'Carbon Sequestration'!#REF!</definedName>
    <definedName name="CO2_PipeElevation">'Carbon Sequestration'!#REF!</definedName>
    <definedName name="CO2_PipeFactor">'Carbon Sequestration'!#REF!</definedName>
    <definedName name="CO2_PipeLength">'Carbon Sequestration'!$C$30</definedName>
    <definedName name="CO2_Pipeline_Temp">'Carbon Sequestration'!$C$34</definedName>
    <definedName name="CO2_Pipeline_Temp_factor">'Carbon Sequestration'!$C$34</definedName>
    <definedName name="CO2_Pump_Eff">'Carbon Sequestration'!#REF!</definedName>
    <definedName name="CO2_seq">Input_Sheet_Template!#REF!</definedName>
    <definedName name="CO2_SurgeTank">'Carbon Sequestration'!#REF!</definedName>
    <definedName name="CO2_Terrain">Lists!$V$4:$V$10</definedName>
    <definedName name="CO2_Terrain_2">Lists!$V$4:$W$10</definedName>
    <definedName name="CO2_Terrain_factor">'Carbon Sequestration'!$C$34</definedName>
    <definedName name="CO2_Value_Defaults">Lists!$Y$4:$Z$14</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Data'!$A$94:$B$123</definedName>
    <definedName name="Delete_As_List">Lists!$A$15:$A$20</definedName>
    <definedName name="depr_cap">Input_Sheet_Template!$E$98</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Sequestration'!#REF!</definedName>
    <definedName name="Det_CO2_seq">'Carbon Sequestration'!$J$26</definedName>
    <definedName name="Det_direct_cap">'Capital Costs'!$F$36</definedName>
    <definedName name="Det_scaled_cap">'Plant Scaling'!$G$27</definedName>
    <definedName name="direct_cap">Input_Sheet_Template!$C$88</definedName>
    <definedName name="DR_Carbon_Sequestration_1">'Carbon Sequestration'!$C$28:$C$40</definedName>
    <definedName name="DR_Carbon_Sequestration_2">'Carbon Sequestration'!$C$30</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Input_Sheet_Template!$E$138:$E$139</definedName>
    <definedName name="Dynamic_NonE_Feed_Total">Input_Sheet_Template!$E$135:$E$138</definedName>
    <definedName name="Dynamic_Utilities_Total">Input_Sheet_Template!$F$78:$F$79</definedName>
    <definedName name="Energy_Feed_List">Lists!$K$12</definedName>
    <definedName name="Energy_Feed_Years">Lists!$K$14</definedName>
    <definedName name="Engin">Input_Sheet_Template!$E$92</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Input_Sheet_Template!$D$75</definedName>
    <definedName name="feedstockIndustrial_Electricity_Usage">Input_Sheet_Template!$E$75</definedName>
    <definedName name="feedstockIndustrial_Natural_Gas_Price">Input_Sheet_Template!$D$77</definedName>
    <definedName name="feedstockIndustrial_Natural_Gas_Usage">Input_Sheet_Template!$E$77</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Input_Sheet_Template!$E$96</definedName>
    <definedName name="fixed">Input_Sheet_Template!$E$123</definedName>
    <definedName name="FTE_cost">Input_Sheet_Template!$E$111</definedName>
    <definedName name="FTEs">Input_Sheet_Template!$E$110</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Input_Sheet_Template!$E$112</definedName>
    <definedName name="land_cost">Input_Sheet_Template!$E$103</definedName>
    <definedName name="lb_to_kg">'Constants and Conversions'!$C$7</definedName>
    <definedName name="licensing">Input_Sheet_Template!$E$115</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Input_Sheet_Template!$E$119</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Sequestration'!#REF!</definedName>
    <definedName name="n_pumps">'Carbon Sequestration'!#REF!</definedName>
    <definedName name="ncf_to_Nm3">'Constants and Conversions'!$C$8</definedName>
    <definedName name="NG_to_CO2Pipeline">'Carbon Sequestration'!#REF!</definedName>
    <definedName name="nominal_irr">'Cash Flow Analysis'!$B$27</definedName>
    <definedName name="non_dep_cap">Input_Sheet_Template!$E$105</definedName>
    <definedName name="non_dep_infl">'Cash Flow Analysis'!$B$52</definedName>
    <definedName name="NPV">'Cash Flow Analysis'!$E$26</definedName>
    <definedName name="operator_profit">Input_Sheet_Template!$E$153</definedName>
    <definedName name="other_fees">Input_Sheet_Template!$E$121</definedName>
    <definedName name="other_fixed">Input_Sheet_Template!$E$122</definedName>
    <definedName name="Other_indirect">Input_Sheet_Template!$E$95</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Input_Sheet_Template!$E$114</definedName>
    <definedName name="overhead_rate">Input_Sheet_Template!$C$113</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Input_Sheet_Template!$E$97</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Input_Sheet_Template!$B$125:$G$160</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Input_Sheet_Template!$E$156</definedName>
    <definedName name="Proc_CO2_taxpYear">Input_Sheet_Template!$E$157</definedName>
    <definedName name="ProcEqpCap">'Plant Scaling'!$E$27</definedName>
    <definedName name="Process_cont">Input_Sheet_Template!$E$93</definedName>
    <definedName name="prod_maint">Input_Sheet_Template!$E$120</definedName>
    <definedName name="Project_cont">Input_Sheet_Template!$E$94</definedName>
    <definedName name="Pump_Eff">'Carbon Sequestration'!#REF!</definedName>
    <definedName name="pump_power">'Carbon Sequestration'!#REF!</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Input_Sheet_Template!$E$118</definedName>
    <definedName name="replace_factor">Input_Sheet_Template!$C$151</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Input_Sheet_Template!$E$152</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Input_Sheet_Template!$E$91</definedName>
    <definedName name="solidwaste_treat">Input_Sheet_Template!$E$150</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ProcessFlow!$BG$85</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Input_Sheet_Template!$A$139</definedName>
    <definedName name="START_NONE_FEED">Input_Sheet_Template!$A$138</definedName>
    <definedName name="START_NONE_TOP">Input_Sheet_Template!$A$135</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Input_Sheet_Template!$E$154</definedName>
    <definedName name="tax_ins_rate">Input_Sheet_Template!$C$116</definedName>
    <definedName name="tax_insurance">Input_Sheet_Template!$E$117</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Data'!$G$94:$H$123</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Data'!$D$94:$E$123</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Input_Sheet_Template!$C$134</definedName>
    <definedName name="TMP_NonE_Feed">Input_Sheet_Template!$C$130</definedName>
    <definedName name="TMP_NonE_StartPrice">Input_Sheet_Template!$C$131</definedName>
    <definedName name="TMP_NonE_StartYrCost">Input_Sheet_Template!$C$133</definedName>
    <definedName name="TMP_NonE_Type">Input_Sheet_Template!$B$130</definedName>
    <definedName name="TMP_NonE_Usage">Input_Sheet_Template!$C$132</definedName>
    <definedName name="TMP_NonE_Usage_txt">Input_Sheet_Template!$B$131</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Input_Sheet_Template!$C$145</definedName>
    <definedName name="total_cap">Input_Sheet_Template!$C$107</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Input_Sheet_Template!$C$143</definedName>
    <definedName name="total_non_energy_byproduct_credit">Input_Sheet_Template!$C$141</definedName>
    <definedName name="Total_Non_Energy_Feed_Cost">Input_Sheet_Template!$C$140</definedName>
    <definedName name="total_other_raw">Input_Sheet_Template!$E$148</definedName>
    <definedName name="total_tax_rate">Input_Sheet_Template!$C$55</definedName>
    <definedName name="total_utilities">Input_Sheet_Template!$C$144</definedName>
    <definedName name="total_var">Input_Sheet_Template!$E$160</definedName>
    <definedName name="upper_capacity_limit">'Plant Scaling'!$C$8</definedName>
    <definedName name="Upstream_CO2_tax">Input_Sheet_Template!$E$158</definedName>
    <definedName name="Upstream_CO2_taxpYear">Input_Sheet_Template!$E$159</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Input_Sheet_Template!$E$147</definedName>
    <definedName name="VAR_NonE_FEED_VALUES">Input_Sheet_Template!$B$130:$D$134</definedName>
    <definedName name="waste_treat">Input_Sheet_Template!$E$149</definedName>
    <definedName name="WorkingCap">Input_Sheet_Template!$C$56</definedName>
    <definedName name="Yes_No">Lists!$C$4:$C$5</definedName>
  </definedNames>
  <calcPr calcId="191029" concurrentManualCount="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38" i="33" l="1"/>
  <c r="E38" i="33" s="1" a="1"/>
  <c r="E38" i="33" s="1"/>
  <c r="E35" i="33" l="1"/>
  <c r="G35" i="33"/>
  <c r="H35" i="33"/>
  <c r="F35" i="33"/>
  <c r="B129" i="18" l="1"/>
  <c r="B128" i="18"/>
  <c r="B39" i="33"/>
  <c r="C148" i="6" l="1"/>
  <c r="C24" i="35"/>
  <c r="C101" i="113"/>
  <c r="C95" i="6" l="1"/>
  <c r="D98" i="113" l="1"/>
  <c r="C149" i="6"/>
  <c r="C135" i="15"/>
  <c r="C134" i="15"/>
  <c r="C132" i="15"/>
  <c r="C131" i="15"/>
  <c r="B135" i="15"/>
  <c r="B134" i="15"/>
  <c r="B132" i="15"/>
  <c r="B131" i="15"/>
  <c r="C106" i="113"/>
  <c r="D105" i="113"/>
  <c r="D104" i="113"/>
  <c r="D103" i="113"/>
  <c r="D101" i="113"/>
  <c r="D100" i="113"/>
  <c r="D99" i="113"/>
  <c r="D97" i="113"/>
  <c r="D96" i="113"/>
  <c r="D95" i="113"/>
  <c r="D94" i="113"/>
  <c r="D93" i="113"/>
  <c r="D92" i="113"/>
  <c r="D91" i="113"/>
  <c r="X82" i="113"/>
  <c r="W82" i="113"/>
  <c r="V82" i="113"/>
  <c r="U82" i="113"/>
  <c r="T82" i="113"/>
  <c r="S82" i="113"/>
  <c r="R82" i="113"/>
  <c r="Q82" i="113"/>
  <c r="P82" i="113"/>
  <c r="O82" i="113"/>
  <c r="N82" i="113"/>
  <c r="M82" i="113"/>
  <c r="L82" i="113"/>
  <c r="K82" i="113"/>
  <c r="J82" i="113"/>
  <c r="I82" i="113"/>
  <c r="H82" i="113"/>
  <c r="G82" i="113"/>
  <c r="F82" i="113"/>
  <c r="E82" i="113"/>
  <c r="D82" i="113"/>
  <c r="C82" i="113"/>
  <c r="X81" i="113"/>
  <c r="W81" i="113"/>
  <c r="V81" i="113"/>
  <c r="U81" i="113"/>
  <c r="T81" i="113"/>
  <c r="S81" i="113"/>
  <c r="R81" i="113"/>
  <c r="Q81" i="113"/>
  <c r="P81" i="113"/>
  <c r="O81" i="113"/>
  <c r="N81" i="113"/>
  <c r="M81" i="113"/>
  <c r="L81" i="113"/>
  <c r="K81" i="113"/>
  <c r="J81" i="113"/>
  <c r="I81" i="113"/>
  <c r="H81" i="113"/>
  <c r="G81" i="113"/>
  <c r="F81" i="113"/>
  <c r="E81" i="113"/>
  <c r="D81" i="113"/>
  <c r="C81" i="113"/>
  <c r="X80" i="113"/>
  <c r="W80" i="113"/>
  <c r="V80" i="113"/>
  <c r="U80" i="113"/>
  <c r="T80" i="113"/>
  <c r="S80" i="113"/>
  <c r="R80" i="113"/>
  <c r="Q80" i="113"/>
  <c r="P80" i="113"/>
  <c r="O80" i="113"/>
  <c r="N80" i="113"/>
  <c r="M80" i="113"/>
  <c r="L80" i="113"/>
  <c r="K80" i="113"/>
  <c r="J80" i="113"/>
  <c r="I80" i="113"/>
  <c r="H80" i="113"/>
  <c r="G80" i="113"/>
  <c r="F80" i="113"/>
  <c r="E80" i="113"/>
  <c r="D80" i="113"/>
  <c r="C80" i="113"/>
  <c r="X79" i="113"/>
  <c r="W79" i="113"/>
  <c r="V79" i="113"/>
  <c r="U79" i="113"/>
  <c r="T79" i="113"/>
  <c r="S79" i="113"/>
  <c r="R79" i="113"/>
  <c r="Q79" i="113"/>
  <c r="P79" i="113"/>
  <c r="O79" i="113"/>
  <c r="N79" i="113"/>
  <c r="M79" i="113"/>
  <c r="L79" i="113"/>
  <c r="K79" i="113"/>
  <c r="J79" i="113"/>
  <c r="I79" i="113"/>
  <c r="H79" i="113"/>
  <c r="G79" i="113"/>
  <c r="F79" i="113"/>
  <c r="E79" i="113"/>
  <c r="D79" i="113"/>
  <c r="C79" i="113"/>
  <c r="X78" i="113"/>
  <c r="W78" i="113"/>
  <c r="V78" i="113"/>
  <c r="U78" i="113"/>
  <c r="T78" i="113"/>
  <c r="S78" i="113"/>
  <c r="R78" i="113"/>
  <c r="Q78" i="113"/>
  <c r="P78" i="113"/>
  <c r="O78" i="113"/>
  <c r="N78" i="113"/>
  <c r="M78" i="113"/>
  <c r="L78" i="113"/>
  <c r="K78" i="113"/>
  <c r="J78" i="113"/>
  <c r="I78" i="113"/>
  <c r="H78" i="113"/>
  <c r="G78" i="113"/>
  <c r="F78" i="113"/>
  <c r="E78" i="113"/>
  <c r="D78" i="113"/>
  <c r="C78" i="113"/>
  <c r="AC77" i="113"/>
  <c r="AB77" i="113"/>
  <c r="X77" i="113"/>
  <c r="W77" i="113"/>
  <c r="V77" i="113"/>
  <c r="U77" i="113"/>
  <c r="T77" i="113"/>
  <c r="S77" i="113"/>
  <c r="R77" i="113"/>
  <c r="W11" i="113" s="1"/>
  <c r="W12" i="113" s="1"/>
  <c r="Q77" i="113"/>
  <c r="P77" i="113"/>
  <c r="O77" i="113"/>
  <c r="N77" i="113"/>
  <c r="M77" i="113"/>
  <c r="L77" i="113"/>
  <c r="K77" i="113"/>
  <c r="J77" i="113"/>
  <c r="I77" i="113"/>
  <c r="H77" i="113"/>
  <c r="G77" i="113"/>
  <c r="F77" i="113"/>
  <c r="E77" i="113"/>
  <c r="D77" i="113"/>
  <c r="C77" i="113"/>
  <c r="X76" i="113"/>
  <c r="W76" i="113"/>
  <c r="V76" i="113"/>
  <c r="U76" i="113"/>
  <c r="T76" i="113"/>
  <c r="S76" i="113"/>
  <c r="R76" i="113"/>
  <c r="Q76" i="113"/>
  <c r="P76" i="113"/>
  <c r="O76" i="113"/>
  <c r="V15" i="113" s="1"/>
  <c r="N76" i="113"/>
  <c r="M76" i="113"/>
  <c r="L76" i="113"/>
  <c r="K76" i="113"/>
  <c r="J76" i="113"/>
  <c r="I76" i="113"/>
  <c r="H76" i="113"/>
  <c r="G76" i="113"/>
  <c r="F76" i="113"/>
  <c r="E76" i="113"/>
  <c r="D76" i="113"/>
  <c r="C76" i="113"/>
  <c r="X75" i="113"/>
  <c r="W75" i="113"/>
  <c r="V75" i="113"/>
  <c r="U75" i="113"/>
  <c r="T75" i="113"/>
  <c r="S75" i="113"/>
  <c r="R75" i="113"/>
  <c r="Q75" i="113"/>
  <c r="P75" i="113"/>
  <c r="O75" i="113"/>
  <c r="N75" i="113"/>
  <c r="M75" i="113"/>
  <c r="L75" i="113"/>
  <c r="K75" i="113"/>
  <c r="J75" i="113"/>
  <c r="I75" i="113"/>
  <c r="H75" i="113"/>
  <c r="G75" i="113"/>
  <c r="F75" i="113"/>
  <c r="E75" i="113"/>
  <c r="D75" i="113"/>
  <c r="C75" i="113"/>
  <c r="AC74" i="113"/>
  <c r="AB74" i="113"/>
  <c r="X74" i="113"/>
  <c r="W74" i="113"/>
  <c r="V74" i="113"/>
  <c r="U74" i="113"/>
  <c r="T74" i="113"/>
  <c r="S74" i="113"/>
  <c r="R74" i="113"/>
  <c r="Q74" i="113"/>
  <c r="P74" i="113"/>
  <c r="O74" i="113"/>
  <c r="N74" i="113"/>
  <c r="M74" i="113"/>
  <c r="L74" i="113"/>
  <c r="K74" i="113"/>
  <c r="J74" i="113"/>
  <c r="I74" i="113"/>
  <c r="H74" i="113"/>
  <c r="G74" i="113"/>
  <c r="F74" i="113"/>
  <c r="E74" i="113"/>
  <c r="D74" i="113"/>
  <c r="C74" i="113"/>
  <c r="AC73" i="113"/>
  <c r="AB73" i="113"/>
  <c r="X73" i="113"/>
  <c r="W73" i="113"/>
  <c r="V73" i="113"/>
  <c r="U73" i="113"/>
  <c r="T73" i="113"/>
  <c r="S73" i="113"/>
  <c r="R73" i="113"/>
  <c r="Q73" i="113"/>
  <c r="P73" i="113"/>
  <c r="O73" i="113"/>
  <c r="N73" i="113"/>
  <c r="M73" i="113"/>
  <c r="L73" i="113"/>
  <c r="K73" i="113"/>
  <c r="J73" i="113"/>
  <c r="I73" i="113"/>
  <c r="H73" i="113"/>
  <c r="G73" i="113"/>
  <c r="F73" i="113"/>
  <c r="E73" i="113"/>
  <c r="D73" i="113"/>
  <c r="C73" i="113"/>
  <c r="AC72" i="113"/>
  <c r="AB72" i="113"/>
  <c r="X72" i="113"/>
  <c r="W72" i="113"/>
  <c r="V72" i="113"/>
  <c r="U72" i="113"/>
  <c r="T72" i="113"/>
  <c r="S72" i="113"/>
  <c r="R72" i="113"/>
  <c r="Q72" i="113"/>
  <c r="P72" i="113"/>
  <c r="O72" i="113"/>
  <c r="N72" i="113"/>
  <c r="M72" i="113"/>
  <c r="L72" i="113"/>
  <c r="K72" i="113"/>
  <c r="J72" i="113"/>
  <c r="I72" i="113"/>
  <c r="H72" i="113"/>
  <c r="G72" i="113"/>
  <c r="F72" i="113"/>
  <c r="E72" i="113"/>
  <c r="D72" i="113"/>
  <c r="C72" i="113"/>
  <c r="X71" i="113"/>
  <c r="W71" i="113"/>
  <c r="V71" i="113"/>
  <c r="U71" i="113"/>
  <c r="T71" i="113"/>
  <c r="S71" i="113"/>
  <c r="R71" i="113"/>
  <c r="Q71" i="113"/>
  <c r="P71" i="113"/>
  <c r="O71" i="113"/>
  <c r="N71" i="113"/>
  <c r="M71" i="113"/>
  <c r="L71" i="113"/>
  <c r="K71" i="113"/>
  <c r="J71" i="113"/>
  <c r="I71" i="113"/>
  <c r="H71" i="113"/>
  <c r="G71" i="113"/>
  <c r="F71" i="113"/>
  <c r="E71" i="113"/>
  <c r="D71" i="113"/>
  <c r="C71" i="113"/>
  <c r="AC70" i="113"/>
  <c r="AB70" i="113"/>
  <c r="X70" i="113"/>
  <c r="W70" i="113"/>
  <c r="V70" i="113"/>
  <c r="U70" i="113"/>
  <c r="T70" i="113"/>
  <c r="S70" i="113"/>
  <c r="R70" i="113"/>
  <c r="Q70" i="113"/>
  <c r="P70" i="113"/>
  <c r="O70" i="113"/>
  <c r="N70" i="113"/>
  <c r="M70" i="113"/>
  <c r="L70" i="113"/>
  <c r="K70" i="113"/>
  <c r="J70" i="113"/>
  <c r="I70" i="113"/>
  <c r="H70" i="113"/>
  <c r="G70" i="113"/>
  <c r="F70" i="113"/>
  <c r="E70" i="113"/>
  <c r="D70" i="113"/>
  <c r="C70" i="113"/>
  <c r="X69" i="113"/>
  <c r="W69" i="113"/>
  <c r="V69" i="113"/>
  <c r="U69" i="113"/>
  <c r="T69" i="113"/>
  <c r="S69" i="113"/>
  <c r="R69" i="113"/>
  <c r="Q69" i="113"/>
  <c r="P69" i="113"/>
  <c r="O69" i="113"/>
  <c r="N69" i="113"/>
  <c r="M69" i="113"/>
  <c r="L69" i="113"/>
  <c r="K69" i="113"/>
  <c r="J69" i="113"/>
  <c r="I69" i="113"/>
  <c r="H69" i="113"/>
  <c r="G69" i="113"/>
  <c r="F69" i="113"/>
  <c r="E69" i="113"/>
  <c r="D69" i="113"/>
  <c r="C69" i="113"/>
  <c r="V22" i="113"/>
  <c r="D137" i="6" s="1"/>
  <c r="V19" i="113"/>
  <c r="V13" i="113"/>
  <c r="V18" i="113" l="1"/>
  <c r="W8" i="113"/>
  <c r="W9" i="113" s="1"/>
  <c r="W10" i="113" s="1"/>
  <c r="V17" i="113"/>
  <c r="V8" i="113"/>
  <c r="V9" i="113" s="1"/>
  <c r="V10" i="113" s="1"/>
  <c r="V20" i="113" s="1"/>
  <c r="E77" i="6" s="1"/>
  <c r="C133" i="15" s="1"/>
  <c r="V7" i="113"/>
  <c r="V11" i="113"/>
  <c r="V12" i="113" s="1"/>
  <c r="V6" i="113"/>
  <c r="V14" i="113"/>
  <c r="V16" i="113" s="1"/>
  <c r="D106" i="113"/>
  <c r="V23" i="113" s="1"/>
  <c r="V24" i="113" s="1"/>
  <c r="E75" i="6" s="1"/>
  <c r="B133" i="15" s="1"/>
  <c r="C28" i="33" l="1"/>
  <c r="F17" i="34" s="1"/>
  <c r="P134" i="15"/>
  <c r="P133" i="15"/>
  <c r="P131" i="15"/>
  <c r="B20" i="24" l="1"/>
  <c r="B21" i="24"/>
  <c r="B22" i="24"/>
  <c r="B23" i="24"/>
  <c r="C8" i="24"/>
  <c r="C7" i="24"/>
  <c r="P132" i="15" l="1"/>
  <c r="C68" i="6"/>
  <c r="K119" i="18" l="1"/>
  <c r="K120" i="18" s="1"/>
  <c r="K121" i="18" s="1"/>
  <c r="K122" i="18" s="1"/>
  <c r="K123" i="18" s="1"/>
  <c r="D118" i="18"/>
  <c r="D119" i="18" l="1"/>
  <c r="D120" i="18" s="1"/>
  <c r="D121" i="18" s="1"/>
  <c r="D122" i="18" s="1"/>
  <c r="A14" i="13"/>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1" i="12"/>
  <c r="C140" i="12"/>
  <c r="C139" i="12"/>
  <c r="C138" i="12"/>
  <c r="C137"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V32" i="119" l="1"/>
  <c r="V33" i="119" l="1"/>
  <c r="B18" i="17" l="1"/>
  <c r="C141" i="6"/>
  <c r="C3" i="24"/>
  <c r="C36" i="35"/>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1" i="6"/>
  <c r="E111" i="6" s="1"/>
  <c r="C12" i="35"/>
  <c r="F13" i="24"/>
  <c r="F14" i="24"/>
  <c r="F15" i="24"/>
  <c r="F16" i="24"/>
  <c r="F17" i="24"/>
  <c r="F18" i="24"/>
  <c r="F19" i="24"/>
  <c r="F20" i="24"/>
  <c r="F21" i="24"/>
  <c r="F22" i="24"/>
  <c r="F23" i="24"/>
  <c r="F24" i="24"/>
  <c r="F25" i="24"/>
  <c r="F26" i="24"/>
  <c r="E90" i="6"/>
  <c r="C90" i="6"/>
  <c r="E146" i="6"/>
  <c r="C146" i="6"/>
  <c r="E109" i="6"/>
  <c r="C109" i="6"/>
  <c r="E100" i="6"/>
  <c r="C100" i="6"/>
  <c r="C9" i="35"/>
  <c r="B15" i="24"/>
  <c r="B16" i="24"/>
  <c r="B17" i="24"/>
  <c r="B18" i="24"/>
  <c r="B19" i="24"/>
  <c r="C130" i="6"/>
  <c r="B131"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2"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B30" i="15"/>
  <c r="I76" i="18"/>
  <c r="C7" i="5"/>
  <c r="B14" i="24"/>
  <c r="B13" i="24"/>
  <c r="B133"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B186" i="15" l="1"/>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1" i="6"/>
  <c r="E101"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6" i="6"/>
  <c r="P5" i="19"/>
  <c r="AA94" i="12"/>
  <c r="AP34" i="12"/>
  <c r="AJ98" i="12"/>
  <c r="AR94" i="12"/>
  <c r="AE34" i="12"/>
  <c r="AE98" i="12"/>
  <c r="AT94" i="12"/>
  <c r="BD94" i="12"/>
  <c r="AU94" i="12"/>
  <c r="AI94" i="12"/>
  <c r="AS94" i="12"/>
  <c r="T98" i="12"/>
  <c r="N18" i="12"/>
  <c r="D92"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3"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4"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5" i="6"/>
  <c r="E95" i="6" s="1"/>
  <c r="D28" i="35"/>
  <c r="D33" i="35"/>
  <c r="F33" i="35" s="1"/>
  <c r="D18" i="35"/>
  <c r="D91" i="6"/>
  <c r="D24" i="35"/>
  <c r="C21" i="24" s="1"/>
  <c r="H21" i="24" s="1"/>
  <c r="D94"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5" i="6"/>
  <c r="I17" i="12"/>
  <c r="Z34" i="12"/>
  <c r="AM12" i="12"/>
  <c r="BN12" i="12"/>
  <c r="K17" i="12"/>
  <c r="T66" i="12"/>
  <c r="H12" i="12"/>
  <c r="M12" i="12"/>
  <c r="D96" i="6"/>
  <c r="E96"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97" i="6"/>
  <c r="D158"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81" i="15"/>
  <c r="AX380" i="11" l="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1"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67" i="6"/>
  <c r="D281" i="15"/>
  <c r="C282" i="15"/>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F97" i="34"/>
  <c r="H27" i="24"/>
  <c r="C27"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4"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M85" i="15" s="1"/>
  <c r="AF85" i="15"/>
  <c r="A69" i="14"/>
  <c r="H85" i="15"/>
  <c r="W85" i="15"/>
  <c r="A117" i="14"/>
  <c r="C117" i="14" s="1"/>
  <c r="L85" i="15"/>
  <c r="C86" i="15"/>
  <c r="A118" i="14" s="1"/>
  <c r="C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F34" i="13"/>
  <c r="B35" i="13"/>
  <c r="B42" i="17"/>
  <c r="C41" i="17"/>
  <c r="A159" i="15"/>
  <c r="A206" i="15" s="1"/>
  <c r="A38" i="17"/>
  <c r="A86" i="15"/>
  <c r="E85" i="15"/>
  <c r="P158" i="15"/>
  <c r="Q158" i="15"/>
  <c r="I158" i="15"/>
  <c r="V158" i="15"/>
  <c r="L158" i="15"/>
  <c r="H158" i="15"/>
  <c r="U158" i="15"/>
  <c r="M158" i="15"/>
  <c r="T158" i="15"/>
  <c r="N158" i="15"/>
  <c r="R158" i="15"/>
  <c r="E158" i="15"/>
  <c r="D158" i="15"/>
  <c r="A71" i="14" l="1"/>
  <c r="C88" i="15"/>
  <c r="D88" i="15" s="1"/>
  <c r="M88" i="15" s="1"/>
  <c r="B89" i="15"/>
  <c r="A38" i="13" s="1"/>
  <c r="D87" i="15"/>
  <c r="W87" i="15"/>
  <c r="A119" i="14"/>
  <c r="C119" i="14" s="1"/>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AF88" i="15" l="1"/>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121" i="14"/>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C122" i="14"/>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C123" i="14"/>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C124" i="14"/>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125" i="14"/>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C126" i="14"/>
  <c r="C127" i="14"/>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128" i="14"/>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C129" i="14"/>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C130" i="14"/>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L105" i="15"/>
  <c r="W105" i="15"/>
  <c r="H105" i="15"/>
  <c r="AF105" i="15"/>
  <c r="D105" i="15"/>
  <c r="M105" i="15" s="1"/>
  <c r="C106" i="15"/>
  <c r="B111" i="15"/>
  <c r="S110" i="15"/>
  <c r="B54" i="13"/>
  <c r="F53" i="13"/>
  <c r="C109" i="15"/>
  <c r="Q109" i="15" s="1"/>
  <c r="C131" i="14"/>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F54" i="13"/>
  <c r="Z109" i="15"/>
  <c r="W109" i="15"/>
  <c r="K109" i="15"/>
  <c r="A143" i="14"/>
  <c r="L109" i="15"/>
  <c r="AF109" i="15"/>
  <c r="C110" i="15"/>
  <c r="Q110" i="15" s="1"/>
  <c r="AE109" i="15"/>
  <c r="H109" i="15"/>
  <c r="D109" i="15"/>
  <c r="M109" i="15" s="1"/>
  <c r="C132" i="14"/>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C133" i="14"/>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D233" i="15"/>
  <c r="I34" i="34" s="1"/>
  <c r="L87" i="15"/>
  <c r="M87" i="15"/>
  <c r="I48" i="119"/>
  <c r="H48" i="119"/>
  <c r="G48" i="119"/>
  <c r="E48" i="119"/>
  <c r="C52" i="6" s="1"/>
  <c r="D48" i="119"/>
  <c r="C26" i="6" s="1"/>
  <c r="C48" i="119"/>
  <c r="C25" i="6" s="1"/>
  <c r="C29" i="33" s="1"/>
  <c r="F48" i="119"/>
  <c r="B22" i="15" l="1"/>
  <c r="C3" i="119"/>
  <c r="C199" i="119" s="1"/>
  <c r="B179" i="15"/>
  <c r="B169" i="15"/>
  <c r="B139" i="15"/>
  <c r="B168" i="15"/>
  <c r="B144" i="15"/>
  <c r="B143" i="15"/>
  <c r="B180" i="15"/>
  <c r="B161" i="15"/>
  <c r="B173" i="15"/>
  <c r="B172" i="15"/>
  <c r="B162" i="15"/>
  <c r="B181" i="15"/>
  <c r="B164" i="15"/>
  <c r="B146" i="15"/>
  <c r="B167" i="15"/>
  <c r="B178" i="15"/>
  <c r="B153" i="15"/>
  <c r="B156" i="15"/>
  <c r="B142" i="15"/>
  <c r="B176" i="15"/>
  <c r="B151" i="15"/>
  <c r="B150" i="15"/>
  <c r="B165" i="15"/>
  <c r="B159" i="15"/>
  <c r="B163" i="15"/>
  <c r="B166" i="15"/>
  <c r="B147" i="15"/>
  <c r="B149" i="15"/>
  <c r="B141" i="15"/>
  <c r="X59" i="15" l="1"/>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40" i="15"/>
  <c r="B171" i="15"/>
  <c r="B155" i="15"/>
  <c r="B158" i="15"/>
  <c r="B148" i="15"/>
  <c r="B157" i="15"/>
  <c r="B175" i="15"/>
  <c r="B170" i="15"/>
  <c r="B152" i="15"/>
  <c r="B145" i="15"/>
  <c r="B174" i="15"/>
  <c r="B160" i="15"/>
  <c r="B154" i="15"/>
  <c r="B177" i="15"/>
  <c r="C32" i="33" l="1"/>
  <c r="W116" i="15"/>
  <c r="D37" i="14"/>
  <c r="G37" i="14"/>
  <c r="E37" i="14"/>
  <c r="W115" i="15"/>
  <c r="F37" i="14"/>
  <c r="C37" i="14"/>
  <c r="H37" i="14"/>
  <c r="E25" i="15" s="1"/>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L103" i="119" l="1"/>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5"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5" i="15" l="1"/>
  <c r="Z106" i="15" l="1"/>
  <c r="C133" i="6" l="1"/>
  <c r="C27" i="6"/>
  <c r="C28" i="6" s="1"/>
  <c r="B20" i="15"/>
  <c r="B21" i="15" s="1"/>
  <c r="C4" i="119"/>
  <c r="C69" i="6"/>
  <c r="C4" i="24"/>
  <c r="F75" i="6" l="1"/>
  <c r="F77" i="6"/>
  <c r="E137" i="6"/>
  <c r="C140" i="6" s="1"/>
  <c r="C144" i="6" s="1"/>
  <c r="E26" i="24"/>
  <c r="G26" i="24" s="1"/>
  <c r="E16" i="24"/>
  <c r="G16" i="24" s="1"/>
  <c r="E24" i="24"/>
  <c r="G24" i="24" s="1"/>
  <c r="D153" i="6"/>
  <c r="E17" i="24"/>
  <c r="G17" i="24" s="1"/>
  <c r="E21" i="24"/>
  <c r="G21" i="24" s="1"/>
  <c r="D152" i="6"/>
  <c r="D147" i="6"/>
  <c r="E147" i="6" s="1"/>
  <c r="D154" i="6"/>
  <c r="E15" i="24"/>
  <c r="G15" i="24" s="1"/>
  <c r="E22" i="24"/>
  <c r="G22" i="24" s="1"/>
  <c r="D150" i="6"/>
  <c r="E150" i="6" s="1"/>
  <c r="E14" i="24"/>
  <c r="G14" i="24" s="1"/>
  <c r="D148" i="6"/>
  <c r="E148" i="6" s="1"/>
  <c r="B57" i="15" s="1"/>
  <c r="D149" i="6"/>
  <c r="E149" i="6" s="1"/>
  <c r="D110" i="6"/>
  <c r="E110" i="6" s="1"/>
  <c r="E112" i="6" s="1"/>
  <c r="E114" i="6" s="1"/>
  <c r="D121" i="6"/>
  <c r="E121" i="6" s="1"/>
  <c r="E13" i="24"/>
  <c r="E25" i="24"/>
  <c r="G25" i="24" s="1"/>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G231" i="15" l="1"/>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27" i="24"/>
  <c r="G13" i="24"/>
  <c r="G27"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H232" i="15"/>
  <c r="N232" i="15"/>
  <c r="M232" i="15"/>
  <c r="B232" i="15"/>
  <c r="B233" i="15" s="1"/>
  <c r="I32" i="34" s="1"/>
  <c r="I232" i="15"/>
  <c r="G232" i="15"/>
  <c r="G233" i="15" s="1"/>
  <c r="I38" i="34" s="1"/>
  <c r="C92" i="6" l="1"/>
  <c r="C97" i="6"/>
  <c r="C94" i="6"/>
  <c r="C91" i="6"/>
  <c r="C93" i="6"/>
  <c r="D119" i="6"/>
  <c r="E119" i="6" s="1"/>
  <c r="D118" i="6"/>
  <c r="E118" i="6" s="1"/>
  <c r="D120" i="6"/>
  <c r="E120" i="6" s="1"/>
  <c r="D102" i="6"/>
  <c r="E102" i="6" s="1"/>
  <c r="E103" i="6" s="1"/>
  <c r="E105" i="6" s="1"/>
  <c r="B52" i="15" s="1"/>
  <c r="K65" i="15" s="1"/>
  <c r="D115" i="6"/>
  <c r="E115" i="6" s="1"/>
  <c r="D122" i="6"/>
  <c r="E122" i="6" s="1"/>
  <c r="K114" i="15" l="1"/>
  <c r="K115" i="15"/>
  <c r="K116" i="15"/>
  <c r="K117" i="15" s="1"/>
  <c r="Q48" i="119" s="1"/>
  <c r="E162" i="119" s="1"/>
  <c r="F18" i="17" l="1"/>
  <c r="D147" i="119" l="1"/>
  <c r="D107" i="119" l="1"/>
  <c r="C198" i="119" l="1"/>
  <c r="E208" i="119" s="1"/>
  <c r="W29" i="119" l="1"/>
  <c r="W22" i="119"/>
  <c r="W15" i="119"/>
  <c r="W21" i="119"/>
  <c r="W18" i="119"/>
  <c r="W26" i="119"/>
  <c r="W25" i="119"/>
  <c r="W16" i="119"/>
  <c r="W20" i="119"/>
  <c r="W17" i="119"/>
  <c r="W23" i="119"/>
  <c r="W24" i="119"/>
  <c r="W28" i="119"/>
  <c r="W31" i="119"/>
  <c r="W32" i="119"/>
  <c r="W33" i="119"/>
  <c r="W19" i="119"/>
  <c r="E218" i="119"/>
  <c r="W27" i="119"/>
  <c r="W30"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3" i="6" s="1"/>
  <c r="F33" i="34"/>
  <c r="C164" i="15"/>
  <c r="C166" i="15"/>
  <c r="C146" i="15"/>
  <c r="C161" i="15"/>
  <c r="C170" i="15"/>
  <c r="C149" i="15"/>
  <c r="C153" i="15"/>
  <c r="C142" i="15"/>
  <c r="C165" i="15"/>
  <c r="C162" i="15"/>
  <c r="C147" i="15"/>
  <c r="C152" i="15"/>
  <c r="C171" i="15"/>
  <c r="C151" i="15"/>
  <c r="C150" i="15"/>
  <c r="C141" i="15"/>
  <c r="C177" i="15"/>
  <c r="C144" i="15"/>
  <c r="C173" i="15"/>
  <c r="C145" i="15"/>
  <c r="C168" i="15"/>
  <c r="C143" i="15"/>
  <c r="C174" i="15"/>
  <c r="C180" i="15"/>
  <c r="C179" i="15"/>
  <c r="C176" i="15"/>
  <c r="C155" i="15"/>
  <c r="C181" i="15"/>
  <c r="C156" i="15"/>
  <c r="C169" i="15"/>
  <c r="C175" i="15"/>
  <c r="C139" i="15"/>
  <c r="C154" i="15"/>
  <c r="C172" i="15"/>
  <c r="C158" i="15"/>
  <c r="C159" i="15"/>
  <c r="C157" i="15"/>
  <c r="C160" i="15"/>
  <c r="C178" i="15"/>
  <c r="C163" i="15"/>
  <c r="C167" i="15"/>
  <c r="C140" i="15"/>
  <c r="C148" i="15"/>
  <c r="G218" i="119" l="1"/>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87" i="34" s="1"/>
  <c r="D62" i="34"/>
  <c r="E62" i="34"/>
  <c r="C62" i="34"/>
  <c r="D33" i="34"/>
  <c r="D111" i="34"/>
  <c r="E111" i="34"/>
  <c r="C53" i="34"/>
  <c r="C111" i="34"/>
  <c r="F85" i="34"/>
  <c r="F86" i="34" s="1"/>
  <c r="C22" i="33" l="1"/>
  <c r="D86" i="34"/>
  <c r="G85" i="34"/>
  <c r="G86" i="34" s="1"/>
  <c r="F111" i="34"/>
  <c r="C23" i="33" l="1"/>
  <c r="C24" i="33" s="1"/>
  <c r="D36" i="33" s="1"/>
  <c r="C21" i="33"/>
  <c r="D37" i="33" l="1"/>
  <c r="F38" i="33"/>
  <c r="H38" i="33" s="1" a="1"/>
  <c r="H38" i="33" s="1"/>
  <c r="D39" i="33" l="1"/>
  <c r="E37" i="33" a="1"/>
  <c r="E37" i="33" s="1"/>
  <c r="E36" i="33" a="1"/>
  <c r="E36" i="33" s="1"/>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F36" i="33" l="1"/>
  <c r="G36" i="33" a="1"/>
  <c r="G36" i="33" s="1"/>
  <c r="G37" i="33" a="1"/>
  <c r="G37" i="33" s="1"/>
  <c r="F37" i="33"/>
  <c r="H37" i="33" s="1" a="1"/>
  <c r="H37" i="33" s="1"/>
  <c r="G20" i="34" s="1"/>
  <c r="E39" i="33"/>
  <c r="H36" i="33" l="1" a="1"/>
  <c r="H36" i="33" s="1"/>
  <c r="G19" i="34" s="1"/>
  <c r="F39" i="33"/>
  <c r="E155" i="6" s="1"/>
  <c r="G39" i="33"/>
  <c r="H19" i="34"/>
  <c r="H20" i="34"/>
  <c r="J131" i="15"/>
  <c r="J132" i="15" s="1"/>
  <c r="J136" i="15" s="1"/>
  <c r="F42" i="34"/>
  <c r="D88" i="34"/>
  <c r="H39" i="33" l="1" a="1"/>
  <c r="H39" i="33" s="1"/>
  <c r="B58" i="15"/>
  <c r="E92" i="6"/>
  <c r="E97" i="6"/>
  <c r="E91" i="6"/>
  <c r="G22" i="34"/>
  <c r="E93" i="6"/>
  <c r="J135" i="15"/>
  <c r="B42" i="34"/>
  <c r="B71" i="34" s="1"/>
  <c r="J185" i="15"/>
  <c r="J137" i="15"/>
  <c r="J161" i="15"/>
  <c r="H22" i="34" l="1"/>
  <c r="E94" i="6"/>
  <c r="B120" i="34"/>
  <c r="B105" i="34"/>
  <c r="G42" i="34"/>
  <c r="H42" i="34"/>
  <c r="E42" i="34"/>
  <c r="R87" i="15"/>
  <c r="J208" i="15"/>
  <c r="J139" i="15"/>
  <c r="J165" i="15"/>
  <c r="J159" i="15"/>
  <c r="J173" i="15"/>
  <c r="J147" i="15"/>
  <c r="J152" i="15"/>
  <c r="J176" i="15"/>
  <c r="J148" i="15"/>
  <c r="J155" i="15"/>
  <c r="J172" i="15"/>
  <c r="J180" i="15"/>
  <c r="J170" i="15"/>
  <c r="J154" i="15"/>
  <c r="J146" i="15"/>
  <c r="J171" i="15"/>
  <c r="J174" i="15"/>
  <c r="J141" i="15"/>
  <c r="J178" i="15"/>
  <c r="J151" i="15"/>
  <c r="J150" i="15"/>
  <c r="J160" i="15"/>
  <c r="J157" i="15"/>
  <c r="J163" i="15"/>
  <c r="J156" i="15"/>
  <c r="J143" i="15"/>
  <c r="J153" i="15"/>
  <c r="J162" i="15"/>
  <c r="J158" i="15"/>
  <c r="J179" i="15"/>
  <c r="J181" i="15"/>
  <c r="J164" i="15"/>
  <c r="J166" i="15"/>
  <c r="J175" i="15"/>
  <c r="J168" i="15"/>
  <c r="J144" i="15"/>
  <c r="J140" i="15"/>
  <c r="J145" i="15"/>
  <c r="J142" i="15"/>
  <c r="J167" i="15"/>
  <c r="J169" i="15"/>
  <c r="J177" i="15"/>
  <c r="J149" i="15"/>
  <c r="E98" i="6" l="1"/>
  <c r="G56" i="17" s="1"/>
  <c r="H56" i="17" s="1"/>
  <c r="I106" i="15" s="1"/>
  <c r="B90" i="14" s="1"/>
  <c r="R71" i="15"/>
  <c r="J192" i="15"/>
  <c r="R74" i="15"/>
  <c r="J195" i="15"/>
  <c r="J209" i="15"/>
  <c r="R88" i="15"/>
  <c r="J205" i="15"/>
  <c r="R84" i="15"/>
  <c r="J189" i="15"/>
  <c r="R68" i="15"/>
  <c r="R99" i="15"/>
  <c r="J220" i="15"/>
  <c r="R98" i="15"/>
  <c r="J219" i="15"/>
  <c r="R79" i="15"/>
  <c r="J200" i="15"/>
  <c r="J197" i="15"/>
  <c r="R76" i="15"/>
  <c r="J217" i="15"/>
  <c r="R96" i="15"/>
  <c r="J203" i="15"/>
  <c r="R82" i="15"/>
  <c r="J222" i="15"/>
  <c r="R101" i="15"/>
  <c r="R89" i="15"/>
  <c r="J210" i="15"/>
  <c r="R83" i="15"/>
  <c r="J204" i="15"/>
  <c r="R105" i="15"/>
  <c r="J226" i="15"/>
  <c r="R92" i="15"/>
  <c r="J213" i="15"/>
  <c r="J212" i="15"/>
  <c r="R91" i="15"/>
  <c r="J214" i="15"/>
  <c r="R93" i="15"/>
  <c r="J193" i="15"/>
  <c r="R72" i="15"/>
  <c r="J215" i="15"/>
  <c r="R94" i="15"/>
  <c r="R73" i="15"/>
  <c r="J194" i="15"/>
  <c r="R103" i="15"/>
  <c r="J224" i="15"/>
  <c r="R69" i="15"/>
  <c r="J190" i="15"/>
  <c r="J221" i="15"/>
  <c r="R100" i="15"/>
  <c r="R102" i="15"/>
  <c r="J223" i="15"/>
  <c r="J218" i="15"/>
  <c r="R97" i="15"/>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D105" i="34"/>
  <c r="E83" i="34" s="1"/>
  <c r="E84" i="34" s="1"/>
  <c r="C105" i="34"/>
  <c r="D83" i="34" s="1"/>
  <c r="E105" i="34"/>
  <c r="F83" i="34" s="1"/>
  <c r="F84" i="34" s="1"/>
  <c r="C42" i="34"/>
  <c r="C55" i="34" s="1"/>
  <c r="D52" i="34" s="1"/>
  <c r="G43" i="17" l="1"/>
  <c r="H43" i="17" s="1"/>
  <c r="I93" i="15" s="1"/>
  <c r="B77" i="14" s="1"/>
  <c r="F77" i="14" s="1"/>
  <c r="G55" i="17"/>
  <c r="H55" i="17" s="1"/>
  <c r="I105" i="15" s="1"/>
  <c r="B89" i="14" s="1"/>
  <c r="D89" i="14" s="1"/>
  <c r="G26" i="17"/>
  <c r="H26" i="17" s="1"/>
  <c r="I76" i="15" s="1"/>
  <c r="B60" i="14" s="1"/>
  <c r="L60" i="14" s="1"/>
  <c r="G25" i="17"/>
  <c r="H25" i="17" s="1"/>
  <c r="I75" i="15" s="1"/>
  <c r="B59" i="14" s="1"/>
  <c r="D59" i="14" s="1"/>
  <c r="G30" i="17"/>
  <c r="H30" i="17" s="1"/>
  <c r="I80" i="15" s="1"/>
  <c r="B64" i="14" s="1"/>
  <c r="T64" i="14" s="1"/>
  <c r="G42" i="17"/>
  <c r="H42" i="17" s="1"/>
  <c r="I92" i="15" s="1"/>
  <c r="B76" i="14" s="1"/>
  <c r="M76" i="14" s="1"/>
  <c r="C107" i="6"/>
  <c r="C15" i="34" s="1"/>
  <c r="G41" i="17"/>
  <c r="H41" i="17" s="1"/>
  <c r="I91" i="15" s="1"/>
  <c r="B75" i="14" s="1"/>
  <c r="R75" i="14" s="1"/>
  <c r="G54" i="17"/>
  <c r="H54" i="17" s="1"/>
  <c r="I104" i="15" s="1"/>
  <c r="B88" i="14" s="1"/>
  <c r="D88" i="14" s="1"/>
  <c r="G47" i="17"/>
  <c r="H47" i="17" s="1"/>
  <c r="I97" i="15" s="1"/>
  <c r="B81" i="14" s="1"/>
  <c r="D81" i="14" s="1"/>
  <c r="G39" i="17"/>
  <c r="H39" i="17" s="1"/>
  <c r="I89" i="15" s="1"/>
  <c r="B73" i="14" s="1"/>
  <c r="L73" i="14" s="1"/>
  <c r="G52" i="17"/>
  <c r="H52" i="17" s="1"/>
  <c r="I102" i="15" s="1"/>
  <c r="B86" i="14" s="1"/>
  <c r="H86" i="14" s="1"/>
  <c r="G48" i="17"/>
  <c r="H48" i="17" s="1"/>
  <c r="I98" i="15" s="1"/>
  <c r="B82" i="14" s="1"/>
  <c r="L82" i="14" s="1"/>
  <c r="G40" i="17"/>
  <c r="H40" i="17" s="1"/>
  <c r="I90" i="15" s="1"/>
  <c r="B74" i="14" s="1"/>
  <c r="O74" i="14" s="1"/>
  <c r="G28" i="17"/>
  <c r="H28" i="17" s="1"/>
  <c r="I78" i="15" s="1"/>
  <c r="B62" i="14" s="1"/>
  <c r="G62" i="14" s="1"/>
  <c r="G35" i="17"/>
  <c r="H35" i="17" s="1"/>
  <c r="I85" i="15" s="1"/>
  <c r="B69" i="14" s="1"/>
  <c r="I69" i="14" s="1"/>
  <c r="G53" i="17"/>
  <c r="H53" i="17" s="1"/>
  <c r="I103" i="15" s="1"/>
  <c r="B87" i="14" s="1"/>
  <c r="D87" i="14" s="1"/>
  <c r="G24" i="17"/>
  <c r="H24" i="17" s="1"/>
  <c r="I74" i="15" s="1"/>
  <c r="B58" i="14" s="1"/>
  <c r="E58" i="14" s="1"/>
  <c r="G22" i="17"/>
  <c r="H22" i="17" s="1"/>
  <c r="I72" i="15" s="1"/>
  <c r="B56" i="14" s="1"/>
  <c r="K56" i="14" s="1"/>
  <c r="G31" i="17"/>
  <c r="H31" i="17" s="1"/>
  <c r="I81" i="15" s="1"/>
  <c r="B65" i="14" s="1"/>
  <c r="R65" i="14" s="1"/>
  <c r="G20" i="17"/>
  <c r="H20" i="17" s="1"/>
  <c r="I70" i="15" s="1"/>
  <c r="B54" i="14" s="1"/>
  <c r="Q54" i="14" s="1"/>
  <c r="G36" i="17"/>
  <c r="H36" i="17" s="1"/>
  <c r="I86" i="15" s="1"/>
  <c r="B70" i="14" s="1"/>
  <c r="V70" i="14" s="1"/>
  <c r="G46" i="17"/>
  <c r="H46" i="17" s="1"/>
  <c r="I96" i="15" s="1"/>
  <c r="B80" i="14" s="1"/>
  <c r="N80" i="14" s="1"/>
  <c r="G57" i="17"/>
  <c r="H57" i="17" s="1"/>
  <c r="I107" i="15" s="1"/>
  <c r="B91" i="14" s="1"/>
  <c r="D91" i="14" s="1"/>
  <c r="G51" i="17"/>
  <c r="H51" i="17" s="1"/>
  <c r="I101" i="15" s="1"/>
  <c r="B85" i="14" s="1"/>
  <c r="L85" i="14" s="1"/>
  <c r="G49" i="17"/>
  <c r="H49" i="17" s="1"/>
  <c r="I99" i="15" s="1"/>
  <c r="B83" i="14" s="1"/>
  <c r="G83" i="14" s="1"/>
  <c r="G32" i="17"/>
  <c r="H32" i="17" s="1"/>
  <c r="I82" i="15" s="1"/>
  <c r="B66" i="14" s="1"/>
  <c r="K66" i="14" s="1"/>
  <c r="G23" i="17"/>
  <c r="H23" i="17" s="1"/>
  <c r="I73" i="15" s="1"/>
  <c r="B57" i="14" s="1"/>
  <c r="S57" i="14" s="1"/>
  <c r="G45" i="17"/>
  <c r="H45" i="17" s="1"/>
  <c r="I95" i="15" s="1"/>
  <c r="B79" i="14" s="1"/>
  <c r="W79" i="14" s="1"/>
  <c r="G44" i="17"/>
  <c r="H44" i="17" s="1"/>
  <c r="I94" i="15" s="1"/>
  <c r="B78" i="14" s="1"/>
  <c r="G78" i="14" s="1"/>
  <c r="G29" i="17"/>
  <c r="H29" i="17" s="1"/>
  <c r="I79" i="15" s="1"/>
  <c r="B63" i="14" s="1"/>
  <c r="K63" i="14" s="1"/>
  <c r="G18" i="17"/>
  <c r="H18" i="17" s="1"/>
  <c r="I68" i="15" s="1"/>
  <c r="G50" i="17"/>
  <c r="H50" i="17" s="1"/>
  <c r="I100" i="15" s="1"/>
  <c r="B84" i="14" s="1"/>
  <c r="G84" i="14" s="1"/>
  <c r="G27" i="17"/>
  <c r="H27" i="17" s="1"/>
  <c r="I77" i="15" s="1"/>
  <c r="B61" i="14" s="1"/>
  <c r="F61" i="14" s="1"/>
  <c r="G19" i="17"/>
  <c r="H19" i="17" s="1"/>
  <c r="I69" i="15" s="1"/>
  <c r="B53" i="14" s="1"/>
  <c r="C53" i="14" s="1"/>
  <c r="G34" i="17"/>
  <c r="H34" i="17" s="1"/>
  <c r="I84" i="15" s="1"/>
  <c r="B68" i="14" s="1"/>
  <c r="J68" i="14" s="1"/>
  <c r="G37" i="17"/>
  <c r="H37" i="17" s="1"/>
  <c r="I87" i="15" s="1"/>
  <c r="B71" i="14" s="1"/>
  <c r="U71" i="14" s="1"/>
  <c r="G21" i="17"/>
  <c r="H21" i="17" s="1"/>
  <c r="I71" i="15" s="1"/>
  <c r="B55" i="14" s="1"/>
  <c r="J55" i="14" s="1"/>
  <c r="G38" i="17"/>
  <c r="H38" i="17" s="1"/>
  <c r="I88" i="15" s="1"/>
  <c r="B72" i="14" s="1"/>
  <c r="Q72" i="14" s="1"/>
  <c r="G33" i="17"/>
  <c r="H33" i="17" s="1"/>
  <c r="I83" i="15" s="1"/>
  <c r="B67" i="14" s="1"/>
  <c r="C67" i="14" s="1"/>
  <c r="N90" i="14"/>
  <c r="W90" i="14"/>
  <c r="S90" i="14"/>
  <c r="P90" i="14"/>
  <c r="J90" i="14"/>
  <c r="G90" i="14"/>
  <c r="Q90" i="14"/>
  <c r="K90" i="14"/>
  <c r="V90" i="14"/>
  <c r="F90" i="14"/>
  <c r="T90" i="14"/>
  <c r="M90" i="14"/>
  <c r="C90" i="14"/>
  <c r="D90" i="14"/>
  <c r="I90" i="14"/>
  <c r="U90" i="14"/>
  <c r="R90" i="14"/>
  <c r="H90" i="14"/>
  <c r="E90" i="14"/>
  <c r="O90" i="14"/>
  <c r="L90" i="14"/>
  <c r="J231" i="15"/>
  <c r="J232" i="15" s="1"/>
  <c r="J233" i="15" s="1"/>
  <c r="R114" i="15"/>
  <c r="R116" i="15"/>
  <c r="R117" i="15" s="1"/>
  <c r="V48" i="119" s="1"/>
  <c r="E167" i="119" s="1"/>
  <c r="R115" i="15"/>
  <c r="B125" i="15" s="1"/>
  <c r="E120" i="34"/>
  <c r="E121" i="34" s="1"/>
  <c r="F77" i="34" s="1"/>
  <c r="D42" i="34"/>
  <c r="D71" i="34"/>
  <c r="E89" i="34"/>
  <c r="E90" i="34" s="1"/>
  <c r="D120" i="34"/>
  <c r="D121" i="34" s="1"/>
  <c r="E77" i="34" s="1"/>
  <c r="C120" i="34"/>
  <c r="C121" i="34" s="1"/>
  <c r="D77" i="34" s="1"/>
  <c r="E71" i="34"/>
  <c r="F89" i="34"/>
  <c r="F90" i="34" s="1"/>
  <c r="F105" i="34"/>
  <c r="G83" i="34" s="1"/>
  <c r="G84" i="34" s="1"/>
  <c r="C71" i="34"/>
  <c r="D84" i="34"/>
  <c r="E157" i="6" s="1"/>
  <c r="D89" i="34"/>
  <c r="M60" i="14" l="1"/>
  <c r="Q60" i="14"/>
  <c r="G60" i="14"/>
  <c r="U60" i="14"/>
  <c r="S60" i="14"/>
  <c r="S77" i="14"/>
  <c r="M77" i="14"/>
  <c r="P77" i="14"/>
  <c r="H77" i="14"/>
  <c r="U77" i="14"/>
  <c r="J77" i="14"/>
  <c r="R60" i="14"/>
  <c r="D77" i="14"/>
  <c r="P89" i="14"/>
  <c r="Q89" i="14"/>
  <c r="H89" i="14"/>
  <c r="S87" i="14"/>
  <c r="K87" i="14"/>
  <c r="P87" i="14"/>
  <c r="J87" i="14"/>
  <c r="I77" i="14"/>
  <c r="W77" i="14"/>
  <c r="E77" i="14"/>
  <c r="W87" i="14"/>
  <c r="V77" i="14"/>
  <c r="C77" i="14"/>
  <c r="G77" i="14"/>
  <c r="V87" i="14"/>
  <c r="O87" i="14"/>
  <c r="C87" i="14"/>
  <c r="N77" i="14"/>
  <c r="R77" i="14"/>
  <c r="Q88" i="14"/>
  <c r="T87" i="14"/>
  <c r="K77" i="14"/>
  <c r="Q77" i="14"/>
  <c r="T77" i="14"/>
  <c r="U87" i="14"/>
  <c r="L77" i="14"/>
  <c r="O77" i="14"/>
  <c r="V60" i="14"/>
  <c r="J60" i="14"/>
  <c r="H60" i="14"/>
  <c r="E60" i="14"/>
  <c r="P60" i="14"/>
  <c r="D60" i="14"/>
  <c r="W60" i="14"/>
  <c r="K60" i="14"/>
  <c r="N60" i="14"/>
  <c r="I60" i="14"/>
  <c r="T60" i="14"/>
  <c r="C60" i="14"/>
  <c r="O60" i="14"/>
  <c r="F60" i="14"/>
  <c r="N56" i="14"/>
  <c r="W68" i="14"/>
  <c r="T68" i="14"/>
  <c r="S68" i="14"/>
  <c r="R89" i="14"/>
  <c r="K68" i="14"/>
  <c r="F68" i="14"/>
  <c r="G87" i="14"/>
  <c r="Q87" i="14"/>
  <c r="J89" i="14"/>
  <c r="M89" i="14"/>
  <c r="K89" i="14"/>
  <c r="W89" i="14"/>
  <c r="G89" i="14"/>
  <c r="I89" i="14"/>
  <c r="V89" i="14"/>
  <c r="O89" i="14"/>
  <c r="T89" i="14"/>
  <c r="E89" i="14"/>
  <c r="S89" i="14"/>
  <c r="C89" i="14"/>
  <c r="F89" i="14"/>
  <c r="U89" i="14"/>
  <c r="L89" i="14"/>
  <c r="N89" i="14"/>
  <c r="L87" i="14"/>
  <c r="M87" i="14"/>
  <c r="W86" i="14"/>
  <c r="F87" i="14"/>
  <c r="H87" i="14"/>
  <c r="E87" i="14"/>
  <c r="U88" i="14"/>
  <c r="C88" i="14"/>
  <c r="P68" i="14"/>
  <c r="R87" i="14"/>
  <c r="I87" i="14"/>
  <c r="N87" i="14"/>
  <c r="M88" i="14"/>
  <c r="O88" i="14"/>
  <c r="S76" i="14"/>
  <c r="V64" i="14"/>
  <c r="V88" i="14"/>
  <c r="F82" i="14"/>
  <c r="L88" i="14"/>
  <c r="L68" i="14"/>
  <c r="V68" i="14"/>
  <c r="V65" i="14"/>
  <c r="H88" i="14"/>
  <c r="R88" i="14"/>
  <c r="S59" i="14"/>
  <c r="D68" i="14"/>
  <c r="U68" i="14"/>
  <c r="T59" i="14"/>
  <c r="W59" i="14"/>
  <c r="R59" i="14"/>
  <c r="C59" i="14"/>
  <c r="I65" i="14"/>
  <c r="L59" i="14"/>
  <c r="O68" i="14"/>
  <c r="M68" i="14"/>
  <c r="R68" i="14"/>
  <c r="L65" i="14"/>
  <c r="H59" i="14"/>
  <c r="I59" i="14"/>
  <c r="V59" i="14"/>
  <c r="H68" i="14"/>
  <c r="Q68" i="14"/>
  <c r="E59" i="14"/>
  <c r="O59" i="14"/>
  <c r="K59" i="14"/>
  <c r="M59" i="14"/>
  <c r="U86" i="14"/>
  <c r="E68" i="14"/>
  <c r="G68" i="14"/>
  <c r="N59" i="14"/>
  <c r="Q59" i="14"/>
  <c r="P59" i="14"/>
  <c r="F59" i="14"/>
  <c r="C86" i="14"/>
  <c r="U59" i="14"/>
  <c r="C68" i="14"/>
  <c r="N68" i="14"/>
  <c r="I68" i="14"/>
  <c r="J59" i="14"/>
  <c r="G59" i="14"/>
  <c r="S78" i="14"/>
  <c r="W82" i="14"/>
  <c r="N88" i="14"/>
  <c r="H58" i="14"/>
  <c r="I88" i="14"/>
  <c r="G74" i="14"/>
  <c r="J70" i="14"/>
  <c r="Q74" i="14"/>
  <c r="D76" i="14"/>
  <c r="W76" i="14"/>
  <c r="H70" i="14"/>
  <c r="P78" i="14"/>
  <c r="J76" i="14"/>
  <c r="O70" i="14"/>
  <c r="D74" i="14"/>
  <c r="L70" i="14"/>
  <c r="C74" i="14"/>
  <c r="W70" i="14"/>
  <c r="M74" i="14"/>
  <c r="I74" i="14"/>
  <c r="H76" i="14"/>
  <c r="Q76" i="14"/>
  <c r="E74" i="14"/>
  <c r="M70" i="14"/>
  <c r="D70" i="14"/>
  <c r="W74" i="14"/>
  <c r="T76" i="14"/>
  <c r="U76" i="14"/>
  <c r="V76" i="14"/>
  <c r="H74" i="14"/>
  <c r="K70" i="14"/>
  <c r="P70" i="14"/>
  <c r="L74" i="14"/>
  <c r="K76" i="14"/>
  <c r="E76" i="14"/>
  <c r="O76" i="14"/>
  <c r="N70" i="14"/>
  <c r="E70" i="14"/>
  <c r="U70" i="14"/>
  <c r="S74" i="14"/>
  <c r="J74" i="14"/>
  <c r="F76" i="14"/>
  <c r="C76" i="14"/>
  <c r="I76" i="14"/>
  <c r="T70" i="14"/>
  <c r="P74" i="14"/>
  <c r="R70" i="14"/>
  <c r="F70" i="14"/>
  <c r="S70" i="14"/>
  <c r="N78" i="14"/>
  <c r="U74" i="14"/>
  <c r="T74" i="14"/>
  <c r="N76" i="14"/>
  <c r="P76" i="14"/>
  <c r="L76" i="14"/>
  <c r="K74" i="14"/>
  <c r="I70" i="14"/>
  <c r="C70" i="14"/>
  <c r="E78" i="14"/>
  <c r="F74" i="14"/>
  <c r="R74" i="14"/>
  <c r="R76" i="14"/>
  <c r="G76" i="14"/>
  <c r="N74" i="14"/>
  <c r="V74" i="14"/>
  <c r="G70" i="14"/>
  <c r="Q70" i="14"/>
  <c r="T85" i="14"/>
  <c r="E85" i="14"/>
  <c r="T88" i="14"/>
  <c r="J88" i="14"/>
  <c r="K88" i="14"/>
  <c r="E88" i="14"/>
  <c r="F88" i="14"/>
  <c r="P88" i="14"/>
  <c r="U85" i="14"/>
  <c r="G88" i="14"/>
  <c r="S88" i="14"/>
  <c r="D82" i="14"/>
  <c r="F64" i="14"/>
  <c r="S82" i="14"/>
  <c r="M64" i="14"/>
  <c r="R54" i="14"/>
  <c r="E82" i="14"/>
  <c r="E64" i="14"/>
  <c r="I79" i="14"/>
  <c r="J82" i="14"/>
  <c r="P82" i="14"/>
  <c r="G64" i="14"/>
  <c r="H82" i="14"/>
  <c r="O64" i="14"/>
  <c r="L64" i="14"/>
  <c r="M82" i="14"/>
  <c r="I64" i="14"/>
  <c r="C64" i="14"/>
  <c r="D71" i="14"/>
  <c r="S85" i="14"/>
  <c r="V85" i="14"/>
  <c r="W88" i="14"/>
  <c r="O85" i="14"/>
  <c r="J85" i="14"/>
  <c r="I85" i="14"/>
  <c r="W85" i="14"/>
  <c r="G82" i="14"/>
  <c r="Q82" i="14"/>
  <c r="N64" i="14"/>
  <c r="U64" i="14"/>
  <c r="R64" i="14"/>
  <c r="J54" i="14"/>
  <c r="E54" i="14"/>
  <c r="H54" i="14"/>
  <c r="C57" i="14"/>
  <c r="M54" i="14"/>
  <c r="R82" i="14"/>
  <c r="T82" i="14"/>
  <c r="J64" i="14"/>
  <c r="W64" i="14"/>
  <c r="O71" i="14"/>
  <c r="M79" i="14"/>
  <c r="K54" i="14"/>
  <c r="F54" i="14"/>
  <c r="N54" i="14"/>
  <c r="I54" i="14"/>
  <c r="G69" i="14"/>
  <c r="O82" i="14"/>
  <c r="I82" i="14"/>
  <c r="S64" i="14"/>
  <c r="P64" i="14"/>
  <c r="C79" i="14"/>
  <c r="T54" i="14"/>
  <c r="K82" i="14"/>
  <c r="V54" i="14"/>
  <c r="N82" i="14"/>
  <c r="V82" i="14"/>
  <c r="C82" i="14"/>
  <c r="H64" i="14"/>
  <c r="D64" i="14"/>
  <c r="Q64" i="14"/>
  <c r="U54" i="14"/>
  <c r="D79" i="14"/>
  <c r="U82" i="14"/>
  <c r="D54" i="14"/>
  <c r="K64" i="14"/>
  <c r="W54" i="14"/>
  <c r="L72" i="14"/>
  <c r="I71" i="14"/>
  <c r="G54" i="14"/>
  <c r="T71" i="14"/>
  <c r="O54" i="14"/>
  <c r="L54" i="14"/>
  <c r="U84" i="14"/>
  <c r="C85" i="14"/>
  <c r="R85" i="14"/>
  <c r="Q85" i="14"/>
  <c r="S54" i="14"/>
  <c r="P54" i="14"/>
  <c r="C54" i="14"/>
  <c r="R69" i="14"/>
  <c r="O75" i="14"/>
  <c r="G67" i="14"/>
  <c r="N69" i="14"/>
  <c r="W75" i="14"/>
  <c r="J75" i="14"/>
  <c r="C8" i="119"/>
  <c r="H199" i="119" s="1"/>
  <c r="M62" i="14"/>
  <c r="O84" i="14"/>
  <c r="W62" i="14"/>
  <c r="D85" i="14"/>
  <c r="P72" i="14"/>
  <c r="E72" i="14"/>
  <c r="R80" i="14"/>
  <c r="S84" i="14"/>
  <c r="Q80" i="14"/>
  <c r="P63" i="14"/>
  <c r="H72" i="14"/>
  <c r="N63" i="14"/>
  <c r="W84" i="14"/>
  <c r="N62" i="14"/>
  <c r="W63" i="14"/>
  <c r="V80" i="14"/>
  <c r="F67" i="14"/>
  <c r="L67" i="14"/>
  <c r="V62" i="14"/>
  <c r="J63" i="14"/>
  <c r="E63" i="14"/>
  <c r="M72" i="14"/>
  <c r="S72" i="14"/>
  <c r="C72" i="14"/>
  <c r="N85" i="14"/>
  <c r="U72" i="14"/>
  <c r="K85" i="14"/>
  <c r="V63" i="14"/>
  <c r="O80" i="14"/>
  <c r="P80" i="14"/>
  <c r="S80" i="14"/>
  <c r="P62" i="14"/>
  <c r="D62" i="14"/>
  <c r="H63" i="14"/>
  <c r="F63" i="14"/>
  <c r="J72" i="14"/>
  <c r="N72" i="14"/>
  <c r="M85" i="14"/>
  <c r="D72" i="14"/>
  <c r="C63" i="14"/>
  <c r="D84" i="14"/>
  <c r="L80" i="14"/>
  <c r="D80" i="14"/>
  <c r="E117" i="6"/>
  <c r="E123" i="6" s="1"/>
  <c r="C9" i="119" s="1"/>
  <c r="I199" i="119" s="1"/>
  <c r="O62" i="14"/>
  <c r="S62" i="14"/>
  <c r="D63" i="14"/>
  <c r="U63" i="14"/>
  <c r="K72" i="14"/>
  <c r="I72" i="14"/>
  <c r="P85" i="14"/>
  <c r="O72" i="14"/>
  <c r="Q63" i="14"/>
  <c r="L84" i="14"/>
  <c r="P84" i="14"/>
  <c r="U80" i="14"/>
  <c r="E80" i="14"/>
  <c r="Q62" i="14"/>
  <c r="I62" i="14"/>
  <c r="F62" i="14"/>
  <c r="T63" i="14"/>
  <c r="W72" i="14"/>
  <c r="H85" i="14"/>
  <c r="T72" i="14"/>
  <c r="G85" i="14"/>
  <c r="Q84" i="14"/>
  <c r="J84" i="14"/>
  <c r="K84" i="14"/>
  <c r="H80" i="14"/>
  <c r="I80" i="14"/>
  <c r="E62" i="14"/>
  <c r="L62" i="14"/>
  <c r="J62" i="14"/>
  <c r="M63" i="14"/>
  <c r="F72" i="14"/>
  <c r="F85" i="14"/>
  <c r="R63" i="14"/>
  <c r="W80" i="14"/>
  <c r="L63" i="14"/>
  <c r="H84" i="14"/>
  <c r="V84" i="14"/>
  <c r="M80" i="14"/>
  <c r="B51" i="15"/>
  <c r="H66" i="15" s="1"/>
  <c r="H62" i="14"/>
  <c r="T62" i="14"/>
  <c r="G63" i="14"/>
  <c r="C62" i="14"/>
  <c r="R72" i="14"/>
  <c r="G72" i="14"/>
  <c r="O63" i="14"/>
  <c r="R84" i="14"/>
  <c r="E84" i="14"/>
  <c r="F84" i="14"/>
  <c r="F80" i="14"/>
  <c r="C80" i="14"/>
  <c r="R62" i="14"/>
  <c r="U62" i="14"/>
  <c r="K62" i="14"/>
  <c r="S63" i="14"/>
  <c r="V72" i="14"/>
  <c r="I63" i="14"/>
  <c r="K80" i="14"/>
  <c r="J80" i="14"/>
  <c r="G80" i="14"/>
  <c r="Q69" i="14"/>
  <c r="D69" i="14"/>
  <c r="Q75" i="14"/>
  <c r="U75" i="14"/>
  <c r="T67" i="14"/>
  <c r="E67" i="14"/>
  <c r="G91" i="14"/>
  <c r="V91" i="14"/>
  <c r="B163" i="14" s="1"/>
  <c r="M91" i="14"/>
  <c r="I91" i="14"/>
  <c r="W91" i="14"/>
  <c r="B164" i="14" s="1"/>
  <c r="L69" i="14"/>
  <c r="P69" i="14"/>
  <c r="C69" i="14"/>
  <c r="M75" i="14"/>
  <c r="F75" i="14"/>
  <c r="W67" i="14"/>
  <c r="L91" i="14"/>
  <c r="N67" i="14"/>
  <c r="S91" i="14"/>
  <c r="T91" i="14"/>
  <c r="J69" i="14"/>
  <c r="S69" i="14"/>
  <c r="T75" i="14"/>
  <c r="I75" i="14"/>
  <c r="D75" i="14"/>
  <c r="E69" i="14"/>
  <c r="H67" i="14"/>
  <c r="K67" i="14"/>
  <c r="R91" i="14"/>
  <c r="V67" i="14"/>
  <c r="U91" i="14"/>
  <c r="U69" i="14"/>
  <c r="M69" i="14"/>
  <c r="E75" i="14"/>
  <c r="S75" i="14"/>
  <c r="N75" i="14"/>
  <c r="V69" i="14"/>
  <c r="R67" i="14"/>
  <c r="K91" i="14"/>
  <c r="C91" i="14"/>
  <c r="W69" i="14"/>
  <c r="T69" i="14"/>
  <c r="C75" i="14"/>
  <c r="J67" i="14"/>
  <c r="P67" i="14"/>
  <c r="Q67" i="14"/>
  <c r="S67" i="14"/>
  <c r="N91" i="14"/>
  <c r="O91" i="14"/>
  <c r="Q91" i="14"/>
  <c r="O69" i="14"/>
  <c r="F69" i="14"/>
  <c r="L75" i="14"/>
  <c r="H75" i="14"/>
  <c r="V75" i="14"/>
  <c r="P91" i="14"/>
  <c r="M67" i="14"/>
  <c r="E91" i="14"/>
  <c r="F91" i="14"/>
  <c r="K69" i="14"/>
  <c r="H69" i="14"/>
  <c r="P75" i="14"/>
  <c r="K75" i="14"/>
  <c r="G75" i="14"/>
  <c r="D67" i="14"/>
  <c r="U67" i="14"/>
  <c r="O67" i="14"/>
  <c r="H91" i="14"/>
  <c r="J91" i="14"/>
  <c r="U66" i="14"/>
  <c r="K73" i="14"/>
  <c r="V58" i="14"/>
  <c r="L58" i="14"/>
  <c r="M81" i="14"/>
  <c r="K81" i="14"/>
  <c r="G58" i="14"/>
  <c r="W58" i="14"/>
  <c r="N73" i="14"/>
  <c r="W56" i="14"/>
  <c r="I56" i="14"/>
  <c r="R66" i="14"/>
  <c r="I73" i="14"/>
  <c r="R56" i="14"/>
  <c r="U73" i="14"/>
  <c r="I84" i="14"/>
  <c r="V73" i="14"/>
  <c r="W73" i="14"/>
  <c r="H73" i="14"/>
  <c r="J56" i="14"/>
  <c r="M56" i="14"/>
  <c r="V53" i="14"/>
  <c r="N81" i="14"/>
  <c r="J81" i="14"/>
  <c r="I58" i="14"/>
  <c r="N58" i="14"/>
  <c r="W81" i="14"/>
  <c r="E81" i="14"/>
  <c r="J58" i="14"/>
  <c r="C58" i="14"/>
  <c r="P81" i="14"/>
  <c r="O81" i="14"/>
  <c r="O58" i="14"/>
  <c r="D58" i="14"/>
  <c r="G81" i="14"/>
  <c r="Q58" i="14"/>
  <c r="P58" i="14"/>
  <c r="T81" i="14"/>
  <c r="L81" i="14"/>
  <c r="R58" i="14"/>
  <c r="R81" i="14"/>
  <c r="F81" i="14"/>
  <c r="U81" i="14"/>
  <c r="T58" i="14"/>
  <c r="Q81" i="14"/>
  <c r="H81" i="14"/>
  <c r="U58" i="14"/>
  <c r="V81" i="14"/>
  <c r="F58" i="14"/>
  <c r="S81" i="14"/>
  <c r="I81" i="14"/>
  <c r="K58" i="14"/>
  <c r="C81" i="14"/>
  <c r="M58" i="14"/>
  <c r="S58" i="14"/>
  <c r="P73" i="14"/>
  <c r="S56" i="14"/>
  <c r="Q56" i="14"/>
  <c r="S73" i="14"/>
  <c r="P66" i="14"/>
  <c r="Q66" i="14"/>
  <c r="D73" i="14"/>
  <c r="Q73" i="14"/>
  <c r="D56" i="14"/>
  <c r="P56" i="14"/>
  <c r="O56" i="14"/>
  <c r="O66" i="14"/>
  <c r="W66" i="14"/>
  <c r="G66" i="14"/>
  <c r="P53" i="14"/>
  <c r="L53" i="14"/>
  <c r="E73" i="14"/>
  <c r="O73" i="14"/>
  <c r="E56" i="14"/>
  <c r="C56" i="14"/>
  <c r="T66" i="14"/>
  <c r="L66" i="14"/>
  <c r="D66" i="14"/>
  <c r="E53" i="14"/>
  <c r="G73" i="14"/>
  <c r="T73" i="14"/>
  <c r="R73" i="14"/>
  <c r="M73" i="14"/>
  <c r="V56" i="14"/>
  <c r="G56" i="14"/>
  <c r="J66" i="14"/>
  <c r="S66" i="14"/>
  <c r="C66" i="14"/>
  <c r="M53" i="14"/>
  <c r="Q53" i="14"/>
  <c r="C73" i="14"/>
  <c r="U56" i="14"/>
  <c r="F56" i="14"/>
  <c r="I66" i="14"/>
  <c r="N66" i="14"/>
  <c r="E66" i="14"/>
  <c r="F53" i="14"/>
  <c r="F66" i="14"/>
  <c r="M66" i="14"/>
  <c r="H66" i="14"/>
  <c r="K53" i="14"/>
  <c r="J73" i="14"/>
  <c r="F73" i="14"/>
  <c r="H56" i="14"/>
  <c r="L56" i="14"/>
  <c r="T56" i="14"/>
  <c r="V66" i="14"/>
  <c r="D53" i="14"/>
  <c r="W53" i="14"/>
  <c r="U53" i="14"/>
  <c r="J65" i="14"/>
  <c r="K65" i="14"/>
  <c r="G65" i="14"/>
  <c r="D65" i="14"/>
  <c r="E57" i="14"/>
  <c r="S86" i="14"/>
  <c r="N86" i="14"/>
  <c r="K86" i="14"/>
  <c r="U65" i="14"/>
  <c r="P65" i="14"/>
  <c r="T86" i="14"/>
  <c r="S65" i="14"/>
  <c r="D86" i="14"/>
  <c r="I57" i="14"/>
  <c r="V57" i="14"/>
  <c r="P86" i="14"/>
  <c r="R86" i="14"/>
  <c r="C65" i="14"/>
  <c r="W65" i="14"/>
  <c r="E86" i="14"/>
  <c r="E65" i="14"/>
  <c r="I86" i="14"/>
  <c r="T57" i="14"/>
  <c r="J57" i="14"/>
  <c r="O65" i="14"/>
  <c r="M57" i="14"/>
  <c r="F57" i="14"/>
  <c r="O57" i="14"/>
  <c r="V86" i="14"/>
  <c r="Q86" i="14"/>
  <c r="M86" i="14"/>
  <c r="T65" i="14"/>
  <c r="M65" i="14"/>
  <c r="O86" i="14"/>
  <c r="G57" i="14"/>
  <c r="U57" i="14"/>
  <c r="W57" i="14"/>
  <c r="N65" i="14"/>
  <c r="F65" i="14"/>
  <c r="F86" i="14"/>
  <c r="D57" i="14"/>
  <c r="H57" i="14"/>
  <c r="Q57" i="14"/>
  <c r="L86" i="14"/>
  <c r="G86" i="14"/>
  <c r="H65" i="14"/>
  <c r="Q65" i="14"/>
  <c r="J86" i="14"/>
  <c r="K57" i="14"/>
  <c r="S53" i="14"/>
  <c r="H53" i="14"/>
  <c r="J53" i="14"/>
  <c r="G53" i="14"/>
  <c r="N84" i="14"/>
  <c r="L57" i="14"/>
  <c r="N57" i="14"/>
  <c r="R57" i="14"/>
  <c r="T80" i="14"/>
  <c r="P57" i="14"/>
  <c r="W61" i="14"/>
  <c r="J83" i="14"/>
  <c r="U61" i="14"/>
  <c r="I61" i="14"/>
  <c r="K83" i="14"/>
  <c r="H83" i="14"/>
  <c r="F83" i="14"/>
  <c r="C83" i="14"/>
  <c r="Q61" i="14"/>
  <c r="O61" i="14"/>
  <c r="C61" i="14"/>
  <c r="D61" i="14"/>
  <c r="S83" i="14"/>
  <c r="L61" i="14"/>
  <c r="V61" i="14"/>
  <c r="J61" i="14"/>
  <c r="D83" i="14"/>
  <c r="I83" i="14"/>
  <c r="G61" i="14"/>
  <c r="M61" i="14"/>
  <c r="M83" i="14"/>
  <c r="U83" i="14"/>
  <c r="P83" i="14"/>
  <c r="K61" i="14"/>
  <c r="E61" i="14"/>
  <c r="W83" i="14"/>
  <c r="T83" i="14"/>
  <c r="O83" i="14"/>
  <c r="N61" i="14"/>
  <c r="P61" i="14"/>
  <c r="N83" i="14"/>
  <c r="E83" i="14"/>
  <c r="R83" i="14"/>
  <c r="R61" i="14"/>
  <c r="S61" i="14"/>
  <c r="L83" i="14"/>
  <c r="Q83" i="14"/>
  <c r="V83" i="14"/>
  <c r="T61" i="14"/>
  <c r="H61" i="14"/>
  <c r="T79" i="14"/>
  <c r="G71" i="14"/>
  <c r="H71" i="14"/>
  <c r="V71" i="14"/>
  <c r="P79" i="14"/>
  <c r="D78" i="14"/>
  <c r="K78" i="14"/>
  <c r="H78" i="14"/>
  <c r="C78" i="14"/>
  <c r="J79" i="14"/>
  <c r="P71" i="14"/>
  <c r="Q71" i="14"/>
  <c r="K71" i="14"/>
  <c r="R79" i="14"/>
  <c r="W78" i="14"/>
  <c r="T78" i="14"/>
  <c r="O78" i="14"/>
  <c r="E79" i="14"/>
  <c r="R71" i="14"/>
  <c r="W71" i="14"/>
  <c r="U78" i="14"/>
  <c r="I78" i="14"/>
  <c r="D55" i="14"/>
  <c r="J78" i="14"/>
  <c r="N79" i="14"/>
  <c r="S71" i="14"/>
  <c r="F71" i="14"/>
  <c r="V79" i="14"/>
  <c r="L79" i="14"/>
  <c r="M71" i="14"/>
  <c r="K79" i="14"/>
  <c r="M78" i="14"/>
  <c r="L78" i="14"/>
  <c r="O79" i="14"/>
  <c r="J71" i="14"/>
  <c r="C71" i="14"/>
  <c r="G79" i="14"/>
  <c r="S79" i="14"/>
  <c r="U79" i="14"/>
  <c r="F78" i="14"/>
  <c r="Q78" i="14"/>
  <c r="N71" i="14"/>
  <c r="L71" i="14"/>
  <c r="Q79" i="14"/>
  <c r="H79" i="14"/>
  <c r="F79" i="14"/>
  <c r="E71" i="14"/>
  <c r="R78" i="14"/>
  <c r="V78" i="14"/>
  <c r="C84" i="14"/>
  <c r="T53" i="14"/>
  <c r="O53" i="14"/>
  <c r="M84" i="14"/>
  <c r="I53" i="14"/>
  <c r="R53" i="14"/>
  <c r="N53" i="14"/>
  <c r="T84" i="14"/>
  <c r="C55" i="14"/>
  <c r="P55" i="14"/>
  <c r="I116" i="15"/>
  <c r="I117" i="15" s="1"/>
  <c r="O48" i="119" s="1"/>
  <c r="E160" i="119" s="1"/>
  <c r="H55" i="14"/>
  <c r="F55" i="14"/>
  <c r="M55" i="14"/>
  <c r="I114" i="15"/>
  <c r="G55" i="14"/>
  <c r="N55" i="14"/>
  <c r="L55" i="14"/>
  <c r="I67" i="14"/>
  <c r="I115" i="15"/>
  <c r="I55" i="14"/>
  <c r="Q55" i="14"/>
  <c r="S55" i="14"/>
  <c r="O55" i="14"/>
  <c r="V55" i="14"/>
  <c r="R55" i="14"/>
  <c r="T55" i="14"/>
  <c r="U55" i="14"/>
  <c r="E55" i="14"/>
  <c r="K55" i="14"/>
  <c r="W55" i="14"/>
  <c r="X90" i="14"/>
  <c r="D142" i="119"/>
  <c r="F78" i="34"/>
  <c r="F80" i="34" s="1"/>
  <c r="E78" i="34"/>
  <c r="E80" i="34" s="1"/>
  <c r="F120" i="34"/>
  <c r="F121" i="34" s="1"/>
  <c r="G77" i="34" s="1"/>
  <c r="E159" i="6" s="1"/>
  <c r="E160" i="6" s="1"/>
  <c r="G89" i="34"/>
  <c r="D90" i="34"/>
  <c r="D78" i="34"/>
  <c r="D80" i="34" s="1"/>
  <c r="X60" i="14" l="1"/>
  <c r="X77" i="14"/>
  <c r="B162" i="14"/>
  <c r="X89" i="14"/>
  <c r="B159" i="14"/>
  <c r="X87" i="14"/>
  <c r="B160" i="14"/>
  <c r="X68" i="14"/>
  <c r="X59" i="14"/>
  <c r="I9" i="119"/>
  <c r="C97" i="119" s="1"/>
  <c r="D97" i="119" s="1"/>
  <c r="X70" i="14"/>
  <c r="I8" i="119"/>
  <c r="C94" i="119" s="1"/>
  <c r="D94" i="119" s="1"/>
  <c r="D117" i="119" s="1"/>
  <c r="C93" i="119"/>
  <c r="D93" i="119" s="1"/>
  <c r="H8" i="119"/>
  <c r="C92" i="119" s="1"/>
  <c r="D92" i="119" s="1"/>
  <c r="X76" i="14"/>
  <c r="X74" i="14"/>
  <c r="B161" i="14"/>
  <c r="B157" i="14"/>
  <c r="X88" i="14"/>
  <c r="X64" i="14"/>
  <c r="B54" i="15"/>
  <c r="M107" i="15" s="1"/>
  <c r="M114" i="15" s="1"/>
  <c r="X54" i="14"/>
  <c r="X82" i="14"/>
  <c r="H67" i="15"/>
  <c r="B158" i="14"/>
  <c r="B53" i="15"/>
  <c r="B55" i="15" s="1"/>
  <c r="L107" i="15" s="1"/>
  <c r="L114" i="15" s="1"/>
  <c r="H65" i="15"/>
  <c r="G65" i="15"/>
  <c r="G116" i="15" s="1"/>
  <c r="H9" i="119"/>
  <c r="C95" i="119" s="1"/>
  <c r="D95" i="119" s="1"/>
  <c r="D135" i="119" s="1"/>
  <c r="B56" i="15"/>
  <c r="N95" i="15" s="1"/>
  <c r="C96" i="119"/>
  <c r="D96" i="119" s="1"/>
  <c r="B156" i="14"/>
  <c r="X63" i="14"/>
  <c r="X75" i="14"/>
  <c r="X91" i="14"/>
  <c r="X69" i="14"/>
  <c r="X72" i="14"/>
  <c r="X85" i="14"/>
  <c r="X62" i="14"/>
  <c r="B154" i="14"/>
  <c r="X67" i="14"/>
  <c r="B155" i="14"/>
  <c r="X80" i="14"/>
  <c r="B123" i="14"/>
  <c r="U91" i="15" s="1"/>
  <c r="B124" i="14"/>
  <c r="U92" i="15" s="1"/>
  <c r="X81" i="14"/>
  <c r="B125" i="14"/>
  <c r="U93" i="15" s="1"/>
  <c r="B153" i="14"/>
  <c r="B127" i="14"/>
  <c r="U95" i="15" s="1"/>
  <c r="X56" i="14"/>
  <c r="X58" i="14"/>
  <c r="B128" i="14"/>
  <c r="U96" i="15" s="1"/>
  <c r="X65" i="14"/>
  <c r="B133" i="14"/>
  <c r="U101" i="15" s="1"/>
  <c r="B138" i="14"/>
  <c r="U106" i="15" s="1"/>
  <c r="B140" i="14"/>
  <c r="C140" i="14" s="1"/>
  <c r="C141" i="14" s="1"/>
  <c r="X86" i="14"/>
  <c r="X57" i="14"/>
  <c r="B152" i="14"/>
  <c r="X66" i="14"/>
  <c r="X73" i="14"/>
  <c r="B139" i="14"/>
  <c r="B146" i="14"/>
  <c r="B137" i="14"/>
  <c r="U105" i="15" s="1"/>
  <c r="B149" i="14"/>
  <c r="B136" i="14"/>
  <c r="U104" i="15" s="1"/>
  <c r="B129" i="14"/>
  <c r="U97" i="15" s="1"/>
  <c r="B122" i="14"/>
  <c r="U90" i="15" s="1"/>
  <c r="B150" i="14"/>
  <c r="X53" i="14"/>
  <c r="B148" i="14"/>
  <c r="B135" i="14"/>
  <c r="U103" i="15" s="1"/>
  <c r="B151" i="14"/>
  <c r="B126" i="14"/>
  <c r="U94" i="15" s="1"/>
  <c r="B147" i="14"/>
  <c r="B131" i="14"/>
  <c r="U99" i="15" s="1"/>
  <c r="X83" i="14"/>
  <c r="X61" i="14"/>
  <c r="B130" i="14"/>
  <c r="U98" i="15" s="1"/>
  <c r="B134" i="14"/>
  <c r="U102" i="15" s="1"/>
  <c r="X84" i="14"/>
  <c r="X71" i="14"/>
  <c r="B132" i="14"/>
  <c r="U100" i="15" s="1"/>
  <c r="X78" i="14"/>
  <c r="X79" i="14"/>
  <c r="B121" i="14"/>
  <c r="U89" i="15" s="1"/>
  <c r="X55" i="14"/>
  <c r="D115" i="119"/>
  <c r="D140" i="119"/>
  <c r="D106" i="119"/>
  <c r="G90" i="34"/>
  <c r="G78" i="34"/>
  <c r="G80" i="34" s="1"/>
  <c r="L106" i="119" l="1"/>
  <c r="D120" i="119"/>
  <c r="D130" i="119"/>
  <c r="D125" i="119"/>
  <c r="N107" i="15"/>
  <c r="M115" i="15"/>
  <c r="B120" i="15" s="1"/>
  <c r="M116" i="15"/>
  <c r="M117" i="15" s="1"/>
  <c r="R48" i="119" s="1"/>
  <c r="E163" i="119" s="1"/>
  <c r="N97" i="15"/>
  <c r="N96" i="15"/>
  <c r="J96" i="15" s="1"/>
  <c r="N79" i="15"/>
  <c r="N103" i="15"/>
  <c r="N81" i="15"/>
  <c r="N78" i="15"/>
  <c r="N70" i="15"/>
  <c r="N71" i="15"/>
  <c r="N89" i="15"/>
  <c r="L116" i="15"/>
  <c r="L118" i="15" s="1"/>
  <c r="M48" i="119" s="1"/>
  <c r="E157" i="119" s="1"/>
  <c r="L115" i="15"/>
  <c r="B44" i="14"/>
  <c r="B52" i="14" s="1"/>
  <c r="D52" i="14" s="1"/>
  <c r="B101" i="14" s="1"/>
  <c r="U69" i="15" s="1"/>
  <c r="G114" i="15"/>
  <c r="C14" i="13"/>
  <c r="E14" i="13" s="1"/>
  <c r="S65" i="15" s="1"/>
  <c r="T65" i="15" s="1"/>
  <c r="L107" i="119"/>
  <c r="D105" i="119" s="1"/>
  <c r="H114" i="15"/>
  <c r="H116" i="15"/>
  <c r="H117" i="15" s="1"/>
  <c r="N48" i="119" s="1"/>
  <c r="E159" i="119" s="1"/>
  <c r="H115" i="15"/>
  <c r="G115" i="15"/>
  <c r="N76" i="15"/>
  <c r="N88" i="15"/>
  <c r="N94" i="15"/>
  <c r="J95" i="15" s="1"/>
  <c r="N77" i="15"/>
  <c r="N86" i="15"/>
  <c r="N105" i="15"/>
  <c r="N104" i="15"/>
  <c r="N106" i="15"/>
  <c r="N99" i="15"/>
  <c r="N92" i="15"/>
  <c r="N100" i="15"/>
  <c r="N72" i="15"/>
  <c r="N87" i="15"/>
  <c r="N74" i="15"/>
  <c r="N98" i="15"/>
  <c r="N75" i="15"/>
  <c r="N80" i="15"/>
  <c r="N84" i="15"/>
  <c r="N83" i="15"/>
  <c r="N90" i="15"/>
  <c r="N82" i="15"/>
  <c r="N73" i="15"/>
  <c r="N93" i="15"/>
  <c r="N69" i="15"/>
  <c r="N101" i="15"/>
  <c r="N102" i="15"/>
  <c r="N68" i="15"/>
  <c r="J68" i="15" s="1"/>
  <c r="N85" i="15"/>
  <c r="N91" i="15"/>
  <c r="B166" i="14"/>
  <c r="U107" i="15" s="1"/>
  <c r="D101" i="119"/>
  <c r="D132" i="119"/>
  <c r="D137" i="119"/>
  <c r="D122" i="119"/>
  <c r="D127" i="119"/>
  <c r="D103" i="119"/>
  <c r="J87" i="15" l="1"/>
  <c r="D102" i="119"/>
  <c r="D104" i="119"/>
  <c r="T52" i="14"/>
  <c r="B117" i="14" s="1"/>
  <c r="U85" i="15" s="1"/>
  <c r="E52" i="14"/>
  <c r="B102" i="14" s="1"/>
  <c r="U70" i="15" s="1"/>
  <c r="N52" i="14"/>
  <c r="B111" i="14" s="1"/>
  <c r="U79" i="15" s="1"/>
  <c r="J79" i="15"/>
  <c r="U52" i="14"/>
  <c r="B118" i="14" s="1"/>
  <c r="U86" i="15" s="1"/>
  <c r="D14" i="13"/>
  <c r="G14" i="13"/>
  <c r="C15" i="13" s="1"/>
  <c r="E15" i="13" s="1"/>
  <c r="J82" i="15"/>
  <c r="F52" i="14"/>
  <c r="B103" i="14" s="1"/>
  <c r="U71" i="15" s="1"/>
  <c r="J90" i="15"/>
  <c r="J52" i="14"/>
  <c r="B107" i="14" s="1"/>
  <c r="U75" i="15" s="1"/>
  <c r="J103" i="15"/>
  <c r="J89" i="15"/>
  <c r="Q52" i="14"/>
  <c r="B114" i="14" s="1"/>
  <c r="U82" i="15" s="1"/>
  <c r="J98" i="15"/>
  <c r="J104" i="15"/>
  <c r="J97" i="15"/>
  <c r="J71" i="15"/>
  <c r="J81" i="15"/>
  <c r="J72" i="15"/>
  <c r="J75" i="15"/>
  <c r="J106" i="15"/>
  <c r="V52" i="14"/>
  <c r="B119" i="14" s="1"/>
  <c r="U87" i="15" s="1"/>
  <c r="H52" i="14"/>
  <c r="B105" i="14" s="1"/>
  <c r="U73" i="15" s="1"/>
  <c r="O52" i="14"/>
  <c r="B112" i="14" s="1"/>
  <c r="U80" i="15" s="1"/>
  <c r="C52" i="14"/>
  <c r="B100" i="14" s="1"/>
  <c r="J74" i="15"/>
  <c r="J94" i="15"/>
  <c r="J101" i="15"/>
  <c r="G52" i="14"/>
  <c r="B104" i="14" s="1"/>
  <c r="U72" i="15" s="1"/>
  <c r="S52" i="14"/>
  <c r="B116" i="14" s="1"/>
  <c r="U84" i="15" s="1"/>
  <c r="W52" i="14"/>
  <c r="B120" i="14" s="1"/>
  <c r="U88" i="15" s="1"/>
  <c r="L52" i="14"/>
  <c r="B109" i="14" s="1"/>
  <c r="U77" i="15" s="1"/>
  <c r="J93" i="15"/>
  <c r="P52" i="14"/>
  <c r="B113" i="14" s="1"/>
  <c r="U81" i="15" s="1"/>
  <c r="R52" i="14"/>
  <c r="B115" i="14" s="1"/>
  <c r="U83" i="15" s="1"/>
  <c r="J92" i="15"/>
  <c r="J85" i="15"/>
  <c r="K52" i="14"/>
  <c r="B108" i="14" s="1"/>
  <c r="U76" i="15" s="1"/>
  <c r="I52" i="14"/>
  <c r="B106" i="14" s="1"/>
  <c r="U74" i="15" s="1"/>
  <c r="M52" i="14"/>
  <c r="B110" i="14" s="1"/>
  <c r="U78" i="15" s="1"/>
  <c r="J88" i="15"/>
  <c r="J100" i="15"/>
  <c r="J77" i="15"/>
  <c r="J80" i="15"/>
  <c r="N115" i="15"/>
  <c r="B121" i="15" s="1"/>
  <c r="J83" i="15"/>
  <c r="J69" i="15"/>
  <c r="J73" i="15"/>
  <c r="J70" i="15"/>
  <c r="J91" i="15"/>
  <c r="J99" i="15"/>
  <c r="J76" i="15"/>
  <c r="J86" i="15"/>
  <c r="N116" i="15"/>
  <c r="N117" i="15" s="1"/>
  <c r="S48" i="119" s="1"/>
  <c r="E164" i="119" s="1"/>
  <c r="J105" i="15"/>
  <c r="J102" i="15"/>
  <c r="N114" i="15"/>
  <c r="J78" i="15"/>
  <c r="J84" i="15"/>
  <c r="V65" i="15"/>
  <c r="AC65" i="15"/>
  <c r="G15" i="13" l="1"/>
  <c r="C16" i="13" s="1"/>
  <c r="G16" i="13" s="1"/>
  <c r="C17" i="13" s="1"/>
  <c r="X52" i="14"/>
  <c r="J107" i="15"/>
  <c r="J115" i="15" s="1"/>
  <c r="D15" i="13"/>
  <c r="S66" i="15"/>
  <c r="T66" i="15" s="1"/>
  <c r="U68" i="15"/>
  <c r="B141" i="14"/>
  <c r="X65" i="15"/>
  <c r="E16" i="13" l="1"/>
  <c r="D16" i="13" s="1"/>
  <c r="J114" i="15"/>
  <c r="J116" i="15"/>
  <c r="J117" i="15" s="1"/>
  <c r="P48" i="119" s="1"/>
  <c r="E161" i="119" s="1"/>
  <c r="AC66" i="15"/>
  <c r="V66" i="15"/>
  <c r="X66" i="15" s="1"/>
  <c r="G17" i="13"/>
  <c r="C18" i="13" s="1"/>
  <c r="E17" i="13"/>
  <c r="U115" i="15"/>
  <c r="U114" i="15"/>
  <c r="U116" i="15"/>
  <c r="Y55" i="15" s="1"/>
  <c r="Y57" i="15" s="1"/>
  <c r="AA65" i="15"/>
  <c r="Y65" i="15"/>
  <c r="S67" i="15" l="1"/>
  <c r="T67" i="15" s="1"/>
  <c r="AC67" i="15" s="1"/>
  <c r="X55" i="15"/>
  <c r="X57" i="15" s="1"/>
  <c r="D17" i="13"/>
  <c r="S68" i="15"/>
  <c r="G18" i="13"/>
  <c r="C19" i="13" s="1"/>
  <c r="E18" i="13"/>
  <c r="Y66" i="15"/>
  <c r="AA66" i="15"/>
  <c r="AB65" i="15"/>
  <c r="V67" i="15" l="1"/>
  <c r="X67" i="15" s="1"/>
  <c r="Y67" i="15" s="1"/>
  <c r="S69" i="15"/>
  <c r="D18" i="13"/>
  <c r="E19" i="13"/>
  <c r="G19" i="13"/>
  <c r="C20" i="13" s="1"/>
  <c r="AB66" i="15"/>
  <c r="AA67" i="15" l="1"/>
  <c r="AB67" i="15" s="1"/>
  <c r="E20" i="13"/>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87" i="15" l="1"/>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79" i="15" l="1"/>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AA91" i="15" l="1"/>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<sst xmlns="http://schemas.openxmlformats.org/spreadsheetml/2006/main" count="3917" uniqueCount="1420">
  <si>
    <t>Approx Capital Charge Rate</t>
  </si>
  <si>
    <t>Cost Contribution ($/ kg H2)</t>
  </si>
  <si>
    <t>Cost Contribution ($/ tonne CO2 Sequestered)</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</si>
  <si>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</si>
  <si>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</si>
  <si>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</si>
  <si>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</si>
  <si>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</si>
  <si>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</si>
  <si>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</si>
  <si>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</si>
  <si>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</si>
  <si>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</si>
  <si>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</si>
  <si>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</si>
  <si>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</si>
  <si>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</si>
  <si>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</si>
  <si>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</si>
  <si>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</si>
  <si>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</si>
  <si>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</si>
  <si>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</si>
  <si>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</si>
  <si>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</si>
  <si>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</si>
  <si>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</si>
  <si>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</si>
  <si>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</si>
  <si>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</si>
  <si>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</si>
  <si>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</si>
  <si>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</si>
  <si>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</si>
  <si>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</si>
  <si>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</si>
  <si>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</si>
  <si>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</si>
  <si>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</si>
  <si>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</si>
  <si>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</si>
  <si>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</si>
  <si>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</si>
  <si>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</si>
  <si>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</si>
  <si>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</si>
  <si>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</si>
  <si>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</si>
  <si>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</si>
  <si>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</si>
  <si>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</si>
  <si>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</si>
  <si>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</si>
  <si>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</si>
  <si>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</si>
  <si>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</si>
  <si>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</si>
  <si>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</si>
  <si>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</si>
  <si>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</si>
  <si>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</si>
  <si>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</si>
  <si>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</si>
  <si>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</si>
  <si>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</si>
  <si>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</si>
  <si>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</si>
  <si>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</si>
  <si>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</si>
  <si>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</si>
  <si>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</si>
  <si>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</si>
  <si>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</si>
  <si>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</si>
  <si>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</si>
  <si>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</si>
  <si>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</si>
  <si>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</si>
  <si>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</si>
  <si>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</si>
  <si>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</si>
  <si>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</si>
  <si>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</si>
  <si>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</si>
  <si>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</si>
  <si>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</si>
  <si>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</si>
  <si>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</si>
  <si>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</si>
  <si>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</si>
  <si>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</si>
  <si>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</si>
  <si>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</si>
  <si>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</si>
  <si>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</si>
  <si>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</si>
  <si>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</si>
  <si>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</si>
  <si>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</si>
  <si>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</si>
  <si>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</si>
  <si>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</si>
  <si>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</si>
  <si>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</si>
  <si>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</si>
  <si>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</si>
  <si>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</si>
  <si>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</si>
  <si>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</si>
  <si>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</si>
  <si>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</si>
  <si>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</si>
  <si>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</si>
  <si>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</si>
  <si>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</si>
  <si>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</si>
  <si>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</si>
  <si>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</si>
  <si>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</si>
  <si>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</si>
  <si>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</si>
  <si>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</si>
  <si>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</si>
  <si>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</si>
  <si>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</si>
  <si>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</si>
  <si>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</si>
  <si>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</si>
  <si>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</si>
  <si>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</si>
  <si>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</si>
  <si>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</si>
  <si>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</si>
  <si>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</si>
  <si>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</si>
  <si>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</si>
  <si>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</si>
  <si>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</si>
  <si>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</si>
  <si>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</si>
  <si>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</si>
  <si>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</si>
  <si>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</si>
  <si>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</si>
  <si>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</si>
  <si>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</si>
  <si>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</si>
  <si>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</si>
  <si>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</si>
  <si>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</si>
  <si>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</si>
  <si>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</si>
  <si>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</si>
  <si>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</si>
  <si>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</si>
  <si>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</si>
  <si>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</si>
  <si>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</si>
  <si>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</si>
  <si>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</si>
  <si>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</si>
  <si>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</si>
  <si>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</si>
  <si>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</si>
  <si>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</si>
  <si>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</si>
  <si>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</si>
  <si>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</si>
  <si>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</si>
  <si>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</si>
  <si>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</si>
  <si>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</si>
  <si>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</si>
  <si>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</si>
  <si>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</si>
  <si>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</si>
  <si>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</si>
  <si>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</si>
  <si>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</si>
  <si>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</si>
  <si>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</si>
  <si>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</si>
  <si>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</si>
  <si>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</si>
  <si>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</si>
  <si>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</si>
  <si>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</si>
  <si>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</si>
  <si>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</si>
  <si>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</si>
  <si>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</si>
  <si>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</si>
  <si>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</si>
  <si>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</si>
  <si>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</si>
  <si>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</si>
  <si>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</si>
  <si>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</si>
  <si>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</si>
  <si>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</si>
  <si>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</si>
  <si>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</si>
  <si>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</si>
  <si>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</si>
  <si>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</si>
  <si>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</si>
  <si>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</si>
  <si>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</si>
  <si>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</si>
  <si>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</si>
  <si>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</si>
  <si>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</si>
  <si>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</si>
  <si>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</si>
  <si>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</si>
  <si>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</si>
  <si>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</si>
  <si>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</si>
  <si>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</si>
  <si>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</si>
  <si>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</si>
  <si>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</si>
  <si>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</si>
  <si>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</si>
  <si>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</si>
  <si>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</si>
  <si>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</si>
  <si>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</si>
  <si>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</si>
  <si>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</si>
  <si>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</si>
  <si>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</si>
  <si>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</si>
  <si>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</si>
  <si>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</si>
  <si>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</si>
  <si>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</si>
  <si>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</si>
  <si>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</si>
  <si>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</si>
  <si>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</si>
  <si>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</si>
  <si>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</si>
  <si>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</si>
  <si>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</si>
  <si>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</si>
  <si>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</si>
  <si>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</si>
  <si>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</si>
  <si>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</si>
  <si>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</si>
  <si>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</si>
  <si>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</si>
  <si>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</si>
  <si>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</si>
  <si>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</si>
  <si>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</si>
  <si>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</si>
  <si>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</si>
  <si>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</si>
  <si>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</si>
  <si>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</si>
  <si>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</si>
  <si>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</si>
  <si>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</si>
  <si>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</si>
  <si>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</si>
  <si>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</si>
  <si>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</si>
  <si>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</si>
  <si>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</si>
  <si>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</si>
  <si>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</si>
  <si>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</si>
  <si>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</si>
  <si>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</si>
  <si>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</si>
  <si>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</si>
  <si>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</si>
  <si>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</si>
  <si>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</si>
  <si>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</si>
  <si>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</si>
  <si>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</si>
  <si>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</si>
  <si>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</si>
  <si>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</si>
  <si>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</si>
  <si>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</si>
  <si>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</si>
  <si>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</si>
  <si>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</si>
  <si>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</si>
  <si>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</si>
  <si>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</si>
  <si>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</si>
  <si>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</si>
  <si>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</si>
  <si>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</si>
  <si>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</si>
  <si>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</si>
  <si>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</si>
  <si>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</si>
  <si>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</si>
  <si>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</si>
  <si>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</si>
  <si>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</si>
  <si>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</si>
  <si>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</si>
  <si>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</si>
  <si>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</si>
  <si>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</si>
  <si>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</si>
  <si>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</si>
  <si>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</si>
  <si>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</si>
  <si>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</si>
  <si>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</si>
  <si>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</si>
  <si>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</si>
  <si>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</si>
  <si>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</si>
  <si>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</si>
  <si>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</si>
  <si>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</si>
  <si>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</si>
  <si>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</si>
  <si>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</si>
  <si>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</si>
  <si>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</si>
  <si>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</si>
  <si>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</si>
  <si>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</si>
  <si>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</si>
  <si>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</si>
  <si>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</si>
  <si>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</si>
  <si>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</si>
  <si>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</si>
  <si>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</si>
  <si>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</si>
  <si>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</si>
  <si>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</si>
  <si>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</si>
  <si>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</si>
  <si>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</si>
  <si>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</si>
  <si>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</si>
  <si>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</si>
  <si>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</si>
  <si>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</si>
  <si>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</si>
  <si>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</si>
  <si>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</si>
  <si>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</si>
  <si>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</si>
  <si>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</si>
  <si>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</si>
  <si>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</si>
  <si>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</si>
  <si>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</si>
  <si>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</si>
  <si>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</si>
  <si>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</si>
  <si>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</si>
  <si>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</si>
  <si>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</si>
  <si>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</si>
  <si>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</si>
  <si>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</si>
  <si>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</si>
  <si>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</si>
  <si>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</si>
  <si>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</si>
  <si>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</si>
  <si>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</si>
  <si>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</si>
  <si>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</si>
  <si>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</si>
  <si>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</si>
  <si>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</si>
  <si>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</si>
  <si>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</si>
  <si>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</si>
  <si>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</si>
  <si>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</si>
  <si>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</si>
  <si>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</si>
  <si>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</si>
  <si>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</si>
  <si>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</si>
  <si>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</si>
  <si>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</si>
  <si>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</si>
  <si>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</si>
  <si>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</si>
  <si>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</si>
  <si>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</si>
  <si>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</si>
  <si>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</si>
  <si>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</si>
  <si>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</si>
  <si>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</si>
  <si>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</si>
  <si>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</si>
  <si>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</si>
  <si>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</si>
  <si>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</si>
  <si>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</si>
  <si>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</si>
  <si>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</si>
  <si>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</si>
  <si>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</si>
  <si>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</si>
  <si>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</si>
  <si>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</si>
  <si>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</si>
  <si>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</si>
  <si>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</si>
  <si>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</si>
  <si>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</si>
  <si>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</si>
  <si>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</si>
  <si>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</si>
  <si>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</si>
  <si>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</si>
  <si>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</si>
  <si>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</si>
  <si>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</si>
  <si>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</si>
  <si>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</si>
  <si>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</si>
  <si>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</si>
  <si>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</si>
  <si>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</si>
  <si>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</si>
  <si>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</si>
  <si>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</si>
  <si>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</si>
  <si>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</si>
  <si>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</si>
  <si>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</si>
  <si>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</si>
  <si>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</si>
  <si>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</si>
  <si>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</si>
  <si>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</si>
  <si>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</si>
  <si>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</si>
  <si>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</si>
  <si>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</si>
  <si>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</si>
  <si>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</si>
  <si>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</si>
  <si>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</si>
  <si>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</si>
  <si>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</si>
  <si>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</si>
  <si>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</si>
  <si>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</si>
  <si>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</si>
  <si>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</si>
  <si>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</si>
  <si>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</si>
  <si>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</si>
  <si>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</si>
  <si>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</si>
  <si>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</si>
  <si>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</si>
  <si>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</si>
  <si>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</si>
  <si>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</si>
  <si>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</si>
  <si>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</si>
  <si>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</si>
  <si>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</si>
  <si>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</si>
  <si>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</si>
  <si>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</si>
  <si>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</si>
  <si>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</si>
  <si>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</si>
  <si>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</si>
  <si>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</si>
  <si>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</si>
  <si>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</si>
  <si>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</si>
  <si>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</si>
  <si>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</si>
  <si>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</si>
  <si>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</si>
  <si>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</si>
  <si>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</si>
  <si>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</si>
  <si>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</si>
  <si>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</si>
  <si>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</si>
  <si>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</si>
  <si>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</si>
  <si>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</si>
  <si>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</si>
  <si>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</si>
  <si>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</si>
  <si>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</si>
  <si>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</si>
  <si>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</si>
  <si>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</si>
  <si>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</si>
  <si>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</si>
  <si>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</si>
  <si>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</si>
  <si>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</si>
  <si>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</si>
  <si>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</si>
  <si>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</si>
  <si>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</si>
  <si>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</si>
  <si>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</si>
  <si>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</si>
  <si>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</si>
  <si>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</si>
  <si>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</si>
  <si>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</si>
  <si>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</si>
  <si>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</si>
  <si>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</si>
  <si>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</si>
  <si>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</si>
  <si>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</si>
  <si>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</si>
  <si>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</si>
  <si>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</si>
  <si>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</si>
  <si>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</si>
  <si>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</si>
  <si>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</si>
  <si>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</si>
  <si>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</si>
  <si>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</si>
  <si>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</si>
  <si>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</si>
  <si>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</si>
  <si>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</si>
  <si>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</si>
  <si>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</si>
  <si>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</si>
  <si>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</si>
  <si>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</si>
  <si>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</si>
  <si>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</si>
  <si>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</si>
  <si>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</si>
  <si>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</si>
  <si>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</si>
  <si>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</si>
  <si>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</si>
  <si>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</si>
  <si>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</si>
  <si>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</si>
  <si>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</si>
  <si>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</si>
  <si>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</si>
  <si>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</si>
  <si>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</si>
  <si>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</si>
  <si>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</si>
  <si>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</si>
  <si>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</si>
  <si>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</si>
  <si>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</si>
  <si>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</si>
  <si>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</si>
  <si>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</si>
  <si>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</si>
  <si>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</si>
  <si>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</si>
  <si>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</si>
  <si>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</si>
  <si>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</si>
  <si>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</si>
  <si>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</si>
  <si>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</si>
  <si>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</si>
  <si>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</si>
  <si>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</si>
  <si>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</si>
  <si>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</si>
  <si>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</si>
  <si>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</si>
  <si>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</si>
  <si>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</si>
  <si>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</si>
  <si>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</si>
  <si>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</si>
  <si>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</si>
  <si>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</si>
  <si>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</si>
  <si>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</si>
  <si>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</si>
  <si>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</si>
  <si>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</si>
  <si>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</si>
  <si>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</si>
  <si>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</si>
  <si>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</si>
  <si>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</si>
  <si>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</si>
  <si>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</si>
  <si>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</si>
  <si>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</si>
  <si>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</si>
  <si>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</si>
  <si>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</si>
  <si>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</si>
  <si>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</si>
  <si>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</si>
  <si>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</si>
  <si>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</si>
  <si>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</si>
  <si>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</si>
  <si>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</si>
  <si>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</si>
  <si>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</si>
  <si>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</si>
  <si>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</si>
  <si>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</si>
  <si>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</si>
  <si>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</si>
  <si>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</si>
  <si>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</si>
  <si>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</si>
  <si>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</si>
  <si>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</si>
  <si>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</si>
  <si>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</si>
  <si>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</si>
  <si>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</si>
  <si>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</si>
  <si>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</si>
  <si>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</si>
  <si>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</si>
  <si>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</si>
  <si>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</si>
  <si>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</si>
  <si>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</si>
  <si>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</si>
  <si>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</si>
  <si>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</si>
  <si>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</si>
  <si>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</si>
  <si>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</si>
  <si>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</si>
  <si>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</si>
  <si>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</si>
  <si>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</si>
  <si>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</si>
  <si>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</si>
  <si>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</si>
  <si>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</si>
  <si>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</si>
  <si>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</si>
  <si>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</si>
  <si>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</si>
  <si>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</si>
  <si>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</si>
  <si>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</si>
  <si>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</si>
  <si>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</si>
  <si>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</si>
  <si>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</si>
  <si>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</si>
  <si>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</si>
  <si>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</si>
  <si>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</si>
  <si>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</si>
  <si>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</si>
  <si>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</si>
  <si>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</si>
  <si>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</si>
  <si>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</si>
  <si>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</si>
  <si>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</si>
  <si>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</si>
  <si>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</si>
  <si>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</si>
  <si>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</si>
  <si>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</si>
  <si>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</si>
  <si>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</si>
  <si>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</si>
  <si>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</si>
  <si>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</si>
  <si>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</si>
  <si>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</si>
  <si>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</si>
  <si>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</si>
  <si>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</si>
  <si>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</si>
  <si>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</si>
  <si>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</si>
  <si>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</si>
  <si>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</si>
  <si>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</si>
  <si>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</si>
  <si>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</si>
  <si>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</si>
  <si>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</si>
  <si>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</si>
  <si>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</si>
  <si>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</si>
  <si>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</si>
  <si>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</si>
  <si>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</si>
  <si>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</si>
  <si>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</si>
  <si>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</si>
  <si>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</si>
  <si>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</si>
  <si>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</si>
  <si>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</si>
  <si>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</si>
  <si>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</si>
  <si>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</si>
  <si>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</si>
  <si>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</si>
  <si>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</si>
  <si>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</si>
  <si>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</si>
  <si>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</si>
  <si>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</si>
  <si>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</si>
  <si>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</si>
  <si>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</si>
  <si>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</si>
  <si>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</si>
  <si>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</si>
  <si>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</si>
  <si>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</si>
  <si>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</si>
  <si>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</si>
  <si>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</si>
  <si>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</si>
  <si>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</si>
  <si>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</si>
  <si>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</si>
  <si>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</si>
  <si>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</si>
  <si>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</si>
  <si>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</si>
  <si>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</si>
  <si>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</si>
  <si>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</si>
  <si>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</si>
  <si>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</si>
  <si>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</si>
  <si>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</si>
  <si>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</si>
  <si>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</si>
  <si>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</si>
  <si>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</si>
  <si>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</si>
  <si>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</si>
  <si>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</si>
  <si>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</si>
  <si>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</si>
  <si>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</si>
  <si>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</si>
  <si>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</si>
  <si>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</si>
  <si>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</si>
  <si>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</si>
  <si>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</si>
  <si>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</si>
  <si>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</si>
  <si>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</si>
  <si>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</si>
  <si>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</si>
  <si>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</si>
  <si>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</si>
  <si>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</si>
  <si>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</si>
  <si>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</si>
  <si>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</si>
  <si>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</si>
  <si>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</si>
  <si>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</si>
  <si>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</si>
  <si>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</si>
  <si>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</si>
  <si>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</si>
  <si>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</si>
  <si>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</si>
  <si>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</si>
  <si>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</si>
  <si>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</si>
  <si>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</si>
  <si>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</si>
  <si>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</si>
  <si>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</si>
  <si>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</si>
  <si>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</si>
  <si>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</si>
  <si>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</si>
  <si>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</si>
  <si>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</si>
  <si>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</si>
  <si>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</si>
  <si>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</si>
  <si>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</si>
  <si>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</si>
  <si>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</si>
  <si>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</si>
  <si>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</si>
  <si>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</si>
  <si>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</si>
  <si>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</si>
  <si>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</si>
  <si>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</si>
  <si>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</si>
  <si>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</si>
  <si>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</si>
  <si>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</si>
  <si>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</si>
  <si>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</si>
  <si>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</si>
  <si>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</si>
  <si>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</si>
  <si>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</si>
  <si>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</si>
  <si>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</si>
  <si>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</si>
  <si>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</si>
  <si>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</si>
  <si>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</si>
  <si>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</si>
  <si>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</si>
  <si>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</si>
  <si>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</si>
  <si>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</si>
  <si>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</si>
  <si>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</si>
  <si>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</si>
  <si>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</si>
  <si>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</si>
  <si>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</si>
  <si>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</si>
  <si>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</si>
  <si>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</si>
  <si>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</si>
  <si>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</si>
  <si>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</si>
  <si>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</si>
  <si>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</si>
  <si>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</si>
  <si>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</si>
  <si>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</si>
  <si>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</si>
  <si>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</si>
  <si>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</si>
  <si>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</si>
  <si>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</si>
  <si>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</si>
  <si>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</si>
  <si>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</si>
  <si>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</si>
  <si>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</si>
  <si>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</si>
  <si>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</si>
  <si>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</si>
  <si>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</si>
  <si>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</si>
  <si>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</si>
  <si>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</si>
  <si>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</si>
  <si>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</si>
  <si>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</si>
  <si>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</si>
  <si>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</si>
  <si>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</si>
  <si>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</si>
  <si>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</si>
  <si>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</si>
  <si>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</si>
  <si>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</si>
  <si>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</si>
  <si>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</si>
  <si>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</si>
  <si>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</si>
  <si>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</si>
  <si>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</si>
  <si>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</si>
  <si>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</si>
  <si>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</si>
  <si>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</si>
  <si>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</si>
  <si>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</si>
  <si>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</si>
  <si>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</si>
  <si>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</si>
  <si>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</si>
  <si>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</si>
  <si>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</si>
  <si>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</si>
  <si>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</si>
  <si>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</si>
  <si>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</si>
  <si>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</si>
  <si>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</si>
  <si>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</si>
  <si>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</si>
  <si>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</si>
  <si>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</si>
  <si>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</si>
  <si>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</si>
  <si>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</si>
  <si>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</si>
  <si>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</si>
  <si>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</si>
  <si>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</si>
  <si>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</si>
  <si>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</si>
  <si>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</si>
  <si>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</si>
  <si>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</si>
  <si>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</si>
  <si>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</si>
  <si>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</si>
  <si>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</si>
  <si>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</si>
  <si>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</si>
  <si>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</si>
  <si>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</si>
  <si>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</si>
  <si>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</si>
  <si>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</si>
  <si>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</si>
  <si>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</si>
  <si>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</si>
  <si>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</si>
  <si>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</si>
  <si>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</si>
  <si>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</si>
  <si>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</si>
  <si>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</si>
  <si>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</si>
  <si>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</si>
  <si>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</si>
  <si>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</si>
  <si>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</si>
  <si>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</si>
  <si>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</si>
  <si>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</si>
  <si>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</si>
  <si>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</si>
  <si>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</si>
  <si>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</si>
  <si>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</si>
  <si>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</si>
  <si>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</si>
  <si>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</si>
  <si>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</si>
  <si>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</si>
  <si>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</si>
  <si>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</si>
  <si>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</si>
  <si>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</si>
  <si>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</si>
  <si>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</si>
  <si>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</si>
  <si>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</si>
  <si>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</si>
  <si>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</si>
  <si>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</si>
  <si>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</si>
  <si>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</si>
  <si>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</si>
  <si>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</si>
  <si>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</si>
  <si>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</si>
  <si>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</si>
  <si>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</si>
  <si>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</si>
  <si>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</si>
  <si>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</si>
  <si>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</si>
  <si>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</si>
  <si>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</si>
  <si>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</si>
  <si>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</si>
  <si>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</si>
  <si>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</si>
  <si>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</si>
  <si>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</si>
  <si>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</si>
  <si>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</si>
  <si>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</si>
  <si>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</si>
  <si>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</si>
  <si>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</si>
  <si>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</si>
  <si>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</si>
  <si>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</si>
  <si>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</si>
  <si>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</si>
  <si>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</si>
  <si>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</si>
  <si>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</si>
  <si>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</si>
  <si>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</si>
  <si>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</si>
  <si>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</si>
  <si>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</si>
  <si>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</si>
  <si>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</si>
  <si>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</si>
  <si>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</si>
  <si>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</si>
  <si>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</si>
  <si>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</si>
  <si>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</si>
  <si>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</si>
  <si>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</si>
  <si>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</si>
  <si>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</si>
  <si>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</si>
  <si>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</si>
  <si>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</si>
  <si>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</si>
  <si>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</si>
  <si>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</si>
  <si>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</si>
  <si>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</si>
  <si>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</si>
  <si>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</si>
  <si>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</si>
  <si>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</si>
  <si>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</si>
  <si>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</si>
  <si>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</si>
  <si>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</si>
  <si>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</si>
  <si>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</si>
  <si>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</si>
  <si>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</si>
  <si>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</si>
  <si>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</si>
  <si>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</si>
  <si>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</si>
  <si>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</si>
  <si>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</si>
  <si>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</si>
  <si>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</si>
  <si>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</si>
  <si>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</si>
  <si>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</si>
  <si>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</si>
  <si>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</si>
  <si>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</si>
  <si>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</si>
  <si>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</si>
  <si>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</si>
  <si>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</si>
  <si>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</si>
  <si>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</si>
  <si>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</si>
  <si>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</si>
  <si>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</si>
  <si>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</si>
  <si>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</si>
  <si>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</si>
  <si>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</si>
  <si>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</si>
  <si>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</si>
  <si>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</si>
  <si>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</si>
  <si>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</si>
  <si>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</si>
  <si>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</si>
  <si>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</si>
  <si>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</si>
  <si>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</si>
  <si>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</si>
  <si>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</si>
  <si>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</si>
  <si>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</si>
  <si>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</si>
  <si>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</si>
  <si>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</si>
  <si>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</si>
  <si>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</si>
  <si>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</si>
  <si>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</si>
  <si>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</si>
  <si>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</si>
  <si>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</si>
  <si>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</si>
  <si>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</si>
  <si>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</si>
  <si>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</si>
  <si>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</si>
  <si>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</si>
  <si>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</si>
  <si>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</si>
  <si>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</si>
  <si>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</si>
  <si>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</si>
  <si>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</si>
  <si>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</si>
  <si>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</si>
  <si>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</si>
  <si>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</si>
  <si>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</si>
  <si>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</si>
  <si>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</si>
  <si>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</si>
  <si>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</si>
  <si>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</si>
  <si>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</si>
  <si>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</si>
  <si>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</si>
  <si>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</si>
  <si>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</si>
  <si>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</si>
  <si>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</si>
  <si>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</si>
  <si>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</si>
  <si>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</si>
  <si>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</si>
  <si>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</si>
  <si>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</si>
  <si>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</si>
  <si>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</si>
  <si>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</si>
  <si>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</si>
  <si>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</si>
  <si>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</si>
  <si>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</si>
  <si>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</si>
  <si>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</si>
  <si>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</si>
  <si>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</si>
  <si>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</si>
  <si>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</si>
  <si>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</si>
  <si>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</si>
  <si>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</si>
  <si>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</si>
  <si>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</si>
  <si>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</si>
  <si>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</si>
  <si>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</si>
  <si>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</si>
  <si>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</si>
  <si>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</si>
  <si>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</si>
  <si>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</si>
  <si>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</si>
  <si>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</si>
  <si>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</si>
  <si>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</si>
  <si>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</si>
  <si>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</si>
  <si>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</si>
  <si>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</si>
  <si>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</si>
  <si>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</si>
  <si>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</si>
  <si>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</si>
  <si>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</si>
  <si>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</si>
  <si>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</si>
  <si>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</si>
  <si>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</si>
  <si>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</si>
  <si>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</si>
  <si>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</si>
  <si>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</si>
  <si>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</si>
  <si>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</si>
  <si>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</si>
  <si>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</si>
  <si>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</si>
  <si>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</si>
  <si>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</si>
  <si>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</si>
  <si>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</si>
  <si>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</si>
  <si>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</si>
  <si>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</si>
  <si>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</si>
  <si>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</si>
  <si>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</si>
  <si>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</si>
  <si>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</si>
  <si>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</si>
  <si>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</si>
  <si>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</si>
  <si>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</si>
  <si>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</si>
  <si>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</si>
  <si>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</si>
  <si>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</si>
  <si>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</si>
  <si>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</si>
  <si>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</si>
  <si>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</si>
  <si>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</si>
  <si>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</si>
  <si>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</si>
  <si>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</si>
  <si>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</si>
  <si>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</si>
  <si>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</si>
  <si>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</si>
  <si>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</si>
  <si>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</si>
  <si>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</si>
  <si>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</si>
  <si>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</si>
  <si>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</si>
  <si>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</si>
  <si>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</si>
  <si>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</si>
  <si>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</si>
  <si>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</si>
  <si>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</si>
  <si>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</si>
  <si>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</si>
  <si>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</si>
  <si>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</si>
  <si>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</si>
  <si>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</si>
  <si>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</si>
  <si>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</si>
  <si>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</si>
  <si>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</si>
  <si>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</si>
  <si>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</si>
  <si>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</si>
  <si>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</si>
  <si>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</si>
  <si>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</si>
  <si>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</si>
  <si>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</si>
  <si>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</si>
  <si>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</si>
  <si>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</si>
  <si>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</si>
  <si>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</si>
  <si>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Temperature (°F)</t>
  </si>
  <si>
    <t>Pressure (psia)</t>
  </si>
  <si>
    <t>Run Risk Analysis (note: Risk analysis could take ~5 min to run)?</t>
  </si>
  <si>
    <t>Standard fossil energy sources</t>
  </si>
  <si>
    <t>none</t>
  </si>
  <si>
    <t>Nth plant</t>
  </si>
  <si>
    <t>USA, average</t>
  </si>
  <si>
    <t>Based on August 12, 2021 NETL Comparison of Commercial, State-Of-The-Art, Fossil-Based Hydrogen Production Technologies</t>
  </si>
  <si>
    <t>V-L Mole Fraction</t>
  </si>
  <si>
    <t>Ar</t>
  </si>
  <si>
    <t>CO</t>
  </si>
  <si>
    <t>V-L Flowrate (kg/hr)</t>
  </si>
  <si>
    <t>Solids Flowrate (kg/hr)</t>
  </si>
  <si>
    <t>Temperature (°C)</t>
  </si>
  <si>
    <t>Pressure (MPa, abs)</t>
  </si>
  <si>
    <t>V-L Molecular Weight</t>
  </si>
  <si>
    <t>V-L Flowrate (lb/hr)</t>
  </si>
  <si>
    <t>Solids Flowrate (lb/hr)</t>
  </si>
  <si>
    <t>Mol flow basis kmol/h</t>
  </si>
  <si>
    <t>Heat of combustion (LHV, kJ/mol)</t>
  </si>
  <si>
    <t>Heat of combustion (HHV, kJ/mol)</t>
  </si>
  <si>
    <t>dHf (g, kJ/mol)</t>
  </si>
  <si>
    <t>dHf (l, kJ/mol)</t>
  </si>
  <si>
    <t xml:space="preserve">The methodology for developing the performance results presented in this report included performing steady-state simulations of the hydrogen plant configurations at the design capacity using the Aspen Plus® (Aspen) process modeling software.  The major plant equipment performance and process limits were based on published reports, information obtained from vendors and users of the technology, performance data from design/build utility projects, and/or best engineering judgment.  Mass and energy balance data from the Aspen models were used to size major pieces of equipment, which formed the basis for developing the cost estimates presented.
Full, bottom-up estimates for each case in this study were not pursued.  Instead, the capital and operation and maintenance (O&amp;M) costs for each of the cases were estimated using a combined bottom-up and scaling approach.  Black &amp; Veatch (B&amp;V) leveraged an in-house database and conceptual estimating models.  Costs were further calibrated using a combination of adjusted vendor-furnished data and scaled estimates from previous design/build projects.  In addition, cost scaling was performed on select plant areas using reference costs from prior NETL studies according to the 2019 revision of the QGESS document “Capital Cost Scaling Methodology: Revision 4 Report.” </t>
  </si>
  <si>
    <t xml:space="preserve">Note 1: while the process flow shows compression past 300 psia, H2A model framework excludes compression for transmission and distribution. Hence, entailed analysis does not include capital or energy use for the product hydrogen compressor. </t>
  </si>
  <si>
    <t>Power Summary</t>
  </si>
  <si>
    <t>Auxiliary Load Summary</t>
  </si>
  <si>
    <t>Air Blower, kWe</t>
  </si>
  <si>
    <t>Circulating Water Pumps, kWe</t>
  </si>
  <si>
    <t>Cooling Tower Fans, kWe</t>
  </si>
  <si>
    <t>Feedwater Pumps, kWe</t>
  </si>
  <si>
    <t>Ground Water Pumps, kWe</t>
  </si>
  <si>
    <t>Hydrogen Compressor, kWe</t>
  </si>
  <si>
    <t>Transformer Losses, kWe</t>
  </si>
  <si>
    <t>3/1/2022 source: https://alfred.stlouisfed.org/series?seid=PCU325325</t>
  </si>
  <si>
    <t>3/1/2022 source: http://data.bls.gov/timeseries/CEU3232500008?data_tool=Xgtable</t>
  </si>
  <si>
    <t>3/1/2022 source: https://fred.stlouisfed.org/series/GDPDEF#0</t>
  </si>
  <si>
    <t>3/2/2022 source: https://www.chemengonline.com/pci</t>
  </si>
  <si>
    <t>Feedwater &amp; Miscellaneous BOP Systems</t>
  </si>
  <si>
    <t>Hydrogen Production</t>
  </si>
  <si>
    <t>Instrumentation &amp; Control</t>
  </si>
  <si>
    <r>
      <t>Removed H</t>
    </r>
    <r>
      <rPr>
        <sz val="10"/>
        <rFont val="Calibri"/>
        <family val="2"/>
      </rPr>
      <t>₂</t>
    </r>
    <r>
      <rPr>
        <sz val="10"/>
        <rFont val="Arial"/>
        <family val="2"/>
      </rPr>
      <t xml:space="preserve"> compressor to pipeline pressure as it is out of scope for H2A production cases</t>
    </r>
  </si>
  <si>
    <t>Estimated based on site total cost in NETL report.</t>
  </si>
  <si>
    <t>feedstock Industrial Electricity Usage</t>
  </si>
  <si>
    <t>feedstockIndustrial_Electricity_Usage</t>
  </si>
  <si>
    <t>Using H2A default</t>
  </si>
  <si>
    <t>Administrative &amp; support labor</t>
  </si>
  <si>
    <t>Weighted average by sub-component list</t>
  </si>
  <si>
    <t>Cooling Water System</t>
  </si>
  <si>
    <t>https://netl.doe.gov/projects/files/QualityGuidelinesforEnergySystemStudiesCapitalCostScalingMethodologyRevision4Report_110719.pdf</t>
  </si>
  <si>
    <t>Includes buildings and other site improvements</t>
  </si>
  <si>
    <t>Project contingency ($)</t>
  </si>
  <si>
    <t>Process contingency ($)</t>
  </si>
  <si>
    <t>Maintenance labor</t>
  </si>
  <si>
    <r>
      <t>Miscellaneous Balance of Plant</t>
    </r>
    <r>
      <rPr>
        <vertAlign val="superscript"/>
        <sz val="10"/>
        <color rgb="FF383838"/>
        <rFont val="Calibri"/>
        <family val="2"/>
      </rPr>
      <t>A</t>
    </r>
    <r>
      <rPr>
        <sz val="10"/>
        <color rgb="FF383838"/>
        <rFont val="Calibri"/>
        <family val="2"/>
      </rPr>
      <t>, kWe</t>
    </r>
  </si>
  <si>
    <t>Air Separation Unit Auxiliaries, kWe</t>
  </si>
  <si>
    <t>Air Separation Unit Main Air Compressor, kWe</t>
  </si>
  <si>
    <t>Air Separation Unit Booster Compressor, kWe</t>
  </si>
  <si>
    <r>
      <t>CO</t>
    </r>
    <r>
      <rPr>
        <vertAlign val="subscript"/>
        <sz val="10"/>
        <color rgb="FF383838"/>
        <rFont val="Calibri"/>
        <family val="2"/>
      </rPr>
      <t>2</t>
    </r>
    <r>
      <rPr>
        <sz val="10"/>
        <color rgb="FF383838"/>
        <rFont val="Calibri"/>
        <family val="2"/>
      </rPr>
      <t xml:space="preserve"> Compression, kWe</t>
    </r>
  </si>
  <si>
    <t>https://edx.netl.doe.gov/dataset/fe-netl-co2-saline-storage-cost-model-2017</t>
  </si>
  <si>
    <t>CO₂ Mass Flowrate (metric tonnes/day)</t>
  </si>
  <si>
    <t>CO₂ Mass Flowrate (million metric tonnes/year)</t>
  </si>
  <si>
    <t>CO₂ Produced from Feedstock (metric tonnes CO₂/year)</t>
  </si>
  <si>
    <t>CO₂ Produced from Feedstock (kg CO₂/kg H2)</t>
  </si>
  <si>
    <t>CO₂ capture credit ($/metric ton CO₂ captured)</t>
  </si>
  <si>
    <t>Corporate ownership, with 1.5 debt to equity financing capital structure.</t>
  </si>
  <si>
    <t>Current Central Hydrogen Production from Natural Gas Autothermal Reforming</t>
  </si>
  <si>
    <r>
      <t>Autothermal reforming of natural gas to hydrogen is a potentially more economical method of producing hydrogen when carbon sequestration is implemented.  The purpose of this analysis is to assess the economic production of hydrogen from the autothermal reforming of natural gas while sequestering 94.5% of the carbon as CO</t>
    </r>
    <r>
      <rPr>
        <sz val="10"/>
        <rFont val="Calibri"/>
        <family val="2"/>
      </rPr>
      <t>₂</t>
    </r>
    <r>
      <rPr>
        <sz val="10"/>
        <rFont val="Arial"/>
        <family val="2"/>
      </rPr>
      <t>.</t>
    </r>
  </si>
  <si>
    <t xml:space="preserve">Natural gas is fed into the autothermal reformer (ATR) plant via pipeline at 435 psia, desulfurized, and mixed with steam at 400°C. At these conditions, ethane and heavier species are cracked in a prereformer to avoid subsequent coking in the autothermal reformer reactor. Cryogenic air separation unit provides 95% oxygen feed at 480 psia to the prereformer outlet stream. The autothermal reformer is fed with an overall oxygen to carbon (O₂/C) ratio of 0.65 and a steam to carbon (H₂O/C) ratio of 1.5. Autothermal reforming reactor has two operating sections – a partial oxidation portion, which is exothermic and a subsequent steam reforming portion which is endothermic. The reactor is catalyzed and gas outlet temperature of 1,093°C provides a carbon conversion rate of over 99%. ATR syngas is then cooled to 204°C and fed to a shift reactor, converting 97% of syngas carbon monoxide to hydrogen. Shift exhaust is augmented with recirculated pressure swing absorber (PSA) effluent to increase concentration of CO₂ before a methyl diethanolamine scrubber. 94.5% of product CO₂ is captured, dried, and compressed for transport and sequestration. Scrubber effluent is then fed to a PSA unit at 340 psia and product hydrogen with 99.9% purity and 330 psia is made available for subsequent compression and transmission. Non-hydrogen species are desorbed from the PSA unit at 20 psia. 31% of the effluent gas is then recycled to the shift exhaust and the remaining combustibles are burned with supplemental air before venting to the atmosphere. </t>
  </si>
  <si>
    <t>Note 2: CO₂ transport and sequestration are modeled explicitly in the "Carbon Sequestration" tab of this model, which is based on NETL's CO₂ transport and storage model. Thus, CO₂ compressor specified in the source study is preempted by H2A explicit transport and sequestration calculations.</t>
  </si>
  <si>
    <t>Key parameters</t>
  </si>
  <si>
    <t>Steam/carbon ratio (mol/mol)</t>
  </si>
  <si>
    <r>
      <t>O</t>
    </r>
    <r>
      <rPr>
        <sz val="10"/>
        <rFont val="Calibri"/>
        <family val="2"/>
      </rPr>
      <t>₂</t>
    </r>
    <r>
      <rPr>
        <sz val="10"/>
        <rFont val="Arial"/>
        <family val="2"/>
      </rPr>
      <t>/C ratio (mol/mol)</t>
    </r>
  </si>
  <si>
    <t>Feed rate (kJ/h)</t>
  </si>
  <si>
    <t>LHV, HHV</t>
  </si>
  <si>
    <t>Feed rate (kW)</t>
  </si>
  <si>
    <t>Feed rate (mmBTU/h)</t>
  </si>
  <si>
    <t>Product rate (kJ/h)</t>
  </si>
  <si>
    <t>Product rate (kW)</t>
  </si>
  <si>
    <t>Product rate (kg/day)</t>
  </si>
  <si>
    <t>Carbon feed rate (mol/h)</t>
  </si>
  <si>
    <t>Carbon sequestering rate (mol/h)</t>
  </si>
  <si>
    <t>Carbon sequestration fraction (%)</t>
  </si>
  <si>
    <t>ATR carbon reforming rate</t>
  </si>
  <si>
    <t>Shift CO conversion rate</t>
  </si>
  <si>
    <t>PSA recycle rate</t>
  </si>
  <si>
    <t>Fuel use (mmBTU, LHV/kg H₂)</t>
  </si>
  <si>
    <t>Raw water withdrawal (gal/min)</t>
  </si>
  <si>
    <r>
      <t>Raw water withdrawal (gal/kg H</t>
    </r>
    <r>
      <rPr>
        <sz val="10"/>
        <rFont val="Calibri"/>
        <family val="2"/>
      </rPr>
      <t>₂</t>
    </r>
    <r>
      <rPr>
        <sz val="10"/>
        <rFont val="Arial"/>
        <family val="2"/>
      </rPr>
      <t>)</t>
    </r>
  </si>
  <si>
    <t>Electricity use (kW)</t>
  </si>
  <si>
    <r>
      <t>Electricity use (kWh/kg H</t>
    </r>
    <r>
      <rPr>
        <sz val="10"/>
        <rFont val="Calibri"/>
        <family val="2"/>
      </rPr>
      <t>₂</t>
    </r>
    <r>
      <rPr>
        <sz val="10"/>
        <rFont val="Arial"/>
        <family val="2"/>
      </rPr>
      <t>)</t>
    </r>
  </si>
  <si>
    <r>
      <t>CH</t>
    </r>
    <r>
      <rPr>
        <vertAlign val="subscript"/>
        <sz val="8"/>
        <color rgb="FF383838"/>
        <rFont val="Calibri"/>
        <family val="2"/>
      </rPr>
      <t>4</t>
    </r>
  </si>
  <si>
    <r>
      <t>CH</t>
    </r>
    <r>
      <rPr>
        <vertAlign val="subscript"/>
        <sz val="8"/>
        <color rgb="FF383838"/>
        <rFont val="Calibri"/>
        <family val="2"/>
      </rPr>
      <t>4</t>
    </r>
    <r>
      <rPr>
        <sz val="8"/>
        <color rgb="FF383838"/>
        <rFont val="Calibri"/>
        <family val="2"/>
      </rPr>
      <t>S</t>
    </r>
  </si>
  <si>
    <r>
      <t>C</t>
    </r>
    <r>
      <rPr>
        <vertAlign val="subscript"/>
        <sz val="8"/>
        <color rgb="FF383838"/>
        <rFont val="Calibri"/>
        <family val="2"/>
      </rPr>
      <t>2</t>
    </r>
    <r>
      <rPr>
        <sz val="8"/>
        <color rgb="FF383838"/>
        <rFont val="Calibri"/>
        <family val="2"/>
      </rPr>
      <t>H</t>
    </r>
    <r>
      <rPr>
        <vertAlign val="subscript"/>
        <sz val="8"/>
        <color rgb="FF383838"/>
        <rFont val="Calibri"/>
        <family val="2"/>
      </rPr>
      <t>6</t>
    </r>
  </si>
  <si>
    <r>
      <t>C</t>
    </r>
    <r>
      <rPr>
        <vertAlign val="subscript"/>
        <sz val="8"/>
        <color rgb="FF383838"/>
        <rFont val="Calibri"/>
        <family val="2"/>
      </rPr>
      <t>3</t>
    </r>
    <r>
      <rPr>
        <sz val="8"/>
        <color rgb="FF383838"/>
        <rFont val="Calibri"/>
        <family val="2"/>
      </rPr>
      <t>H</t>
    </r>
    <r>
      <rPr>
        <vertAlign val="subscript"/>
        <sz val="8"/>
        <color rgb="FF383838"/>
        <rFont val="Calibri"/>
        <family val="2"/>
      </rPr>
      <t>8</t>
    </r>
  </si>
  <si>
    <r>
      <t>C</t>
    </r>
    <r>
      <rPr>
        <vertAlign val="subscript"/>
        <sz val="8"/>
        <color rgb="FF383838"/>
        <rFont val="Calibri"/>
        <family val="2"/>
      </rPr>
      <t>4</t>
    </r>
    <r>
      <rPr>
        <sz val="8"/>
        <color rgb="FF383838"/>
        <rFont val="Calibri"/>
        <family val="2"/>
      </rPr>
      <t>H</t>
    </r>
    <r>
      <rPr>
        <vertAlign val="subscript"/>
        <sz val="8"/>
        <color rgb="FF383838"/>
        <rFont val="Calibri"/>
        <family val="2"/>
      </rPr>
      <t>10</t>
    </r>
  </si>
  <si>
    <r>
      <t>CO</t>
    </r>
    <r>
      <rPr>
        <vertAlign val="subscript"/>
        <sz val="8"/>
        <color rgb="FF383838"/>
        <rFont val="Calibri"/>
        <family val="2"/>
      </rPr>
      <t>2</t>
    </r>
  </si>
  <si>
    <r>
      <t>H</t>
    </r>
    <r>
      <rPr>
        <vertAlign val="subscript"/>
        <sz val="8"/>
        <color rgb="FF383838"/>
        <rFont val="Calibri"/>
        <family val="2"/>
      </rPr>
      <t>2</t>
    </r>
  </si>
  <si>
    <r>
      <t>H</t>
    </r>
    <r>
      <rPr>
        <vertAlign val="subscript"/>
        <sz val="8"/>
        <color rgb="FF383838"/>
        <rFont val="Calibri"/>
        <family val="2"/>
      </rPr>
      <t>2</t>
    </r>
    <r>
      <rPr>
        <sz val="8"/>
        <color rgb="FF383838"/>
        <rFont val="Calibri"/>
        <family val="2"/>
      </rPr>
      <t>O</t>
    </r>
  </si>
  <si>
    <r>
      <t>N</t>
    </r>
    <r>
      <rPr>
        <vertAlign val="subscript"/>
        <sz val="8"/>
        <color rgb="FF383838"/>
        <rFont val="Calibri"/>
        <family val="2"/>
      </rPr>
      <t>2</t>
    </r>
  </si>
  <si>
    <r>
      <t>O</t>
    </r>
    <r>
      <rPr>
        <vertAlign val="subscript"/>
        <sz val="8"/>
        <color rgb="FF383838"/>
        <rFont val="Calibri"/>
        <family val="2"/>
      </rPr>
      <t>2</t>
    </r>
  </si>
  <si>
    <r>
      <t>SO</t>
    </r>
    <r>
      <rPr>
        <vertAlign val="subscript"/>
        <sz val="8"/>
        <color rgb="FF383838"/>
        <rFont val="Calibri"/>
        <family val="2"/>
      </rPr>
      <t>2</t>
    </r>
  </si>
  <si>
    <r>
      <t>V-L Flowrate (kg</t>
    </r>
    <r>
      <rPr>
        <vertAlign val="subscript"/>
        <sz val="8"/>
        <color rgb="FF383838"/>
        <rFont val="Calibri"/>
        <family val="2"/>
      </rPr>
      <t>mol</t>
    </r>
    <r>
      <rPr>
        <sz val="8"/>
        <color rgb="FF383838"/>
        <rFont val="Calibri"/>
        <family val="2"/>
      </rPr>
      <t>/hr)</t>
    </r>
  </si>
  <si>
    <r>
      <t>Steam Table Enthalpy (kJ/kg)</t>
    </r>
    <r>
      <rPr>
        <vertAlign val="superscript"/>
        <sz val="8"/>
        <color rgb="FF383838"/>
        <rFont val="Calibri"/>
        <family val="2"/>
      </rPr>
      <t>A</t>
    </r>
  </si>
  <si>
    <r>
      <t>AspenPlus Enthalpy (kJ/kg)</t>
    </r>
    <r>
      <rPr>
        <vertAlign val="superscript"/>
        <sz val="8"/>
        <color rgb="FF383838"/>
        <rFont val="Calibri"/>
        <family val="2"/>
      </rPr>
      <t>B</t>
    </r>
  </si>
  <si>
    <r>
      <t>Density (kg/m</t>
    </r>
    <r>
      <rPr>
        <vertAlign val="superscript"/>
        <sz val="8"/>
        <color rgb="FF383838"/>
        <rFont val="Calibri"/>
        <family val="2"/>
      </rPr>
      <t>3</t>
    </r>
    <r>
      <rPr>
        <sz val="8"/>
        <color rgb="FF383838"/>
        <rFont val="Calibri"/>
        <family val="2"/>
      </rPr>
      <t>)</t>
    </r>
  </si>
  <si>
    <r>
      <t>V-L Flowrate (lb</t>
    </r>
    <r>
      <rPr>
        <vertAlign val="subscript"/>
        <sz val="8"/>
        <color rgb="FF383838"/>
        <rFont val="Calibri"/>
        <family val="2"/>
      </rPr>
      <t>mol</t>
    </r>
    <r>
      <rPr>
        <sz val="8"/>
        <color rgb="FF383838"/>
        <rFont val="Calibri"/>
        <family val="2"/>
      </rPr>
      <t>/hr)</t>
    </r>
  </si>
  <si>
    <r>
      <t>Steam Table Enthalpy (Btu/lb)</t>
    </r>
    <r>
      <rPr>
        <vertAlign val="superscript"/>
        <sz val="8"/>
        <color rgb="FF383838"/>
        <rFont val="Calibri"/>
        <family val="2"/>
      </rPr>
      <t>A</t>
    </r>
  </si>
  <si>
    <r>
      <t>AspenPlus Enthalpy (Btu/lb)</t>
    </r>
    <r>
      <rPr>
        <vertAlign val="superscript"/>
        <sz val="8"/>
        <color rgb="FF383838"/>
        <rFont val="Calibri"/>
        <family val="2"/>
      </rPr>
      <t>B</t>
    </r>
  </si>
  <si>
    <r>
      <t>Density (lb/ft</t>
    </r>
    <r>
      <rPr>
        <vertAlign val="superscript"/>
        <sz val="8"/>
        <color rgb="FF383838"/>
        <rFont val="Calibri"/>
        <family val="2"/>
      </rPr>
      <t>3</t>
    </r>
    <r>
      <rPr>
        <sz val="8"/>
        <color rgb="FF383838"/>
        <rFont val="Calibri"/>
        <family val="2"/>
      </rPr>
      <t>)</t>
    </r>
  </si>
  <si>
    <t>In-H2A scope</t>
  </si>
  <si>
    <r>
      <t>CO</t>
    </r>
    <r>
      <rPr>
        <vertAlign val="subscript"/>
        <sz val="10"/>
        <color rgb="FF383838"/>
        <rFont val="Calibri"/>
        <family val="2"/>
      </rPr>
      <t>2</t>
    </r>
    <r>
      <rPr>
        <sz val="10"/>
        <color rgb="FF383838"/>
        <rFont val="Calibri"/>
        <family val="2"/>
      </rPr>
      <t xml:space="preserve"> Capture/Removal Auxiliaries, kWe</t>
    </r>
  </si>
  <si>
    <t>Fuel Gas Recycle Compressor, kWe</t>
  </si>
  <si>
    <t>Removed as it is out of scope for H2A production framework</t>
  </si>
  <si>
    <t>Oxygen Pump, kWe</t>
  </si>
  <si>
    <t>Total Auxiliaries, kWe</t>
  </si>
  <si>
    <t>Price Conversion Factor (GJ/mmBtu)</t>
  </si>
  <si>
    <t>Price in Startup Year ($2016)/mmBtu</t>
  </si>
  <si>
    <t>Usage (mmBtu/kg H2)</t>
  </si>
  <si>
    <t>Accessory Electric Plant</t>
  </si>
  <si>
    <t>Fired Heater, Ductwork, &amp; Stack</t>
  </si>
  <si>
    <t>Flue Gas Cleanup</t>
  </si>
  <si>
    <t>Reformer &amp; Accessories</t>
  </si>
  <si>
    <r>
      <t>Current Central Hydrogen Production from Natural Gas Autothermal Reforming with CO</t>
    </r>
    <r>
      <rPr>
        <b/>
        <sz val="12"/>
        <rFont val="Calibri"/>
        <family val="2"/>
      </rPr>
      <t>₂</t>
    </r>
    <r>
      <rPr>
        <b/>
        <sz val="12"/>
        <rFont val="Arial"/>
        <family val="2"/>
      </rPr>
      <t xml:space="preserve"> Capture and Sequestration.</t>
    </r>
  </si>
  <si>
    <r>
      <t>Air separation unit, water treatment, desulfurization, autothermal pre-reformer, autothermal reformer, shift, pressure swing absorption, methyl diethanolamine CO</t>
    </r>
    <r>
      <rPr>
        <sz val="10"/>
        <rFont val="Calibri"/>
        <family val="2"/>
      </rPr>
      <t>₂</t>
    </r>
    <r>
      <rPr>
        <sz val="10"/>
        <rFont val="Arial"/>
        <family val="2"/>
      </rPr>
      <t xml:space="preserve"> separation</t>
    </r>
  </si>
  <si>
    <t>$/1,000</t>
  </si>
  <si>
    <r>
      <t>$/[kg H</t>
    </r>
    <r>
      <rPr>
        <b/>
        <vertAlign val="subscript"/>
        <sz val="10"/>
        <color rgb="FFFFFFFF"/>
        <rFont val="Calibri"/>
        <family val="2"/>
      </rPr>
      <t>2</t>
    </r>
    <r>
      <rPr>
        <b/>
        <sz val="10"/>
        <color rgb="FFFFFFFF"/>
        <rFont val="Calibri"/>
        <family val="2"/>
      </rPr>
      <t>/day]</t>
    </r>
  </si>
  <si>
    <t>Pre-Production Costs</t>
  </si>
  <si>
    <t>6 Months All Labor</t>
  </si>
  <si>
    <t>1 Month Maintenance Materials</t>
  </si>
  <si>
    <t>1 Month Non-Fuel Consumables</t>
  </si>
  <si>
    <t>1 Month Waste Disposal</t>
  </si>
  <si>
    <t>25% of 1 Months Fuel Cost at 100% CF</t>
  </si>
  <si>
    <t>2% of TPC</t>
  </si>
  <si>
    <t>Inventory Capital</t>
  </si>
  <si>
    <t>60-day supply of fuel and consumables at 100% CF</t>
  </si>
  <si>
    <t>0.5% of TPC (spare parts)</t>
  </si>
  <si>
    <t>Other Costs</t>
  </si>
  <si>
    <t>Initial Cost for Catalyst and Chemicals</t>
  </si>
  <si>
    <t>Land</t>
  </si>
  <si>
    <t>Other Owner’s Costs</t>
  </si>
  <si>
    <t>Financing Costs</t>
  </si>
  <si>
    <t>Total Overnight Costs (TOC)</t>
  </si>
  <si>
    <t>TASC Multiplier (IOU, 35 year)</t>
  </si>
  <si>
    <t>Total As-Spent Cost (TASC)</t>
  </si>
  <si>
    <t>https://netl.doe.gov/energy-analysis/details?id=ed4825aa-8f04-4df7-abef-60e564f636c9</t>
  </si>
  <si>
    <t>Lewis, E. et al. 2022. Comparison of commercial, state-of-the-art, fossil-based hydrogen production technologies. National Energy Technology Laboratory (NETL).</t>
  </si>
  <si>
    <r>
      <t xml:space="preserve">Based on Case 3 of NETL 2022 Comparison of Commercial, State-of-the-Art, Fossil-Based Hydrogen Production Technologies </t>
    </r>
    <r>
      <rPr>
        <sz val="10"/>
        <rFont val="Calibri"/>
        <family val="2"/>
      </rPr>
      <t>↓</t>
    </r>
  </si>
  <si>
    <t>Coefficients</t>
  </si>
  <si>
    <t>Transport</t>
  </si>
  <si>
    <t>Storage</t>
  </si>
  <si>
    <t>a</t>
  </si>
  <si>
    <t>Nominal cost in flow start year:</t>
  </si>
  <si>
    <t>Cost (nominal $/tonne CO₂)</t>
  </si>
  <si>
    <t>Transport model linearization coefficients</t>
  </si>
  <si>
    <r>
      <rPr>
        <b/>
        <sz val="10"/>
        <rFont val="Arial"/>
        <family val="2"/>
      </rPr>
      <t>A</t>
    </r>
    <r>
      <rPr>
        <sz val="10"/>
        <rFont val="Arial"/>
        <family val="2"/>
      </rPr>
      <t>: transport quantity (MMT/y)</t>
    </r>
  </si>
  <si>
    <r>
      <rPr>
        <b/>
        <sz val="10"/>
        <rFont val="Arial"/>
        <family val="2"/>
      </rPr>
      <t xml:space="preserve">B: </t>
    </r>
    <r>
      <rPr>
        <sz val="10"/>
        <rFont val="Arial"/>
        <family val="2"/>
      </rPr>
      <t xml:space="preserve">1/capacity factor </t>
    </r>
  </si>
  <si>
    <t>Term exponents</t>
  </si>
  <si>
    <t>Reference:</t>
  </si>
  <si>
    <t>https://www.netl.doe.gov/energy-analysis/details?id=b37414b7-20d3-4fb2-bca6-b6146b26198a</t>
  </si>
  <si>
    <r>
      <t>CO</t>
    </r>
    <r>
      <rPr>
        <sz val="11"/>
        <rFont val="Calibri"/>
        <family val="2"/>
      </rPr>
      <t>₂</t>
    </r>
    <r>
      <rPr>
        <sz val="11"/>
        <rFont val="Arial"/>
        <family val="2"/>
      </rPr>
      <t xml:space="preserve"> Transport</t>
    </r>
  </si>
  <si>
    <r>
      <t>CO</t>
    </r>
    <r>
      <rPr>
        <sz val="11"/>
        <rFont val="Calibri"/>
        <family val="2"/>
      </rPr>
      <t>₂</t>
    </r>
    <r>
      <rPr>
        <sz val="11"/>
        <rFont val="Arial"/>
        <family val="2"/>
      </rPr>
      <t xml:space="preserve"> Injection</t>
    </r>
  </si>
  <si>
    <t>CCS credit</t>
  </si>
  <si>
    <t>Carbon transport and sequestration capacity factor</t>
  </si>
  <si>
    <t xml:space="preserve">Updated CO₂ Sequestration tab to be based on:
* FE/NETL CO₂ Transport Cost Model (2022)
* FE/NETL CO₂ Saline Storage Cost Model (2017)
See links below
</t>
  </si>
  <si>
    <t>Coefficients linearizing CO₂ injection cost per metric tonne based on * FE/NETL CO₂ Saline Storage Cost Model (2017) with the following adjustments:
- Injection formation = Woodbine1 (in East Texas)
- Operating life = 40 years
- First transport year = 2015
- System capacity factor = variable; linearized between 10% and 100%
- CO₂ flow = variable; linearized between 0.1 and 12 million metric tonnes / year
- Cost per transported tonne of CO₂ were linearized on 2015 nominal $ basis</t>
  </si>
  <si>
    <t>Saline storage model linearization coefficients</t>
  </si>
  <si>
    <t>Coefficients linearizing CO₂  transport cost per metric tonne-mile based on FE/NETL CO₂ Transport Cost Model (2022) with the following adjustments:
- Operating life = 40 years
- First transport year = 2015
- System capacity factor = variable; linearized between 10% and 100%
- CO₂ flow = variable; linearized between 0.1 and 12 million metric tonnes / year
- Linearization validity is for transport distance of 30 to 1,000 miles
- Cost per transported tonne of CO₂ were linearized on 2015 nominal $ basis</t>
  </si>
  <si>
    <t>Costs for carbon (CO₂) transport to the sequestration site and injection are calculated in this section. Costs for CO₂ compression to 2,200psia are to be included in the capital and operating costs for the production facility and are not included here. In scope of the sheet below is pipeline transport to an saline geologic formation, pumping to compensate for CO₂ pressure loss, injection into formation, and post-injection site care. Detailed description and accounting can be found in the referenced models by FE/NETL.</t>
  </si>
  <si>
    <t>Pipeline Length (km)</t>
  </si>
  <si>
    <t>Syngas Gas Cleanup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</si>
</sst>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4">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quot;$&quot;* #,##0.0_);_(&quot;$&quot;* \(#,##0.0\);_(&quot;$&quot;* &quot;-&quot;??_);_(@_)"/>
  </numFmts>
  <fonts count="82" x14ac:knownFonts="1">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b/>
      <sz val="14"/>
      <color indexed="12"/>
      <name val="Arial Black"/>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sz val="8"/>
      <color rgb="FF000000"/>
      <name val="Segoe UI"/>
      <family val="2"/>
    </font>
    <font>
      <b/>
      <sz val="10"/>
      <color rgb="FFFFFFFF"/>
      <name val="Calibri"/>
      <family val="2"/>
    </font>
    <font>
      <b/>
      <sz val="10"/>
      <color rgb="FF0000FF"/>
      <name val="Arial"/>
      <family val="2"/>
    </font>
    <font>
      <b/>
      <i/>
      <sz val="10"/>
      <color rgb="FF0000FF"/>
      <name val="Arial"/>
      <family val="2"/>
    </font>
    <font>
      <b/>
      <sz val="11"/>
      <color rgb="FF0000FF"/>
      <name val="Calibri"/>
      <family val="2"/>
      <scheme val="minor"/>
    </font>
    <font>
      <b/>
      <sz val="12"/>
      <name val="Calibri"/>
      <family val="2"/>
    </font>
    <font>
      <sz val="10"/>
      <color rgb="FF383838"/>
      <name val="Calibri"/>
      <family val="2"/>
    </font>
    <font>
      <vertAlign val="superscript"/>
      <sz val="10"/>
      <color rgb="FF383838"/>
      <name val="Calibri"/>
      <family val="2"/>
    </font>
    <font>
      <vertAlign val="subscript"/>
      <sz val="10"/>
      <color rgb="FF383838"/>
      <name val="Calibri"/>
      <family val="2"/>
    </font>
    <font>
      <b/>
      <sz val="10"/>
      <color rgb="FF383838"/>
      <name val="Calibri"/>
      <family val="2"/>
    </font>
    <font>
      <sz val="11"/>
      <name val="Calibri"/>
      <family val="2"/>
    </font>
    <font>
      <b/>
      <sz val="14"/>
      <name val="Arial Black"/>
      <family val="2"/>
    </font>
    <font>
      <sz val="10"/>
      <color theme="0" tint="-0.14999847407452621"/>
      <name val="Arial"/>
      <family val="2"/>
    </font>
    <font>
      <sz val="8"/>
      <color rgb="FFFFFFFF"/>
      <name val="Calibri"/>
      <family val="2"/>
    </font>
    <font>
      <sz val="8"/>
      <color rgb="FF383838"/>
      <name val="Calibri"/>
      <family val="2"/>
    </font>
    <font>
      <vertAlign val="subscript"/>
      <sz val="8"/>
      <color rgb="FF383838"/>
      <name val="Calibri"/>
      <family val="2"/>
    </font>
    <font>
      <vertAlign val="superscript"/>
      <sz val="8"/>
      <color rgb="FF383838"/>
      <name val="Calibri"/>
      <family val="2"/>
    </font>
    <font>
      <sz val="10"/>
      <color theme="1"/>
      <name val="Arial"/>
      <family val="2"/>
    </font>
    <font>
      <sz val="10"/>
      <color theme="0"/>
      <name val="Arial"/>
      <family val="2"/>
    </font>
    <font>
      <b/>
      <vertAlign val="subscript"/>
      <sz val="10"/>
      <color rgb="FFFFFFFF"/>
      <name val="Calibri"/>
      <family val="2"/>
    </font>
  </fonts>
  <fills count="29">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00B0D9"/>
        <bgColor indexed="64"/>
      </patternFill>
    </fill>
    <fill>
      <patternFill patternType="solid">
        <fgColor rgb="FF99CA3D"/>
        <bgColor indexed="64"/>
      </patternFill>
    </fill>
    <fill>
      <patternFill patternType="solid">
        <fgColor theme="1" tint="0.499984740745262"/>
        <bgColor indexed="64"/>
      </patternFill>
    </fill>
  </fills>
  <borders count="18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double">
        <color indexed="64"/>
      </bottom>
      <diagonal/>
    </border>
    <border>
      <left style="medium">
        <color rgb="FF8A8C8E"/>
      </left>
      <right style="medium">
        <color rgb="FF8A8C8E"/>
      </right>
      <top style="medium">
        <color rgb="FF8A8C8E"/>
      </top>
      <bottom style="medium">
        <color rgb="FF8A8C8E"/>
      </bottom>
      <diagonal/>
    </border>
    <border>
      <left/>
      <right style="medium">
        <color rgb="FF8A8C8E"/>
      </right>
      <top style="medium">
        <color rgb="FF8A8C8E"/>
      </top>
      <bottom style="medium">
        <color rgb="FF8A8C8E"/>
      </bottom>
      <diagonal/>
    </border>
    <border>
      <left style="medium">
        <color rgb="FF8A8C8E"/>
      </left>
      <right style="medium">
        <color rgb="FF8A8C8E"/>
      </right>
      <top/>
      <bottom style="medium">
        <color rgb="FF8A8C8E"/>
      </bottom>
      <diagonal/>
    </border>
    <border>
      <left/>
      <right style="medium">
        <color rgb="FF8A8C8E"/>
      </right>
      <top/>
      <bottom style="medium">
        <color rgb="FF8A8C8E"/>
      </bottom>
      <diagonal/>
    </border>
    <border>
      <left style="medium">
        <color rgb="FF8A8C8E"/>
      </left>
      <right/>
      <top style="medium">
        <color rgb="FF8A8C8E"/>
      </top>
      <bottom style="medium">
        <color rgb="FF8A8C8E"/>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top/>
      <bottom style="medium">
        <color rgb="FF8A8C8E"/>
      </bottom>
      <diagonal/>
    </border>
    <border>
      <left/>
      <right/>
      <top style="medium">
        <color rgb="FF8A8C8E"/>
      </top>
      <bottom style="medium">
        <color rgb="FF8A8C8E"/>
      </bottom>
      <diagonal/>
    </border>
    <border>
      <left style="thin">
        <color indexed="64"/>
      </left>
      <right style="thin">
        <color indexed="64"/>
      </right>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22">
    <xf numFmtId="0" fontId="0" fillId="0" borderId="0"/>
    <xf numFmtId="43" fontId="2" fillId="0" borderId="0" applyFont="0" applyFill="0" applyBorder="0" applyAlignment="0" applyProtection="0"/>
    <xf numFmtId="43" fontId="50" fillId="0" borderId="0" applyFont="0" applyFill="0" applyBorder="0" applyAlignment="0" applyProtection="0"/>
    <xf numFmtId="44" fontId="2" fillId="0" borderId="0" applyFont="0" applyFill="0" applyBorder="0" applyAlignment="0" applyProtection="0"/>
    <xf numFmtId="44"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73" fontId="42" fillId="0" borderId="0"/>
    <xf numFmtId="173" fontId="42" fillId="0" borderId="0"/>
    <xf numFmtId="0" fontId="12" fillId="0" borderId="0"/>
    <xf numFmtId="0" fontId="12" fillId="0" borderId="0"/>
    <xf numFmtId="173"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575">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Alignment="1">
      <alignment horizontal="left" vertical="center" wrapText="1"/>
    </xf>
    <xf numFmtId="1" fontId="8" fillId="2" borderId="0" xfId="0" applyNumberFormat="1" applyFont="1" applyFill="1" applyAlignment="1">
      <alignment horizontal="center" vertical="center"/>
    </xf>
    <xf numFmtId="3" fontId="8" fillId="0" borderId="0" xfId="0" applyNumberFormat="1" applyFont="1" applyAlignment="1">
      <alignment horizontal="center" vertical="center"/>
    </xf>
    <xf numFmtId="0" fontId="8" fillId="2" borderId="4" xfId="0" applyFont="1" applyFill="1" applyBorder="1" applyAlignment="1">
      <alignment vertical="center" wrapText="1"/>
    </xf>
    <xf numFmtId="0" fontId="9" fillId="2" borderId="0" xfId="0" applyFont="1" applyFill="1" applyAlignment="1">
      <alignment vertical="center" wrapText="1"/>
    </xf>
    <xf numFmtId="3" fontId="8" fillId="2" borderId="0" xfId="0" applyNumberFormat="1" applyFont="1" applyFill="1" applyAlignment="1">
      <alignment horizontal="center" vertical="center"/>
    </xf>
    <xf numFmtId="166" fontId="8" fillId="2" borderId="0" xfId="0" applyNumberFormat="1" applyFont="1" applyFill="1" applyAlignment="1">
      <alignment horizontal="center" vertical="center"/>
    </xf>
    <xf numFmtId="3" fontId="8" fillId="2" borderId="0" xfId="0" applyNumberFormat="1" applyFont="1" applyFill="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Alignment="1">
      <alignment vertical="center"/>
    </xf>
    <xf numFmtId="3" fontId="8" fillId="2" borderId="0" xfId="0" quotePrefix="1" applyNumberFormat="1" applyFont="1" applyFill="1" applyAlignment="1">
      <alignment horizontal="center" vertical="center" wrapText="1"/>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12" fillId="0" borderId="0" xfId="0" applyFont="1" applyAlignment="1">
      <alignment vertical="top" wrapText="1"/>
    </xf>
    <xf numFmtId="0" fontId="12" fillId="3" borderId="8" xfId="0" applyFont="1" applyFill="1" applyBorder="1" applyAlignment="1">
      <alignment horizontal="left" vertical="center" wrapText="1"/>
    </xf>
    <xf numFmtId="0" fontId="17" fillId="0" borderId="0" xfId="0" applyFont="1"/>
    <xf numFmtId="0" fontId="12" fillId="0" borderId="0" xfId="0" applyFont="1" applyAlignment="1">
      <alignment horizontal="left" vertical="center" wrapText="1"/>
    </xf>
    <xf numFmtId="0" fontId="4" fillId="0" borderId="0" xfId="0" quotePrefix="1" applyFont="1" applyAlignment="1">
      <alignment horizontal="left" vertical="center"/>
    </xf>
    <xf numFmtId="0" fontId="13" fillId="4" borderId="0" xfId="0" applyFont="1" applyFill="1"/>
    <xf numFmtId="0" fontId="12" fillId="4" borderId="0" xfId="0" applyFont="1" applyFill="1"/>
    <xf numFmtId="0" fontId="12" fillId="0" borderId="0" xfId="0" applyFont="1"/>
    <xf numFmtId="0" fontId="12" fillId="5" borderId="8" xfId="0" applyFont="1" applyFill="1" applyBorder="1" applyAlignment="1">
      <alignment horizontal="left" vertical="center" wrapText="1"/>
    </xf>
    <xf numFmtId="0" fontId="12" fillId="6" borderId="8" xfId="0" applyFont="1" applyFill="1" applyBorder="1" applyAlignment="1">
      <alignment horizontal="left" vertical="center" wrapText="1"/>
    </xf>
    <xf numFmtId="0" fontId="0" fillId="4" borderId="8" xfId="0" applyFill="1" applyBorder="1"/>
    <xf numFmtId="173" fontId="18" fillId="0" borderId="9" xfId="16" applyFont="1" applyBorder="1"/>
    <xf numFmtId="173" fontId="18" fillId="0" borderId="10" xfId="16" applyFont="1" applyBorder="1"/>
    <xf numFmtId="0" fontId="0" fillId="0" borderId="10" xfId="0" applyBorder="1"/>
    <xf numFmtId="0" fontId="0" fillId="0" borderId="11" xfId="0" applyBorder="1"/>
    <xf numFmtId="173" fontId="12" fillId="0" borderId="0" xfId="16" applyFont="1"/>
    <xf numFmtId="173" fontId="4" fillId="0" borderId="13" xfId="16" applyFont="1" applyBorder="1" applyAlignment="1">
      <alignment horizontal="center"/>
    </xf>
    <xf numFmtId="173" fontId="4" fillId="0" borderId="14" xfId="16" applyFont="1" applyBorder="1" applyAlignment="1">
      <alignment horizontal="center"/>
    </xf>
    <xf numFmtId="173" fontId="4" fillId="0" borderId="15" xfId="16" applyFont="1" applyBorder="1" applyAlignment="1">
      <alignment horizontal="center"/>
    </xf>
    <xf numFmtId="173" fontId="4" fillId="0" borderId="16" xfId="16" applyFont="1" applyBorder="1" applyAlignment="1">
      <alignment horizontal="center"/>
    </xf>
    <xf numFmtId="173" fontId="12" fillId="3" borderId="17" xfId="16" applyFont="1" applyFill="1" applyBorder="1"/>
    <xf numFmtId="170" fontId="12" fillId="3" borderId="8" xfId="16" applyNumberFormat="1" applyFont="1" applyFill="1" applyBorder="1"/>
    <xf numFmtId="170" fontId="12" fillId="3" borderId="19" xfId="16" applyNumberFormat="1" applyFont="1" applyFill="1" applyBorder="1"/>
    <xf numFmtId="173" fontId="12" fillId="3" borderId="20" xfId="16" applyFont="1" applyFill="1" applyBorder="1"/>
    <xf numFmtId="170" fontId="12" fillId="3" borderId="23" xfId="16" applyNumberFormat="1" applyFont="1" applyFill="1" applyBorder="1"/>
    <xf numFmtId="0" fontId="18" fillId="3" borderId="24" xfId="0" applyFont="1" applyFill="1" applyBorder="1"/>
    <xf numFmtId="0" fontId="0" fillId="3" borderId="10" xfId="0" applyFill="1" applyBorder="1"/>
    <xf numFmtId="0" fontId="0" fillId="3" borderId="11" xfId="0" applyFill="1" applyBorder="1"/>
    <xf numFmtId="0" fontId="0" fillId="3" borderId="25" xfId="0" applyFill="1" applyBorder="1"/>
    <xf numFmtId="0" fontId="0" fillId="3" borderId="26" xfId="0" applyFill="1" applyBorder="1" applyAlignment="1">
      <alignment horizontal="center"/>
    </xf>
    <xf numFmtId="0" fontId="0" fillId="3" borderId="27" xfId="0" applyFill="1" applyBorder="1" applyAlignment="1">
      <alignment horizontal="center"/>
    </xf>
    <xf numFmtId="0" fontId="0" fillId="3" borderId="12" xfId="0" applyFill="1" applyBorder="1"/>
    <xf numFmtId="0" fontId="0" fillId="3" borderId="25" xfId="0" applyFill="1" applyBorder="1" applyAlignment="1">
      <alignment horizontal="center"/>
    </xf>
    <xf numFmtId="0" fontId="0" fillId="3" borderId="28" xfId="0" applyFill="1" applyBorder="1"/>
    <xf numFmtId="10" fontId="0" fillId="3" borderId="29" xfId="0" applyNumberFormat="1" applyFill="1" applyBorder="1"/>
    <xf numFmtId="10" fontId="0" fillId="3" borderId="30" xfId="0" applyNumberFormat="1" applyFill="1" applyBorder="1"/>
    <xf numFmtId="168" fontId="0" fillId="3" borderId="31" xfId="0" applyNumberFormat="1" applyFill="1" applyBorder="1"/>
    <xf numFmtId="0" fontId="0" fillId="3" borderId="32" xfId="0" applyFill="1" applyBorder="1"/>
    <xf numFmtId="10" fontId="0" fillId="3" borderId="18" xfId="0" applyNumberFormat="1" applyFill="1" applyBorder="1"/>
    <xf numFmtId="10" fontId="0" fillId="3" borderId="8" xfId="0" applyNumberFormat="1" applyFill="1" applyBorder="1"/>
    <xf numFmtId="168" fontId="0" fillId="3" borderId="19" xfId="0" applyNumberFormat="1" applyFill="1" applyBorder="1"/>
    <xf numFmtId="0" fontId="0" fillId="3" borderId="33" xfId="0" applyFill="1" applyBorder="1"/>
    <xf numFmtId="10" fontId="0" fillId="3" borderId="21" xfId="0" applyNumberFormat="1" applyFill="1" applyBorder="1"/>
    <xf numFmtId="10" fontId="0" fillId="3" borderId="22" xfId="0" applyNumberFormat="1" applyFill="1" applyBorder="1"/>
    <xf numFmtId="168" fontId="0" fillId="3" borderId="23" xfId="0" applyNumberFormat="1" applyFill="1" applyBorder="1"/>
    <xf numFmtId="0" fontId="0" fillId="3" borderId="34" xfId="0" applyFill="1" applyBorder="1"/>
    <xf numFmtId="175" fontId="0" fillId="3" borderId="13" xfId="0" applyNumberFormat="1" applyFill="1" applyBorder="1"/>
    <xf numFmtId="175" fontId="0" fillId="3" borderId="15" xfId="0" applyNumberFormat="1" applyFill="1" applyBorder="1"/>
    <xf numFmtId="175" fontId="0" fillId="3" borderId="16" xfId="0" applyNumberFormat="1" applyFill="1" applyBorder="1"/>
    <xf numFmtId="175" fontId="0" fillId="3" borderId="20" xfId="0" applyNumberFormat="1" applyFill="1" applyBorder="1"/>
    <xf numFmtId="175" fontId="0" fillId="3" borderId="22" xfId="0" applyNumberFormat="1" applyFill="1" applyBorder="1"/>
    <xf numFmtId="175" fontId="0" fillId="3" borderId="23" xfId="0" applyNumberFormat="1" applyFill="1" applyBorder="1"/>
    <xf numFmtId="0" fontId="18" fillId="3" borderId="25" xfId="0" applyFont="1" applyFill="1" applyBorder="1"/>
    <xf numFmtId="0" fontId="0" fillId="3" borderId="27" xfId="0" applyFill="1" applyBorder="1"/>
    <xf numFmtId="0" fontId="0" fillId="3" borderId="13" xfId="0" applyFill="1" applyBorder="1"/>
    <xf numFmtId="0" fontId="0" fillId="3" borderId="16" xfId="0" applyFill="1" applyBorder="1" applyAlignment="1">
      <alignment horizontal="right"/>
    </xf>
    <xf numFmtId="0" fontId="0" fillId="3" borderId="17" xfId="0" applyFill="1" applyBorder="1"/>
    <xf numFmtId="0" fontId="0" fillId="3" borderId="19" xfId="0" applyFill="1" applyBorder="1" applyAlignment="1">
      <alignment horizontal="right"/>
    </xf>
    <xf numFmtId="0" fontId="0" fillId="3" borderId="20" xfId="0" applyFill="1" applyBorder="1"/>
    <xf numFmtId="170" fontId="0" fillId="3" borderId="23" xfId="0" applyNumberFormat="1" applyFill="1" applyBorder="1"/>
    <xf numFmtId="0" fontId="18" fillId="3" borderId="9" xfId="0" applyFont="1" applyFill="1" applyBorder="1"/>
    <xf numFmtId="0" fontId="0" fillId="3" borderId="9" xfId="0" applyFill="1" applyBorder="1"/>
    <xf numFmtId="0" fontId="0" fillId="3" borderId="12" xfId="0" applyFill="1" applyBorder="1" applyAlignment="1">
      <alignment wrapText="1"/>
    </xf>
    <xf numFmtId="0" fontId="0" fillId="3" borderId="35" xfId="0" applyFill="1" applyBorder="1"/>
    <xf numFmtId="0" fontId="0" fillId="3" borderId="26" xfId="0" applyFill="1" applyBorder="1"/>
    <xf numFmtId="170" fontId="0" fillId="3" borderId="29" xfId="0" applyNumberFormat="1" applyFill="1" applyBorder="1"/>
    <xf numFmtId="170" fontId="0" fillId="3" borderId="30" xfId="0" applyNumberFormat="1" applyFill="1" applyBorder="1"/>
    <xf numFmtId="170" fontId="0" fillId="3" borderId="31" xfId="0" applyNumberFormat="1" applyFill="1" applyBorder="1"/>
    <xf numFmtId="170" fontId="0" fillId="3" borderId="28" xfId="0" applyNumberFormat="1" applyFill="1" applyBorder="1"/>
    <xf numFmtId="170" fontId="0" fillId="3" borderId="32" xfId="0" applyNumberFormat="1" applyFill="1" applyBorder="1"/>
    <xf numFmtId="170" fontId="0" fillId="3" borderId="18" xfId="0" applyNumberFormat="1" applyFill="1" applyBorder="1"/>
    <xf numFmtId="170" fontId="0" fillId="3" borderId="8" xfId="0" applyNumberFormat="1" applyFill="1" applyBorder="1"/>
    <xf numFmtId="170" fontId="0" fillId="3" borderId="19" xfId="0" applyNumberFormat="1" applyFill="1" applyBorder="1"/>
    <xf numFmtId="170" fontId="0" fillId="3" borderId="21" xfId="0" applyNumberFormat="1" applyFill="1" applyBorder="1"/>
    <xf numFmtId="170" fontId="0" fillId="3" borderId="22" xfId="0" applyNumberFormat="1" applyFill="1" applyBorder="1"/>
    <xf numFmtId="170" fontId="0" fillId="3" borderId="33" xfId="0" applyNumberFormat="1" applyFill="1" applyBorder="1"/>
    <xf numFmtId="170" fontId="0" fillId="0" borderId="0" xfId="0" applyNumberFormat="1"/>
    <xf numFmtId="0" fontId="4" fillId="3" borderId="13" xfId="0" applyFont="1" applyFill="1" applyBorder="1"/>
    <xf numFmtId="0" fontId="4" fillId="3" borderId="15" xfId="0" applyFont="1" applyFill="1" applyBorder="1"/>
    <xf numFmtId="0" fontId="4" fillId="3" borderId="16" xfId="0" applyFont="1" applyFill="1" applyBorder="1" applyAlignment="1">
      <alignment wrapText="1"/>
    </xf>
    <xf numFmtId="5" fontId="2" fillId="3" borderId="19" xfId="3" applyNumberFormat="1" applyFill="1" applyBorder="1" applyProtection="1"/>
    <xf numFmtId="0" fontId="0" fillId="3" borderId="36" xfId="0" applyFill="1" applyBorder="1"/>
    <xf numFmtId="170" fontId="0" fillId="3" borderId="37" xfId="0" applyNumberFormat="1" applyFill="1" applyBorder="1"/>
    <xf numFmtId="5" fontId="2" fillId="3" borderId="38" xfId="3" applyNumberFormat="1" applyFill="1" applyBorder="1" applyProtection="1"/>
    <xf numFmtId="0" fontId="4" fillId="3" borderId="25" xfId="0" applyFont="1" applyFill="1" applyBorder="1"/>
    <xf numFmtId="170" fontId="4" fillId="3" borderId="26" xfId="0" applyNumberFormat="1" applyFont="1" applyFill="1" applyBorder="1"/>
    <xf numFmtId="5" fontId="4" fillId="3" borderId="27" xfId="3" applyNumberFormat="1" applyFont="1" applyFill="1" applyBorder="1" applyProtection="1"/>
    <xf numFmtId="170" fontId="4" fillId="0" borderId="0" xfId="0" applyNumberFormat="1" applyFont="1"/>
    <xf numFmtId="5" fontId="4" fillId="0" borderId="0" xfId="3" applyNumberFormat="1" applyFont="1" applyFill="1" applyBorder="1" applyProtection="1"/>
    <xf numFmtId="0" fontId="4" fillId="3" borderId="20" xfId="0" applyFont="1" applyFill="1" applyBorder="1" applyAlignment="1">
      <alignment wrapText="1"/>
    </xf>
    <xf numFmtId="0" fontId="4" fillId="3" borderId="23" xfId="0" applyFont="1" applyFill="1" applyBorder="1" applyAlignment="1">
      <alignment wrapText="1"/>
    </xf>
    <xf numFmtId="0" fontId="0" fillId="3" borderId="39" xfId="0" applyFill="1" applyBorder="1"/>
    <xf numFmtId="170" fontId="4" fillId="3" borderId="27" xfId="0" applyNumberFormat="1" applyFont="1" applyFill="1" applyBorder="1"/>
    <xf numFmtId="173" fontId="17" fillId="0" borderId="0" xfId="16" applyFont="1" applyAlignment="1">
      <alignment horizontal="left"/>
    </xf>
    <xf numFmtId="173" fontId="8" fillId="0" borderId="0" xfId="16" applyFont="1"/>
    <xf numFmtId="173" fontId="20" fillId="0" borderId="0" xfId="16" applyFont="1"/>
    <xf numFmtId="173" fontId="21" fillId="0" borderId="0" xfId="16" applyFont="1" applyAlignment="1">
      <alignment horizontal="left"/>
    </xf>
    <xf numFmtId="173" fontId="12" fillId="0" borderId="17" xfId="16" applyFont="1" applyBorder="1" applyAlignment="1">
      <alignment wrapText="1"/>
    </xf>
    <xf numFmtId="173" fontId="12" fillId="0" borderId="17" xfId="16" applyFont="1" applyBorder="1"/>
    <xf numFmtId="164" fontId="12" fillId="3" borderId="19" xfId="16" applyNumberFormat="1" applyFont="1" applyFill="1" applyBorder="1" applyAlignment="1">
      <alignment horizontal="center"/>
    </xf>
    <xf numFmtId="173" fontId="12" fillId="0" borderId="36" xfId="16" applyFont="1" applyBorder="1"/>
    <xf numFmtId="164" fontId="12" fillId="3" borderId="38" xfId="16" applyNumberFormat="1" applyFont="1" applyFill="1" applyBorder="1" applyAlignment="1">
      <alignment horizontal="center"/>
    </xf>
    <xf numFmtId="0" fontId="20" fillId="0" borderId="0" xfId="0" applyFont="1" applyAlignment="1">
      <alignment horizontal="left" vertical="center"/>
    </xf>
    <xf numFmtId="173" fontId="12" fillId="0" borderId="36" xfId="16" applyFont="1" applyBorder="1" applyAlignment="1">
      <alignment wrapText="1"/>
    </xf>
    <xf numFmtId="165" fontId="12" fillId="3" borderId="38" xfId="16" applyNumberFormat="1" applyFont="1" applyFill="1" applyBorder="1" applyAlignment="1">
      <alignment horizontal="center"/>
    </xf>
    <xf numFmtId="173" fontId="12" fillId="0" borderId="20" xfId="16" applyFont="1" applyBorder="1"/>
    <xf numFmtId="0" fontId="18" fillId="0" borderId="10" xfId="0" applyFont="1" applyBorder="1" applyAlignment="1">
      <alignment wrapText="1"/>
    </xf>
    <xf numFmtId="173" fontId="12" fillId="0" borderId="11" xfId="16" applyFont="1" applyBorder="1"/>
    <xf numFmtId="10" fontId="12" fillId="0" borderId="0" xfId="17" applyNumberFormat="1" applyFont="1" applyFill="1" applyBorder="1" applyProtection="1"/>
    <xf numFmtId="173" fontId="4" fillId="0" borderId="40" xfId="16" applyFont="1" applyBorder="1" applyAlignment="1">
      <alignment horizontal="center"/>
    </xf>
    <xf numFmtId="164" fontId="12" fillId="3" borderId="31" xfId="16" applyNumberFormat="1" applyFont="1" applyFill="1" applyBorder="1"/>
    <xf numFmtId="164" fontId="12" fillId="3" borderId="19" xfId="16" applyNumberFormat="1" applyFont="1" applyFill="1" applyBorder="1"/>
    <xf numFmtId="173" fontId="18" fillId="0" borderId="9" xfId="16" applyFont="1" applyBorder="1" applyAlignment="1">
      <alignment horizontal="left"/>
    </xf>
    <xf numFmtId="173" fontId="22" fillId="0" borderId="17" xfId="16" applyFont="1" applyBorder="1" applyAlignment="1">
      <alignment horizontal="left"/>
    </xf>
    <xf numFmtId="173" fontId="12" fillId="0" borderId="19" xfId="16" applyFont="1" applyBorder="1"/>
    <xf numFmtId="173" fontId="12" fillId="0" borderId="17" xfId="16" applyFont="1" applyBorder="1" applyAlignment="1">
      <alignment horizontal="left" wrapText="1"/>
    </xf>
    <xf numFmtId="3" fontId="12" fillId="3" borderId="19" xfId="16" applyNumberFormat="1" applyFont="1" applyFill="1" applyBorder="1"/>
    <xf numFmtId="173" fontId="12" fillId="0" borderId="17" xfId="16" applyFont="1" applyBorder="1" applyAlignment="1">
      <alignment horizontal="left"/>
    </xf>
    <xf numFmtId="0" fontId="12" fillId="0" borderId="17" xfId="0" applyFont="1" applyBorder="1" applyAlignment="1">
      <alignment horizontal="left" vertical="center"/>
    </xf>
    <xf numFmtId="2" fontId="12" fillId="3" borderId="19" xfId="16" applyNumberFormat="1" applyFont="1" applyFill="1" applyBorder="1"/>
    <xf numFmtId="1" fontId="12" fillId="3" borderId="19" xfId="16" applyNumberFormat="1" applyFont="1" applyFill="1" applyBorder="1"/>
    <xf numFmtId="173" fontId="23" fillId="0" borderId="0" xfId="16" applyFont="1"/>
    <xf numFmtId="9" fontId="12" fillId="3" borderId="19" xfId="16" applyNumberFormat="1" applyFont="1" applyFill="1" applyBorder="1"/>
    <xf numFmtId="9" fontId="12" fillId="3" borderId="7" xfId="16" applyNumberFormat="1" applyFont="1" applyFill="1" applyBorder="1"/>
    <xf numFmtId="164" fontId="12" fillId="0" borderId="19" xfId="16" applyNumberFormat="1" applyFont="1" applyBorder="1"/>
    <xf numFmtId="173" fontId="22" fillId="0" borderId="17" xfId="16" applyFont="1" applyBorder="1"/>
    <xf numFmtId="9" fontId="12" fillId="0" borderId="19" xfId="16" applyNumberFormat="1" applyFont="1" applyBorder="1"/>
    <xf numFmtId="10" fontId="12" fillId="3" borderId="19" xfId="16" applyNumberFormat="1" applyFont="1" applyFill="1" applyBorder="1"/>
    <xf numFmtId="7" fontId="12" fillId="0" borderId="0" xfId="3" applyNumberFormat="1" applyFont="1" applyFill="1" applyBorder="1" applyProtection="1"/>
    <xf numFmtId="1" fontId="12" fillId="3" borderId="19" xfId="16" applyNumberFormat="1" applyFont="1" applyFill="1" applyBorder="1" applyAlignment="1">
      <alignment horizontal="right"/>
    </xf>
    <xf numFmtId="170" fontId="12" fillId="3" borderId="19" xfId="16" applyNumberFormat="1" applyFont="1" applyFill="1" applyBorder="1" applyAlignment="1">
      <alignment horizontal="right"/>
    </xf>
    <xf numFmtId="173" fontId="12" fillId="0" borderId="20" xfId="16" applyFont="1" applyBorder="1" applyAlignment="1">
      <alignment wrapText="1"/>
    </xf>
    <xf numFmtId="0" fontId="0" fillId="0" borderId="10" xfId="0" applyBorder="1" applyAlignment="1">
      <alignment wrapText="1"/>
    </xf>
    <xf numFmtId="173" fontId="4" fillId="0" borderId="0" xfId="16" applyFont="1" applyAlignment="1">
      <alignment horizontal="center" wrapText="1"/>
    </xf>
    <xf numFmtId="173" fontId="12" fillId="3" borderId="13" xfId="16" applyFont="1" applyFill="1" applyBorder="1"/>
    <xf numFmtId="173" fontId="12" fillId="3" borderId="15" xfId="16" applyFont="1" applyFill="1" applyBorder="1"/>
    <xf numFmtId="165" fontId="12" fillId="3" borderId="15" xfId="16" applyNumberFormat="1" applyFont="1" applyFill="1" applyBorder="1"/>
    <xf numFmtId="170" fontId="12" fillId="3" borderId="15" xfId="16" applyNumberFormat="1" applyFont="1" applyFill="1" applyBorder="1"/>
    <xf numFmtId="6" fontId="12" fillId="3" borderId="15" xfId="16" applyNumberFormat="1" applyFont="1" applyFill="1" applyBorder="1"/>
    <xf numFmtId="164" fontId="2" fillId="3" borderId="15" xfId="17" applyNumberFormat="1" applyFill="1" applyBorder="1" applyProtection="1"/>
    <xf numFmtId="173" fontId="12" fillId="3" borderId="8" xfId="16" applyFont="1" applyFill="1" applyBorder="1"/>
    <xf numFmtId="165" fontId="12" fillId="3" borderId="8" xfId="16" applyNumberFormat="1" applyFont="1" applyFill="1" applyBorder="1"/>
    <xf numFmtId="6" fontId="12" fillId="3" borderId="8" xfId="16" applyNumberFormat="1" applyFont="1" applyFill="1" applyBorder="1"/>
    <xf numFmtId="164" fontId="2" fillId="3" borderId="8" xfId="17" applyNumberFormat="1" applyFill="1" applyBorder="1" applyProtection="1"/>
    <xf numFmtId="173" fontId="12" fillId="3" borderId="22" xfId="16" applyFont="1" applyFill="1" applyBorder="1"/>
    <xf numFmtId="6" fontId="12" fillId="3" borderId="22" xfId="16" applyNumberFormat="1" applyFont="1" applyFill="1" applyBorder="1"/>
    <xf numFmtId="173" fontId="12" fillId="0" borderId="0" xfId="16" applyFont="1" applyAlignment="1">
      <alignment horizontal="right"/>
    </xf>
    <xf numFmtId="170" fontId="12" fillId="0" borderId="0" xfId="16" applyNumberFormat="1" applyFont="1"/>
    <xf numFmtId="0" fontId="18" fillId="0" borderId="11" xfId="0" applyFont="1" applyBorder="1" applyAlignment="1">
      <alignment wrapText="1"/>
    </xf>
    <xf numFmtId="173" fontId="12" fillId="3" borderId="17" xfId="16" applyFont="1" applyFill="1" applyBorder="1" applyAlignment="1">
      <alignment horizontal="right"/>
    </xf>
    <xf numFmtId="10" fontId="12" fillId="3" borderId="8" xfId="16" applyNumberFormat="1" applyFont="1" applyFill="1" applyBorder="1"/>
    <xf numFmtId="169" fontId="12" fillId="3" borderId="19" xfId="16" applyNumberFormat="1" applyFont="1" applyFill="1" applyBorder="1" applyAlignment="1">
      <alignment horizontal="right"/>
    </xf>
    <xf numFmtId="173" fontId="12" fillId="3" borderId="20" xfId="16" applyFont="1" applyFill="1" applyBorder="1" applyAlignment="1">
      <alignment horizontal="right" wrapText="1"/>
    </xf>
    <xf numFmtId="10" fontId="12" fillId="3" borderId="22" xfId="16" applyNumberFormat="1" applyFont="1" applyFill="1" applyBorder="1"/>
    <xf numFmtId="169" fontId="12" fillId="3" borderId="23" xfId="16" applyNumberFormat="1" applyFont="1" applyFill="1" applyBorder="1" applyAlignment="1">
      <alignment horizontal="right"/>
    </xf>
    <xf numFmtId="173" fontId="18" fillId="0" borderId="46" xfId="16" applyFont="1" applyBorder="1"/>
    <xf numFmtId="0" fontId="0" fillId="0" borderId="47" xfId="0" applyBorder="1" applyAlignment="1">
      <alignment wrapText="1"/>
    </xf>
    <xf numFmtId="173" fontId="18" fillId="0" borderId="9" xfId="16" applyFont="1" applyBorder="1" applyAlignment="1">
      <alignment wrapText="1"/>
    </xf>
    <xf numFmtId="0" fontId="18" fillId="0" borderId="9" xfId="0" applyFont="1" applyBorder="1" applyAlignment="1">
      <alignment wrapText="1"/>
    </xf>
    <xf numFmtId="173" fontId="4" fillId="0" borderId="48" xfId="16" applyFont="1" applyBorder="1" applyAlignment="1">
      <alignment horizontal="center"/>
    </xf>
    <xf numFmtId="173" fontId="12" fillId="3" borderId="49" xfId="16" applyFont="1" applyFill="1" applyBorder="1"/>
    <xf numFmtId="169" fontId="12" fillId="3" borderId="17" xfId="16" applyNumberFormat="1" applyFont="1" applyFill="1" applyBorder="1"/>
    <xf numFmtId="169" fontId="12" fillId="3" borderId="8" xfId="16" applyNumberFormat="1" applyFont="1" applyFill="1" applyBorder="1"/>
    <xf numFmtId="173" fontId="12" fillId="3" borderId="50" xfId="16" applyFont="1" applyFill="1" applyBorder="1"/>
    <xf numFmtId="0" fontId="0" fillId="0" borderId="0" xfId="0" applyAlignment="1" applyProtection="1">
      <alignment wrapText="1"/>
      <protection locked="0"/>
    </xf>
    <xf numFmtId="0" fontId="0" fillId="0" borderId="0" xfId="0" applyProtection="1">
      <protection locked="0"/>
    </xf>
    <xf numFmtId="0" fontId="12" fillId="0" borderId="0" xfId="0" applyFont="1" applyProtection="1">
      <protection locked="0"/>
    </xf>
    <xf numFmtId="0" fontId="4" fillId="0" borderId="0" xfId="0" applyFont="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lignment horizontal="center" vertical="center" wrapText="1"/>
    </xf>
    <xf numFmtId="170" fontId="12" fillId="3" borderId="15" xfId="0" applyNumberFormat="1" applyFont="1" applyFill="1" applyBorder="1" applyAlignment="1">
      <alignment horizontal="center" vertical="center" wrapText="1"/>
    </xf>
    <xf numFmtId="170" fontId="0" fillId="3" borderId="8" xfId="0" applyNumberFormat="1" applyFill="1" applyBorder="1" applyAlignment="1">
      <alignment horizontal="center" vertical="center" wrapText="1"/>
    </xf>
    <xf numFmtId="170" fontId="12" fillId="3" borderId="8" xfId="0" applyNumberFormat="1" applyFont="1" applyFill="1" applyBorder="1" applyAlignment="1">
      <alignment horizontal="center" vertical="center" wrapText="1"/>
    </xf>
    <xf numFmtId="170" fontId="0" fillId="3" borderId="22" xfId="0" applyNumberFormat="1" applyFill="1" applyBorder="1" applyAlignment="1">
      <alignment horizontal="center" vertical="center" wrapText="1"/>
    </xf>
    <xf numFmtId="170" fontId="12" fillId="3" borderId="22" xfId="0" applyNumberFormat="1" applyFont="1" applyFill="1" applyBorder="1" applyAlignment="1">
      <alignment horizontal="center" vertical="center" wrapText="1"/>
    </xf>
    <xf numFmtId="0" fontId="0" fillId="0" borderId="0" xfId="0" quotePrefix="1" applyProtection="1">
      <protection locked="0"/>
    </xf>
    <xf numFmtId="0" fontId="27" fillId="0" borderId="25" xfId="0" applyFont="1" applyBorder="1" applyAlignment="1">
      <alignment wrapText="1"/>
    </xf>
    <xf numFmtId="0" fontId="27" fillId="0" borderId="51" xfId="0" applyFont="1" applyBorder="1" applyAlignment="1">
      <alignment horizontal="center" wrapText="1"/>
    </xf>
    <xf numFmtId="0" fontId="27" fillId="0" borderId="52" xfId="0" applyFont="1" applyBorder="1" applyAlignment="1">
      <alignment horizontal="center" wrapText="1"/>
    </xf>
    <xf numFmtId="0" fontId="27" fillId="0" borderId="53" xfId="0" applyFont="1" applyBorder="1" applyAlignment="1">
      <alignment horizontal="center" wrapText="1"/>
    </xf>
    <xf numFmtId="0" fontId="27" fillId="0" borderId="54" xfId="0" applyFont="1" applyBorder="1" applyAlignment="1">
      <alignment horizontal="center" wrapText="1"/>
    </xf>
    <xf numFmtId="173" fontId="4" fillId="0" borderId="0" xfId="16" applyFont="1" applyAlignment="1">
      <alignment vertical="top" wrapText="1"/>
    </xf>
    <xf numFmtId="0" fontId="12" fillId="3" borderId="8" xfId="16" applyNumberFormat="1" applyFont="1" applyFill="1" applyBorder="1"/>
    <xf numFmtId="0" fontId="28" fillId="0" borderId="10" xfId="0" applyFont="1" applyBorder="1" applyAlignment="1">
      <alignment wrapText="1"/>
    </xf>
    <xf numFmtId="0" fontId="28" fillId="0" borderId="10" xfId="0" quotePrefix="1" applyFont="1" applyBorder="1" applyAlignment="1">
      <alignment wrapText="1"/>
    </xf>
    <xf numFmtId="169" fontId="12" fillId="3" borderId="18" xfId="16" applyNumberFormat="1" applyFont="1" applyFill="1" applyBorder="1"/>
    <xf numFmtId="0" fontId="18" fillId="0" borderId="25" xfId="0" applyFont="1" applyBorder="1" applyAlignment="1">
      <alignment wrapText="1"/>
    </xf>
    <xf numFmtId="169" fontId="12" fillId="3" borderId="55" xfId="16" applyNumberFormat="1" applyFont="1" applyFill="1" applyBorder="1"/>
    <xf numFmtId="169" fontId="12" fillId="3" borderId="19" xfId="16" applyNumberFormat="1" applyFont="1" applyFill="1" applyBorder="1"/>
    <xf numFmtId="173" fontId="12" fillId="0" borderId="56" xfId="16" applyFont="1" applyBorder="1"/>
    <xf numFmtId="173" fontId="4" fillId="0" borderId="34" xfId="16" applyFont="1" applyBorder="1" applyAlignment="1">
      <alignment horizontal="center" wrapText="1"/>
    </xf>
    <xf numFmtId="173" fontId="4" fillId="7" borderId="34" xfId="16" applyFont="1" applyFill="1" applyBorder="1" applyAlignment="1">
      <alignment horizontal="center" wrapText="1"/>
    </xf>
    <xf numFmtId="169" fontId="12" fillId="7" borderId="17" xfId="16" applyNumberFormat="1" applyFont="1" applyFill="1" applyBorder="1"/>
    <xf numFmtId="174" fontId="12" fillId="7" borderId="17" xfId="16" applyNumberFormat="1" applyFont="1" applyFill="1" applyBorder="1"/>
    <xf numFmtId="174" fontId="12" fillId="7" borderId="20" xfId="16" applyNumberFormat="1" applyFont="1" applyFill="1" applyBorder="1"/>
    <xf numFmtId="0" fontId="4" fillId="7" borderId="1" xfId="0" applyFont="1" applyFill="1" applyBorder="1"/>
    <xf numFmtId="0" fontId="0" fillId="7" borderId="2" xfId="0" applyFill="1" applyBorder="1"/>
    <xf numFmtId="9" fontId="0" fillId="7" borderId="2" xfId="17" applyFont="1" applyFill="1" applyBorder="1" applyProtection="1"/>
    <xf numFmtId="0" fontId="0" fillId="7" borderId="4" xfId="0" applyFill="1" applyBorder="1"/>
    <xf numFmtId="0" fontId="0" fillId="7" borderId="0" xfId="0" applyFill="1"/>
    <xf numFmtId="0" fontId="5" fillId="7" borderId="4" xfId="5" applyFill="1" applyBorder="1" applyAlignment="1" applyProtection="1"/>
    <xf numFmtId="0" fontId="0" fillId="7" borderId="4" xfId="0" applyFill="1" applyBorder="1" applyAlignment="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4" xfId="0" applyFont="1" applyFill="1" applyBorder="1"/>
    <xf numFmtId="0" fontId="0" fillId="7" borderId="59"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43" fontId="0" fillId="0" borderId="0" xfId="0" applyNumberFormat="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Alignment="1">
      <alignment wrapText="1"/>
    </xf>
    <xf numFmtId="43" fontId="0" fillId="14" borderId="62" xfId="0" applyNumberFormat="1" applyFill="1" applyBorder="1"/>
    <xf numFmtId="0" fontId="0" fillId="14" borderId="4" xfId="0" applyFill="1" applyBorder="1"/>
    <xf numFmtId="0" fontId="12" fillId="14" borderId="63" xfId="0" applyFont="1" applyFill="1" applyBorder="1"/>
    <xf numFmtId="0" fontId="12" fillId="14" borderId="17" xfId="0" applyFont="1" applyFill="1" applyBorder="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3" fillId="0" borderId="64" xfId="16" applyNumberFormat="1" applyFont="1" applyBorder="1"/>
    <xf numFmtId="0" fontId="0" fillId="3" borderId="15" xfId="0" applyFill="1" applyBorder="1" applyAlignment="1">
      <alignment horizontal="right" vertical="center" wrapText="1"/>
    </xf>
    <xf numFmtId="0" fontId="0" fillId="3" borderId="8" xfId="0" applyFill="1" applyBorder="1" applyAlignment="1">
      <alignment horizontal="right" vertical="center" wrapText="1"/>
    </xf>
    <xf numFmtId="0" fontId="0" fillId="3" borderId="22" xfId="0" applyFill="1" applyBorder="1" applyAlignment="1">
      <alignment horizontal="right" vertical="center" wrapText="1"/>
    </xf>
    <xf numFmtId="0" fontId="31" fillId="0" borderId="0" xfId="0" applyFont="1"/>
    <xf numFmtId="173" fontId="4" fillId="0" borderId="17" xfId="16" applyFont="1" applyBorder="1" applyAlignment="1">
      <alignment wrapText="1"/>
    </xf>
    <xf numFmtId="0" fontId="26" fillId="2" borderId="0" xfId="0" applyFont="1" applyFill="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lignment horizontal="left"/>
    </xf>
    <xf numFmtId="3" fontId="4" fillId="2" borderId="65" xfId="0" applyNumberFormat="1" applyFont="1" applyFill="1" applyBorder="1" applyAlignment="1">
      <alignment vertical="center" wrapText="1"/>
    </xf>
    <xf numFmtId="0" fontId="4" fillId="2" borderId="65" xfId="0" applyFont="1" applyFill="1" applyBorder="1" applyAlignment="1">
      <alignment horizontal="left" vertical="center" wrapText="1"/>
    </xf>
    <xf numFmtId="0" fontId="12" fillId="2" borderId="65" xfId="0" applyFont="1" applyFill="1" applyBorder="1" applyAlignment="1">
      <alignment horizontal="left" vertical="center" wrapText="1"/>
    </xf>
    <xf numFmtId="0" fontId="0" fillId="2" borderId="66" xfId="0" applyFill="1" applyBorder="1"/>
    <xf numFmtId="0" fontId="14" fillId="2" borderId="25" xfId="0" applyFont="1" applyFill="1" applyBorder="1" applyAlignment="1">
      <alignment horizontal="left"/>
    </xf>
    <xf numFmtId="3" fontId="4" fillId="2" borderId="42" xfId="0" applyNumberFormat="1" applyFont="1" applyFill="1" applyBorder="1" applyAlignment="1">
      <alignment vertical="center" wrapText="1"/>
    </xf>
    <xf numFmtId="0" fontId="4" fillId="2" borderId="26" xfId="0" applyFont="1" applyFill="1" applyBorder="1" applyAlignment="1">
      <alignment horizontal="left" vertical="center" wrapText="1"/>
    </xf>
    <xf numFmtId="0" fontId="4" fillId="2" borderId="27" xfId="0" applyFont="1" applyFill="1" applyBorder="1" applyAlignment="1">
      <alignment vertical="center"/>
    </xf>
    <xf numFmtId="0" fontId="12" fillId="2" borderId="67" xfId="0" applyFont="1" applyFill="1" applyBorder="1" applyAlignment="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lignment wrapText="1"/>
    </xf>
    <xf numFmtId="0" fontId="4" fillId="2" borderId="25" xfId="0" applyFont="1" applyFill="1" applyBorder="1" applyAlignment="1">
      <alignment horizontal="center"/>
    </xf>
    <xf numFmtId="0" fontId="4" fillId="2" borderId="69" xfId="0" applyFont="1" applyFill="1" applyBorder="1" applyAlignment="1">
      <alignment horizontal="center" wrapText="1"/>
    </xf>
    <xf numFmtId="0" fontId="4" fillId="2" borderId="26" xfId="0" applyFont="1" applyFill="1" applyBorder="1" applyAlignment="1">
      <alignment horizontal="center" wrapText="1"/>
    </xf>
    <xf numFmtId="0" fontId="4" fillId="2" borderId="26" xfId="0" applyFont="1" applyFill="1" applyBorder="1" applyAlignment="1">
      <alignment wrapText="1"/>
    </xf>
    <xf numFmtId="0" fontId="4" fillId="2" borderId="27" xfId="0" applyFont="1" applyFill="1" applyBorder="1" applyAlignment="1">
      <alignment wrapText="1"/>
    </xf>
    <xf numFmtId="0" fontId="4" fillId="2" borderId="41" xfId="0" applyFont="1" applyFill="1" applyBorder="1" applyAlignment="1">
      <alignment horizontal="center"/>
    </xf>
    <xf numFmtId="0" fontId="4" fillId="2" borderId="42" xfId="0" applyFont="1" applyFill="1" applyBorder="1" applyAlignment="1">
      <alignment horizontal="center" wrapText="1"/>
    </xf>
    <xf numFmtId="0" fontId="4" fillId="2" borderId="42" xfId="0" applyFont="1" applyFill="1" applyBorder="1" applyAlignment="1">
      <alignment wrapText="1"/>
    </xf>
    <xf numFmtId="0" fontId="4" fillId="2" borderId="71" xfId="0" applyFont="1" applyFill="1" applyBorder="1" applyAlignment="1">
      <alignment wrapText="1"/>
    </xf>
    <xf numFmtId="170" fontId="12" fillId="2" borderId="15" xfId="0" applyNumberFormat="1" applyFont="1" applyFill="1" applyBorder="1" applyAlignment="1" applyProtection="1">
      <alignment horizontal="right" vertical="center" wrapText="1"/>
      <protection locked="0"/>
    </xf>
    <xf numFmtId="171" fontId="12" fillId="2" borderId="15" xfId="0" applyNumberFormat="1" applyFont="1" applyFill="1" applyBorder="1" applyAlignment="1" applyProtection="1">
      <alignment horizontal="right" vertical="center" wrapText="1"/>
      <protection locked="0"/>
    </xf>
    <xf numFmtId="3"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0" fontId="12" fillId="2" borderId="8" xfId="0" applyNumberFormat="1" applyFont="1" applyFill="1" applyBorder="1" applyAlignment="1" applyProtection="1">
      <alignment horizontal="right" vertical="center" wrapText="1"/>
      <protection locked="0"/>
    </xf>
    <xf numFmtId="171"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0" fontId="12" fillId="2" borderId="22" xfId="0" applyNumberFormat="1" applyFont="1" applyFill="1" applyBorder="1" applyAlignment="1" applyProtection="1">
      <alignment horizontal="right" vertical="center" wrapText="1"/>
      <protection locked="0"/>
    </xf>
    <xf numFmtId="171"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8" fillId="0" borderId="72" xfId="16" applyFont="1" applyBorder="1" applyAlignment="1">
      <alignment wrapText="1"/>
    </xf>
    <xf numFmtId="173" fontId="18" fillId="0" borderId="73" xfId="16" applyFont="1" applyBorder="1" applyAlignment="1">
      <alignment wrapText="1"/>
    </xf>
    <xf numFmtId="173" fontId="18" fillId="0" borderId="74" xfId="16" applyFont="1" applyBorder="1" applyAlignment="1">
      <alignment wrapText="1"/>
    </xf>
    <xf numFmtId="173" fontId="13" fillId="3" borderId="75" xfId="16" applyFont="1" applyFill="1" applyBorder="1" applyAlignment="1">
      <alignment wrapText="1"/>
    </xf>
    <xf numFmtId="0" fontId="13" fillId="3" borderId="76" xfId="0" applyFont="1" applyFill="1" applyBorder="1" applyAlignment="1">
      <alignment wrapText="1"/>
    </xf>
    <xf numFmtId="0" fontId="13" fillId="3" borderId="75" xfId="0" applyFont="1" applyFill="1" applyBorder="1" applyAlignment="1">
      <alignment wrapText="1"/>
    </xf>
    <xf numFmtId="0" fontId="13" fillId="3" borderId="76" xfId="0" quotePrefix="1" applyFont="1" applyFill="1" applyBorder="1" applyAlignment="1">
      <alignment wrapText="1"/>
    </xf>
    <xf numFmtId="0" fontId="18" fillId="3" borderId="76" xfId="0" applyFont="1" applyFill="1" applyBorder="1" applyAlignment="1">
      <alignment wrapText="1"/>
    </xf>
    <xf numFmtId="0" fontId="18" fillId="3" borderId="77" xfId="0" applyFont="1" applyFill="1" applyBorder="1" applyAlignment="1">
      <alignment wrapText="1"/>
    </xf>
    <xf numFmtId="173" fontId="13" fillId="3" borderId="78" xfId="16" applyFont="1" applyFill="1" applyBorder="1" applyAlignment="1">
      <alignment wrapText="1"/>
    </xf>
    <xf numFmtId="0" fontId="13" fillId="3" borderId="79" xfId="0" applyFont="1" applyFill="1" applyBorder="1" applyAlignment="1">
      <alignment wrapText="1"/>
    </xf>
    <xf numFmtId="0" fontId="13" fillId="3" borderId="78" xfId="0" applyFont="1" applyFill="1" applyBorder="1" applyAlignment="1">
      <alignment wrapText="1"/>
    </xf>
    <xf numFmtId="0" fontId="13" fillId="3" borderId="79" xfId="0" quotePrefix="1" applyFont="1" applyFill="1" applyBorder="1" applyAlignment="1">
      <alignment wrapText="1"/>
    </xf>
    <xf numFmtId="0" fontId="18" fillId="3" borderId="79" xfId="0" applyFont="1" applyFill="1" applyBorder="1" applyAlignment="1">
      <alignment wrapText="1"/>
    </xf>
    <xf numFmtId="0" fontId="18" fillId="3" borderId="80" xfId="0" applyFont="1" applyFill="1" applyBorder="1" applyAlignment="1">
      <alignment wrapText="1"/>
    </xf>
    <xf numFmtId="173" fontId="13" fillId="3" borderId="81" xfId="16" applyFont="1" applyFill="1" applyBorder="1" applyAlignment="1">
      <alignment wrapText="1"/>
    </xf>
    <xf numFmtId="0" fontId="13" fillId="3" borderId="2" xfId="0" applyFont="1" applyFill="1" applyBorder="1" applyAlignment="1">
      <alignment wrapText="1"/>
    </xf>
    <xf numFmtId="0" fontId="13" fillId="3" borderId="81" xfId="0" applyFont="1" applyFill="1" applyBorder="1" applyAlignment="1">
      <alignment wrapText="1"/>
    </xf>
    <xf numFmtId="0" fontId="13" fillId="3" borderId="2" xfId="0" quotePrefix="1" applyFont="1" applyFill="1" applyBorder="1" applyAlignment="1">
      <alignment wrapText="1"/>
    </xf>
    <xf numFmtId="0" fontId="18" fillId="3" borderId="2" xfId="0" applyFont="1" applyFill="1" applyBorder="1" applyAlignment="1">
      <alignment wrapText="1"/>
    </xf>
    <xf numFmtId="0" fontId="18" fillId="3" borderId="82" xfId="0" applyFont="1" applyFill="1" applyBorder="1" applyAlignment="1">
      <alignment wrapText="1"/>
    </xf>
    <xf numFmtId="0" fontId="18" fillId="0" borderId="41" xfId="0" applyFont="1" applyBorder="1" applyAlignment="1">
      <alignment wrapText="1"/>
    </xf>
    <xf numFmtId="0" fontId="18" fillId="0" borderId="13" xfId="0" applyFont="1" applyBorder="1" applyAlignment="1">
      <alignment wrapText="1"/>
    </xf>
    <xf numFmtId="0" fontId="18" fillId="0" borderId="17" xfId="0" applyFont="1" applyBorder="1" applyAlignment="1">
      <alignment wrapText="1"/>
    </xf>
    <xf numFmtId="0" fontId="18" fillId="0" borderId="20" xfId="0" applyFont="1" applyBorder="1" applyAlignment="1">
      <alignment wrapText="1"/>
    </xf>
    <xf numFmtId="0" fontId="18" fillId="0" borderId="83" xfId="0" applyFont="1" applyBorder="1" applyAlignment="1">
      <alignment wrapText="1"/>
    </xf>
    <xf numFmtId="0" fontId="18" fillId="3" borderId="42" xfId="0" applyFont="1" applyFill="1" applyBorder="1" applyAlignment="1">
      <alignment wrapText="1"/>
    </xf>
    <xf numFmtId="0" fontId="18" fillId="3" borderId="71" xfId="0" applyFont="1" applyFill="1" applyBorder="1" applyAlignment="1">
      <alignment wrapText="1"/>
    </xf>
    <xf numFmtId="0" fontId="18" fillId="3" borderId="15" xfId="0" applyFont="1" applyFill="1" applyBorder="1" applyAlignment="1">
      <alignment wrapText="1"/>
    </xf>
    <xf numFmtId="0" fontId="18" fillId="3" borderId="16" xfId="0" applyFont="1" applyFill="1" applyBorder="1" applyAlignment="1">
      <alignment wrapText="1"/>
    </xf>
    <xf numFmtId="0" fontId="18" fillId="3" borderId="8" xfId="0" applyFont="1" applyFill="1" applyBorder="1" applyAlignment="1">
      <alignment wrapText="1"/>
    </xf>
    <xf numFmtId="0" fontId="18" fillId="3" borderId="19" xfId="0" applyFont="1" applyFill="1" applyBorder="1" applyAlignment="1">
      <alignment wrapText="1"/>
    </xf>
    <xf numFmtId="0" fontId="18" fillId="3" borderId="22" xfId="0" applyFont="1" applyFill="1" applyBorder="1" applyAlignment="1">
      <alignment wrapText="1"/>
    </xf>
    <xf numFmtId="0" fontId="18" fillId="3" borderId="23" xfId="0" applyFont="1" applyFill="1" applyBorder="1" applyAlignment="1">
      <alignment wrapText="1"/>
    </xf>
    <xf numFmtId="0" fontId="18" fillId="3" borderId="84" xfId="0" applyFont="1" applyFill="1" applyBorder="1" applyAlignment="1">
      <alignment wrapText="1"/>
    </xf>
    <xf numFmtId="0" fontId="18" fillId="3" borderId="45" xfId="0" applyFont="1" applyFill="1" applyBorder="1" applyAlignment="1">
      <alignment wrapText="1"/>
    </xf>
    <xf numFmtId="173" fontId="18" fillId="0" borderId="6" xfId="16" applyFont="1" applyBorder="1" applyAlignment="1">
      <alignment wrapText="1"/>
    </xf>
    <xf numFmtId="173" fontId="18" fillId="3" borderId="10" xfId="16" applyFont="1" applyFill="1" applyBorder="1" applyAlignment="1">
      <alignment wrapText="1"/>
    </xf>
    <xf numFmtId="173" fontId="12" fillId="3" borderId="11" xfId="16" applyFont="1" applyFill="1" applyBorder="1"/>
    <xf numFmtId="173" fontId="18" fillId="3" borderId="22" xfId="16" applyFont="1" applyFill="1" applyBorder="1" applyAlignment="1">
      <alignment wrapText="1"/>
    </xf>
    <xf numFmtId="173" fontId="12" fillId="3" borderId="23" xfId="16" applyFont="1" applyFill="1" applyBorder="1"/>
    <xf numFmtId="173" fontId="18" fillId="3" borderId="0" xfId="16" applyFont="1" applyFill="1" applyAlignment="1">
      <alignment wrapText="1"/>
    </xf>
    <xf numFmtId="173" fontId="12" fillId="3" borderId="7" xfId="16" applyFont="1" applyFill="1" applyBorder="1"/>
    <xf numFmtId="173" fontId="6" fillId="3" borderId="0" xfId="16" applyFont="1" applyFill="1" applyAlignment="1">
      <alignment horizontal="center" vertical="center"/>
    </xf>
    <xf numFmtId="173" fontId="18" fillId="0" borderId="85" xfId="16" applyFont="1" applyBorder="1" applyAlignment="1">
      <alignment wrapText="1"/>
    </xf>
    <xf numFmtId="0" fontId="18" fillId="3" borderId="47" xfId="0" applyFont="1" applyFill="1" applyBorder="1" applyAlignment="1">
      <alignment wrapText="1"/>
    </xf>
    <xf numFmtId="0" fontId="18" fillId="3" borderId="56" xfId="0" applyFont="1" applyFill="1" applyBorder="1" applyAlignment="1">
      <alignment wrapText="1"/>
    </xf>
    <xf numFmtId="0" fontId="18" fillId="0" borderId="86" xfId="0" applyFont="1" applyBorder="1" applyAlignment="1">
      <alignment wrapText="1"/>
    </xf>
    <xf numFmtId="173" fontId="18" fillId="0" borderId="86" xfId="16" applyFont="1" applyBorder="1" applyAlignment="1">
      <alignment wrapText="1"/>
    </xf>
    <xf numFmtId="173" fontId="18" fillId="3" borderId="47" xfId="16" applyFont="1" applyFill="1" applyBorder="1" applyAlignment="1">
      <alignment wrapText="1"/>
    </xf>
    <xf numFmtId="173" fontId="12" fillId="3" borderId="56" xfId="16" applyFont="1" applyFill="1" applyBorder="1"/>
    <xf numFmtId="2" fontId="13" fillId="3" borderId="86" xfId="16" applyNumberFormat="1" applyFont="1" applyFill="1" applyBorder="1" applyAlignment="1">
      <alignment wrapText="1"/>
    </xf>
    <xf numFmtId="2" fontId="13" fillId="3" borderId="47" xfId="16" applyNumberFormat="1" applyFont="1" applyFill="1" applyBorder="1" applyAlignment="1">
      <alignment wrapText="1"/>
    </xf>
    <xf numFmtId="2" fontId="13" fillId="3" borderId="56" xfId="16" applyNumberFormat="1" applyFont="1" applyFill="1" applyBorder="1" applyAlignment="1">
      <alignment wrapText="1"/>
    </xf>
    <xf numFmtId="173" fontId="18" fillId="0" borderId="75" xfId="16" applyFont="1" applyBorder="1"/>
    <xf numFmtId="173" fontId="12" fillId="0" borderId="76" xfId="16" applyFont="1" applyBorder="1"/>
    <xf numFmtId="173" fontId="4" fillId="0" borderId="16" xfId="16" applyFont="1" applyBorder="1" applyAlignment="1">
      <alignment horizontal="center" wrapText="1"/>
    </xf>
    <xf numFmtId="173" fontId="32" fillId="0" borderId="0" xfId="16" applyFont="1" applyAlignment="1">
      <alignment horizontal="left"/>
    </xf>
    <xf numFmtId="0" fontId="6" fillId="0" borderId="4" xfId="0" applyFont="1" applyBorder="1" applyAlignment="1">
      <alignment vertical="top" wrapText="1"/>
    </xf>
    <xf numFmtId="0" fontId="6" fillId="0" borderId="0" xfId="0" applyFont="1" applyAlignment="1">
      <alignment vertical="top" wrapText="1"/>
    </xf>
    <xf numFmtId="0" fontId="6" fillId="0" borderId="4" xfId="0" applyFont="1" applyBorder="1" applyAlignment="1">
      <alignment vertical="center" wrapText="1"/>
    </xf>
    <xf numFmtId="0" fontId="6" fillId="0" borderId="0" xfId="0" applyFont="1" applyAlignment="1">
      <alignment vertical="center" wrapText="1"/>
    </xf>
    <xf numFmtId="0" fontId="6" fillId="0" borderId="4" xfId="0" applyFont="1" applyBorder="1" applyAlignment="1">
      <alignment horizontal="left" vertical="top" wrapText="1"/>
    </xf>
    <xf numFmtId="0" fontId="0" fillId="0" borderId="59" xfId="0" applyBorder="1"/>
    <xf numFmtId="0" fontId="0" fillId="0" borderId="87" xfId="0" applyBorder="1"/>
    <xf numFmtId="0" fontId="6" fillId="3" borderId="57" xfId="0" applyFont="1" applyFill="1" applyBorder="1" applyAlignment="1">
      <alignment vertical="center" wrapText="1"/>
    </xf>
    <xf numFmtId="0" fontId="6" fillId="0" borderId="4" xfId="0" applyFont="1" applyBorder="1" applyAlignment="1">
      <alignment horizontal="right" vertical="center" wrapText="1"/>
    </xf>
    <xf numFmtId="0" fontId="6" fillId="0" borderId="4" xfId="0" applyFont="1" applyBorder="1" applyAlignment="1">
      <alignment horizontal="right" vertical="top" wrapText="1"/>
    </xf>
    <xf numFmtId="0" fontId="0" fillId="0" borderId="5" xfId="0" applyBorder="1"/>
    <xf numFmtId="0" fontId="6" fillId="0" borderId="58" xfId="0" applyFont="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Alignment="1">
      <alignment horizontal="center" vertical="top" wrapText="1"/>
    </xf>
    <xf numFmtId="170" fontId="4" fillId="3" borderId="0" xfId="0" applyNumberFormat="1" applyFont="1" applyFill="1" applyAlignment="1">
      <alignment horizontal="center" vertical="top" wrapText="1"/>
    </xf>
    <xf numFmtId="0" fontId="4" fillId="3" borderId="5" xfId="0" applyFont="1" applyFill="1" applyBorder="1" applyAlignment="1">
      <alignment vertical="top"/>
    </xf>
    <xf numFmtId="170" fontId="15" fillId="3" borderId="89" xfId="0" applyNumberFormat="1" applyFont="1" applyFill="1" applyBorder="1" applyAlignment="1">
      <alignment vertical="center" wrapText="1"/>
    </xf>
    <xf numFmtId="0" fontId="33" fillId="0" borderId="0" xfId="0" applyFont="1" applyAlignment="1">
      <alignment vertical="top" wrapText="1"/>
    </xf>
    <xf numFmtId="0" fontId="0" fillId="6" borderId="0" xfId="0" applyFill="1"/>
    <xf numFmtId="176" fontId="15"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4" fillId="2" borderId="20" xfId="0" applyFont="1" applyFill="1" applyBorder="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42"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Alignment="1">
      <alignment wrapText="1"/>
    </xf>
    <xf numFmtId="0" fontId="18" fillId="3" borderId="7" xfId="0" applyFont="1" applyFill="1" applyBorder="1" applyAlignment="1">
      <alignment wrapText="1"/>
    </xf>
    <xf numFmtId="0" fontId="18" fillId="0" borderId="6" xfId="0" applyFont="1" applyBorder="1" applyAlignment="1">
      <alignment wrapText="1"/>
    </xf>
    <xf numFmtId="173" fontId="18" fillId="0" borderId="104" xfId="16" applyFont="1" applyBorder="1" applyAlignment="1">
      <alignment wrapText="1"/>
    </xf>
    <xf numFmtId="2" fontId="13" fillId="3" borderId="78" xfId="16" applyNumberFormat="1" applyFont="1" applyFill="1" applyBorder="1" applyAlignment="1">
      <alignment wrapText="1"/>
    </xf>
    <xf numFmtId="2" fontId="13" fillId="3" borderId="79" xfId="16" applyNumberFormat="1" applyFont="1" applyFill="1" applyBorder="1" applyAlignment="1">
      <alignment wrapText="1"/>
    </xf>
    <xf numFmtId="2" fontId="13" fillId="3" borderId="80" xfId="16" applyNumberFormat="1" applyFont="1" applyFill="1" applyBorder="1" applyAlignment="1">
      <alignment wrapText="1"/>
    </xf>
    <xf numFmtId="0" fontId="10" fillId="2" borderId="0" xfId="5" applyFont="1" applyFill="1" applyBorder="1" applyAlignment="1" applyProtection="1">
      <alignment horizontal="left" vertical="top" wrapText="1"/>
    </xf>
    <xf numFmtId="0" fontId="0" fillId="0" borderId="0" xfId="0" applyAlignment="1">
      <alignment horizontal="left" vertical="top" wrapText="1"/>
    </xf>
    <xf numFmtId="165" fontId="8" fillId="2" borderId="0" xfId="0" applyNumberFormat="1" applyFont="1" applyFill="1" applyAlignment="1">
      <alignment horizontal="center" vertical="center"/>
    </xf>
    <xf numFmtId="166" fontId="8" fillId="0" borderId="5" xfId="0" applyNumberFormat="1" applyFont="1" applyBorder="1" applyAlignment="1">
      <alignment horizontal="center" vertical="center" wrapText="1"/>
    </xf>
    <xf numFmtId="1" fontId="8" fillId="2" borderId="0" xfId="0" applyNumberFormat="1" applyFont="1" applyFill="1" applyAlignment="1">
      <alignment horizontal="center" vertical="center" wrapText="1"/>
    </xf>
    <xf numFmtId="2" fontId="8" fillId="2" borderId="0" xfId="0" applyNumberFormat="1" applyFont="1" applyFill="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lignment horizontal="left" vertical="center"/>
    </xf>
    <xf numFmtId="173" fontId="12" fillId="0" borderId="112" xfId="16" applyFont="1" applyBorder="1" applyAlignment="1">
      <alignment wrapText="1"/>
    </xf>
    <xf numFmtId="165" fontId="12" fillId="3" borderId="113" xfId="16" applyNumberFormat="1" applyFont="1" applyFill="1" applyBorder="1"/>
    <xf numFmtId="173" fontId="12" fillId="0" borderId="114" xfId="16" applyFont="1" applyBorder="1"/>
    <xf numFmtId="173" fontId="12" fillId="0" borderId="115" xfId="16" applyFont="1" applyBorder="1" applyAlignment="1">
      <alignment wrapText="1"/>
    </xf>
    <xf numFmtId="165" fontId="12" fillId="3" borderId="98" xfId="16" applyNumberFormat="1" applyFont="1" applyFill="1" applyBorder="1"/>
    <xf numFmtId="173" fontId="12" fillId="0" borderId="116" xfId="16" applyFont="1" applyBorder="1"/>
    <xf numFmtId="173" fontId="12" fillId="0" borderId="117" xfId="16" applyFont="1" applyBorder="1" applyAlignment="1">
      <alignment wrapText="1"/>
    </xf>
    <xf numFmtId="165" fontId="12" fillId="3" borderId="118" xfId="16" applyNumberFormat="1" applyFont="1" applyFill="1" applyBorder="1"/>
    <xf numFmtId="173" fontId="12" fillId="0" borderId="119" xfId="16" applyFont="1" applyBorder="1"/>
    <xf numFmtId="165" fontId="4" fillId="0" borderId="0" xfId="16" applyNumberFormat="1" applyFont="1"/>
    <xf numFmtId="0" fontId="4" fillId="0" borderId="58" xfId="0" applyFont="1" applyBorder="1"/>
    <xf numFmtId="0" fontId="4" fillId="0" borderId="59" xfId="0" applyFont="1" applyBorder="1"/>
    <xf numFmtId="0" fontId="4" fillId="0" borderId="87" xfId="0" applyFont="1" applyBorder="1"/>
    <xf numFmtId="173" fontId="12" fillId="0" borderId="106" xfId="16" applyFont="1" applyBorder="1"/>
    <xf numFmtId="170" fontId="12" fillId="0" borderId="107" xfId="16" applyNumberFormat="1" applyFont="1" applyBorder="1" applyAlignment="1">
      <alignment horizontal="center"/>
    </xf>
    <xf numFmtId="173" fontId="12" fillId="0" borderId="98" xfId="16" applyFont="1" applyBorder="1"/>
    <xf numFmtId="173" fontId="12" fillId="0" borderId="108" xfId="16" applyFont="1" applyBorder="1"/>
    <xf numFmtId="173" fontId="12" fillId="0" borderId="120" xfId="16" applyFont="1" applyBorder="1"/>
    <xf numFmtId="173" fontId="12" fillId="0" borderId="111" xfId="16" applyFont="1" applyBorder="1"/>
    <xf numFmtId="173" fontId="6" fillId="0" borderId="40" xfId="16" applyFont="1" applyBorder="1"/>
    <xf numFmtId="173" fontId="5" fillId="0" borderId="63" xfId="5" applyNumberFormat="1" applyBorder="1" applyAlignment="1" applyProtection="1"/>
    <xf numFmtId="173" fontId="5" fillId="0" borderId="109" xfId="5" applyNumberFormat="1" applyBorder="1" applyAlignment="1" applyProtection="1"/>
    <xf numFmtId="0" fontId="18" fillId="0" borderId="10" xfId="0" quotePrefix="1" applyFont="1" applyBorder="1" applyAlignment="1">
      <alignment wrapText="1"/>
    </xf>
    <xf numFmtId="173" fontId="4" fillId="0" borderId="40" xfId="16" applyFont="1" applyBorder="1" applyAlignment="1">
      <alignment horizontal="center" wrapText="1"/>
    </xf>
    <xf numFmtId="0" fontId="13" fillId="3" borderId="122" xfId="0" applyFont="1" applyFill="1" applyBorder="1" applyAlignment="1">
      <alignment wrapText="1"/>
    </xf>
    <xf numFmtId="0" fontId="13" fillId="3" borderId="123" xfId="0" applyFont="1" applyFill="1" applyBorder="1" applyAlignment="1">
      <alignment wrapText="1"/>
    </xf>
    <xf numFmtId="0" fontId="13" fillId="3" borderId="124" xfId="0" applyFont="1" applyFill="1" applyBorder="1" applyAlignment="1">
      <alignment wrapText="1"/>
    </xf>
    <xf numFmtId="173" fontId="4" fillId="0" borderId="107" xfId="16" applyFont="1" applyBorder="1" applyAlignment="1">
      <alignment horizontal="center" wrapText="1"/>
    </xf>
    <xf numFmtId="169" fontId="12" fillId="3" borderId="108" xfId="16" applyNumberFormat="1" applyFont="1" applyFill="1" applyBorder="1"/>
    <xf numFmtId="173" fontId="4" fillId="0" borderId="125" xfId="16" applyFont="1" applyBorder="1" applyAlignment="1">
      <alignment horizontal="center" wrapText="1"/>
    </xf>
    <xf numFmtId="0" fontId="13" fillId="3" borderId="77" xfId="0" quotePrefix="1" applyFont="1" applyFill="1" applyBorder="1" applyAlignment="1">
      <alignment horizontal="left" wrapText="1"/>
    </xf>
    <xf numFmtId="0" fontId="13" fillId="3" borderId="80" xfId="0" quotePrefix="1" applyFont="1" applyFill="1" applyBorder="1" applyAlignment="1">
      <alignment wrapText="1"/>
    </xf>
    <xf numFmtId="0" fontId="13" fillId="3" borderId="80" xfId="0" quotePrefix="1" applyFont="1" applyFill="1" applyBorder="1" applyAlignment="1">
      <alignment horizontal="center" wrapText="1"/>
    </xf>
    <xf numFmtId="0" fontId="4" fillId="0" borderId="3" xfId="0" applyFont="1" applyBorder="1" applyAlignment="1">
      <alignment wrapText="1"/>
    </xf>
    <xf numFmtId="0" fontId="0" fillId="0" borderId="113" xfId="0" applyBorder="1"/>
    <xf numFmtId="0" fontId="0" fillId="0" borderId="98" xfId="0" applyBorder="1"/>
    <xf numFmtId="0" fontId="0" fillId="0" borderId="116" xfId="0" applyBorder="1"/>
    <xf numFmtId="173" fontId="18" fillId="0" borderId="76" xfId="16" applyFont="1" applyBorder="1" applyAlignment="1">
      <alignment horizontal="left"/>
    </xf>
    <xf numFmtId="164" fontId="13" fillId="0" borderId="76" xfId="16" applyNumberFormat="1" applyFont="1" applyBorder="1"/>
    <xf numFmtId="173" fontId="12" fillId="0" borderId="6" xfId="16" applyFont="1" applyBorder="1" applyAlignment="1">
      <alignment wrapText="1"/>
    </xf>
    <xf numFmtId="173" fontId="4" fillId="0" borderId="6" xfId="16" applyFont="1" applyBorder="1" applyAlignment="1">
      <alignment wrapText="1"/>
    </xf>
    <xf numFmtId="173" fontId="12" fillId="0" borderId="67" xfId="16" applyFont="1" applyBorder="1" applyAlignment="1">
      <alignment wrapText="1"/>
    </xf>
    <xf numFmtId="0" fontId="0" fillId="0" borderId="77" xfId="0" applyBorder="1"/>
    <xf numFmtId="173" fontId="6" fillId="0" borderId="78" xfId="16" applyFont="1" applyBorder="1" applyAlignment="1">
      <alignment vertical="center" wrapText="1"/>
    </xf>
    <xf numFmtId="173" fontId="6" fillId="0" borderId="79" xfId="16" applyFont="1" applyBorder="1" applyAlignment="1">
      <alignment horizontal="center" vertical="center" wrapText="1"/>
    </xf>
    <xf numFmtId="165" fontId="6" fillId="0" borderId="79" xfId="16" applyNumberFormat="1" applyFont="1" applyBorder="1" applyAlignment="1">
      <alignment horizontal="center" vertical="center" wrapText="1"/>
    </xf>
    <xf numFmtId="165" fontId="6" fillId="0" borderId="80" xfId="16" applyNumberFormat="1" applyFont="1" applyBorder="1" applyAlignment="1">
      <alignment horizontal="center" vertical="center" wrapText="1"/>
    </xf>
    <xf numFmtId="173" fontId="12" fillId="3" borderId="0" xfId="16" applyFont="1" applyFill="1" applyAlignment="1">
      <alignment horizontal="center"/>
    </xf>
    <xf numFmtId="173" fontId="12" fillId="3" borderId="7" xfId="16" applyFont="1" applyFill="1" applyBorder="1" applyAlignment="1">
      <alignment horizontal="center"/>
    </xf>
    <xf numFmtId="165" fontId="12" fillId="3" borderId="0" xfId="16" applyNumberFormat="1" applyFont="1" applyFill="1" applyAlignment="1">
      <alignment horizontal="center"/>
    </xf>
    <xf numFmtId="165" fontId="12" fillId="0" borderId="2" xfId="16" applyNumberFormat="1" applyFont="1" applyBorder="1" applyAlignment="1">
      <alignment horizontal="center"/>
    </xf>
    <xf numFmtId="173" fontId="12" fillId="0" borderId="2" xfId="16" applyFont="1" applyBorder="1" applyAlignment="1">
      <alignment horizontal="center"/>
    </xf>
    <xf numFmtId="173" fontId="12" fillId="0" borderId="82" xfId="16" applyFont="1" applyBorder="1" applyAlignment="1">
      <alignment horizontal="center"/>
    </xf>
    <xf numFmtId="173" fontId="12" fillId="0" borderId="63" xfId="16" applyFont="1" applyBorder="1" applyAlignment="1">
      <alignment horizontal="right"/>
    </xf>
    <xf numFmtId="173" fontId="12" fillId="0" borderId="63" xfId="16" applyFont="1" applyBorder="1" applyAlignment="1">
      <alignment horizontal="right" wrapText="1"/>
    </xf>
    <xf numFmtId="173" fontId="4" fillId="0" borderId="109" xfId="16" applyFont="1" applyBorder="1"/>
    <xf numFmtId="173" fontId="18" fillId="0" borderId="77" xfId="16" applyFont="1" applyBorder="1" applyAlignment="1">
      <alignment horizontal="left"/>
    </xf>
    <xf numFmtId="165" fontId="4" fillId="0" borderId="7" xfId="16" applyNumberFormat="1" applyFont="1" applyBorder="1"/>
    <xf numFmtId="0" fontId="0" fillId="0" borderId="9"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Border="1" applyAlignment="1">
      <alignment vertical="top" wrapText="1"/>
    </xf>
    <xf numFmtId="0" fontId="6" fillId="0" borderId="107" xfId="0" applyFont="1" applyBorder="1" applyAlignment="1">
      <alignmen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lignment horizontal="center"/>
    </xf>
    <xf numFmtId="0" fontId="4" fillId="0" borderId="76" xfId="0" applyFont="1" applyBorder="1" applyAlignment="1">
      <alignment horizontal="center"/>
    </xf>
    <xf numFmtId="0" fontId="4" fillId="0" borderId="77" xfId="0" applyFont="1" applyBorder="1" applyAlignment="1">
      <alignment horizontal="center"/>
    </xf>
    <xf numFmtId="2" fontId="12" fillId="3" borderId="113" xfId="16" applyNumberFormat="1" applyFont="1" applyFill="1" applyBorder="1" applyAlignment="1">
      <alignment horizontal="center" vertical="center" wrapText="1"/>
    </xf>
    <xf numFmtId="2" fontId="12" fillId="3" borderId="128" xfId="16" applyNumberFormat="1" applyFont="1" applyFill="1" applyBorder="1" applyAlignment="1">
      <alignment horizontal="center" vertical="center" wrapText="1"/>
    </xf>
    <xf numFmtId="3" fontId="12" fillId="3" borderId="98" xfId="16" applyNumberFormat="1" applyFont="1" applyFill="1" applyBorder="1" applyAlignment="1">
      <alignment horizontal="center" vertical="center" wrapText="1"/>
    </xf>
    <xf numFmtId="3" fontId="12" fillId="3" borderId="108" xfId="16" applyNumberFormat="1" applyFont="1" applyFill="1" applyBorder="1" applyAlignment="1">
      <alignment horizontal="center" vertical="center" wrapText="1"/>
    </xf>
    <xf numFmtId="2" fontId="12" fillId="3" borderId="98" xfId="16" applyNumberFormat="1" applyFont="1" applyFill="1" applyBorder="1" applyAlignment="1">
      <alignment horizontal="center" vertical="center" wrapText="1"/>
    </xf>
    <xf numFmtId="2" fontId="12" fillId="3" borderId="108" xfId="16" applyNumberFormat="1" applyFont="1" applyFill="1" applyBorder="1" applyAlignment="1">
      <alignment horizontal="center" vertical="center" wrapText="1"/>
    </xf>
    <xf numFmtId="3" fontId="12" fillId="3" borderId="120" xfId="16" applyNumberFormat="1" applyFont="1" applyFill="1" applyBorder="1" applyAlignment="1">
      <alignment horizontal="center" vertical="center" wrapText="1"/>
    </xf>
    <xf numFmtId="3" fontId="12" fillId="3" borderId="111" xfId="16" applyNumberFormat="1" applyFont="1" applyFill="1" applyBorder="1" applyAlignment="1">
      <alignment horizontal="center" vertical="center" wrapText="1"/>
    </xf>
    <xf numFmtId="173" fontId="4" fillId="0" borderId="127" xfId="16" applyFont="1" applyBorder="1" applyAlignment="1">
      <alignment wrapText="1"/>
    </xf>
    <xf numFmtId="173" fontId="12" fillId="0" borderId="63" xfId="16" applyFont="1" applyBorder="1" applyAlignment="1">
      <alignment wrapText="1"/>
    </xf>
    <xf numFmtId="173" fontId="12" fillId="0" borderId="109" xfId="16" applyFont="1" applyBorder="1" applyAlignment="1">
      <alignment wrapText="1"/>
    </xf>
    <xf numFmtId="165" fontId="4" fillId="0" borderId="113" xfId="16" applyNumberFormat="1" applyFont="1" applyBorder="1" applyAlignment="1">
      <alignment horizontal="center"/>
    </xf>
    <xf numFmtId="165" fontId="4" fillId="0" borderId="128" xfId="16" applyNumberFormat="1" applyFont="1" applyBorder="1" applyAlignment="1">
      <alignment horizontal="center"/>
    </xf>
    <xf numFmtId="165" fontId="12" fillId="3" borderId="98" xfId="16" applyNumberFormat="1" applyFont="1" applyFill="1" applyBorder="1" applyAlignment="1">
      <alignment horizontal="center"/>
    </xf>
    <xf numFmtId="173" fontId="12" fillId="0" borderId="121" xfId="16" applyFont="1" applyBorder="1" applyAlignment="1">
      <alignment wrapText="1"/>
    </xf>
    <xf numFmtId="0" fontId="4" fillId="0" borderId="86" xfId="0" applyFont="1" applyBorder="1"/>
    <xf numFmtId="165" fontId="12" fillId="3" borderId="129" xfId="16" applyNumberFormat="1" applyFont="1" applyFill="1" applyBorder="1" applyAlignment="1">
      <alignment horizontal="center"/>
    </xf>
    <xf numFmtId="165" fontId="0" fillId="3" borderId="47" xfId="0" applyNumberFormat="1" applyFill="1" applyBorder="1" applyAlignment="1">
      <alignment horizontal="center"/>
    </xf>
    <xf numFmtId="11" fontId="12" fillId="3" borderId="98" xfId="16" applyNumberFormat="1" applyFont="1" applyFill="1" applyBorder="1" applyAlignment="1">
      <alignment horizontal="center"/>
    </xf>
    <xf numFmtId="11" fontId="12" fillId="3" borderId="129" xfId="16" applyNumberFormat="1" applyFont="1" applyFill="1" applyBorder="1" applyAlignment="1">
      <alignment horizontal="center"/>
    </xf>
    <xf numFmtId="11" fontId="0" fillId="3" borderId="47" xfId="0" applyNumberFormat="1" applyFill="1" applyBorder="1" applyAlignment="1">
      <alignment horizontal="center"/>
    </xf>
    <xf numFmtId="165" fontId="12" fillId="3" borderId="108" xfId="16" applyNumberFormat="1" applyFont="1" applyFill="1" applyBorder="1" applyAlignment="1">
      <alignment horizontal="center"/>
    </xf>
    <xf numFmtId="165" fontId="12" fillId="3" borderId="130" xfId="16" applyNumberFormat="1" applyFont="1" applyFill="1" applyBorder="1" applyAlignment="1">
      <alignment horizontal="center"/>
    </xf>
    <xf numFmtId="165" fontId="0" fillId="3" borderId="56" xfId="0" applyNumberFormat="1" applyFill="1" applyBorder="1" applyAlignment="1">
      <alignment horizontal="center"/>
    </xf>
    <xf numFmtId="165" fontId="12" fillId="3" borderId="120" xfId="16" applyNumberFormat="1" applyFont="1" applyFill="1" applyBorder="1" applyAlignment="1">
      <alignment horizontal="center"/>
    </xf>
    <xf numFmtId="11" fontId="12" fillId="3" borderId="120" xfId="16" applyNumberFormat="1" applyFont="1" applyFill="1" applyBorder="1" applyAlignment="1">
      <alignment horizontal="center"/>
    </xf>
    <xf numFmtId="165" fontId="12" fillId="3" borderId="111" xfId="16" applyNumberFormat="1" applyFont="1" applyFill="1" applyBorder="1" applyAlignment="1">
      <alignment horizontal="center"/>
    </xf>
    <xf numFmtId="11" fontId="12" fillId="3" borderId="0" xfId="16" applyNumberFormat="1" applyFont="1" applyFill="1"/>
    <xf numFmtId="11" fontId="12" fillId="3" borderId="7" xfId="16" applyNumberFormat="1" applyFont="1" applyFill="1" applyBorder="1"/>
    <xf numFmtId="11" fontId="12" fillId="3" borderId="90" xfId="16" applyNumberFormat="1" applyFont="1" applyFill="1" applyBorder="1"/>
    <xf numFmtId="11" fontId="12" fillId="3" borderId="110" xfId="16" applyNumberFormat="1" applyFont="1" applyFill="1" applyBorder="1"/>
    <xf numFmtId="165" fontId="12" fillId="3" borderId="0" xfId="16" applyNumberFormat="1" applyFont="1" applyFill="1" applyAlignment="1">
      <alignment horizontal="center" wrapText="1"/>
    </xf>
    <xf numFmtId="165" fontId="4" fillId="3" borderId="0" xfId="16" applyNumberFormat="1" applyFont="1" applyFill="1" applyAlignment="1">
      <alignment horizontal="center" wrapText="1"/>
    </xf>
    <xf numFmtId="173" fontId="18" fillId="0" borderId="24" xfId="16" applyFont="1" applyBorder="1"/>
    <xf numFmtId="173" fontId="12" fillId="0" borderId="65" xfId="16" applyFont="1" applyBorder="1"/>
    <xf numFmtId="0" fontId="4" fillId="0" borderId="65" xfId="0" applyFont="1" applyBorder="1"/>
    <xf numFmtId="0" fontId="4" fillId="0" borderId="66" xfId="0" applyFont="1" applyBorder="1"/>
    <xf numFmtId="0" fontId="0" fillId="0" borderId="7" xfId="0" applyBorder="1"/>
    <xf numFmtId="2" fontId="12" fillId="3" borderId="113" xfId="16" applyNumberFormat="1" applyFont="1" applyFill="1" applyBorder="1" applyAlignment="1">
      <alignment vertical="center" wrapText="1"/>
    </xf>
    <xf numFmtId="3" fontId="12" fillId="3" borderId="98" xfId="16" applyNumberFormat="1" applyFont="1" applyFill="1" applyBorder="1" applyAlignment="1">
      <alignment vertical="center" wrapText="1"/>
    </xf>
    <xf numFmtId="2" fontId="12" fillId="3" borderId="98" xfId="16" applyNumberFormat="1" applyFont="1" applyFill="1" applyBorder="1" applyAlignment="1">
      <alignment vertical="center" wrapText="1"/>
    </xf>
    <xf numFmtId="3" fontId="12" fillId="3" borderId="120" xfId="16" applyNumberFormat="1" applyFont="1" applyFill="1" applyBorder="1" applyAlignment="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lignment wrapText="1"/>
    </xf>
    <xf numFmtId="173" fontId="6" fillId="0" borderId="76" xfId="16" applyFont="1" applyBorder="1" applyAlignment="1">
      <alignment horizontal="center" wrapText="1"/>
    </xf>
    <xf numFmtId="173" fontId="6" fillId="0" borderId="76" xfId="16" applyFont="1" applyBorder="1" applyAlignment="1">
      <alignment horizontal="center" vertical="center" wrapText="1"/>
    </xf>
    <xf numFmtId="165" fontId="6" fillId="0" borderId="76" xfId="16" applyNumberFormat="1" applyFont="1" applyBorder="1" applyAlignment="1">
      <alignment horizontal="center" vertical="center" wrapText="1"/>
    </xf>
    <xf numFmtId="165" fontId="6" fillId="0" borderId="77" xfId="16" applyNumberFormat="1" applyFont="1" applyBorder="1" applyAlignment="1">
      <alignment horizontal="center" vertical="center" wrapText="1"/>
    </xf>
    <xf numFmtId="173" fontId="12" fillId="0" borderId="127" xfId="16" applyFont="1" applyBorder="1" applyAlignment="1">
      <alignment wrapText="1"/>
    </xf>
    <xf numFmtId="165" fontId="12" fillId="3" borderId="113" xfId="16" applyNumberFormat="1" applyFont="1" applyFill="1" applyBorder="1" applyAlignment="1">
      <alignment horizontal="center" wrapText="1"/>
    </xf>
    <xf numFmtId="165" fontId="12" fillId="3" borderId="113" xfId="16" applyNumberFormat="1" applyFont="1" applyFill="1" applyBorder="1" applyAlignment="1">
      <alignment horizontal="center"/>
    </xf>
    <xf numFmtId="173" fontId="12" fillId="3" borderId="113" xfId="16" applyFont="1" applyFill="1" applyBorder="1" applyAlignment="1">
      <alignment horizontal="center"/>
    </xf>
    <xf numFmtId="165" fontId="12" fillId="3" borderId="98" xfId="16" applyNumberFormat="1" applyFont="1" applyFill="1" applyBorder="1" applyAlignment="1">
      <alignment horizontal="center" wrapText="1"/>
    </xf>
    <xf numFmtId="173" fontId="12" fillId="3" borderId="98" xfId="16" applyFont="1" applyFill="1" applyBorder="1" applyAlignment="1">
      <alignment horizontal="center"/>
    </xf>
    <xf numFmtId="173" fontId="12" fillId="3" borderId="108" xfId="16" applyFont="1" applyFill="1" applyBorder="1" applyAlignment="1">
      <alignment horizontal="center"/>
    </xf>
    <xf numFmtId="173" fontId="12" fillId="0" borderId="131" xfId="16" applyFont="1" applyBorder="1" applyAlignment="1">
      <alignment wrapText="1"/>
    </xf>
    <xf numFmtId="165" fontId="12" fillId="3" borderId="118" xfId="16" applyNumberFormat="1" applyFont="1" applyFill="1" applyBorder="1" applyAlignment="1">
      <alignment horizontal="center" wrapText="1"/>
    </xf>
    <xf numFmtId="165" fontId="12" fillId="3" borderId="118" xfId="16" applyNumberFormat="1" applyFont="1" applyFill="1" applyBorder="1" applyAlignment="1">
      <alignment horizontal="center"/>
    </xf>
    <xf numFmtId="173" fontId="12" fillId="3" borderId="118" xfId="16" applyFont="1" applyFill="1" applyBorder="1" applyAlignment="1">
      <alignment horizontal="center"/>
    </xf>
    <xf numFmtId="173" fontId="6" fillId="0" borderId="81" xfId="16" applyFont="1" applyBorder="1" applyAlignment="1">
      <alignment wrapText="1"/>
    </xf>
    <xf numFmtId="165" fontId="4" fillId="0" borderId="2" xfId="16" applyNumberFormat="1" applyFont="1" applyBorder="1" applyAlignment="1">
      <alignment horizontal="center" wrapText="1"/>
    </xf>
    <xf numFmtId="165" fontId="12" fillId="3" borderId="120" xfId="16" applyNumberFormat="1" applyFont="1" applyFill="1" applyBorder="1" applyAlignment="1">
      <alignment horizontal="center" wrapText="1"/>
    </xf>
    <xf numFmtId="173" fontId="12" fillId="3" borderId="120" xfId="16" applyFont="1" applyFill="1" applyBorder="1" applyAlignment="1">
      <alignment horizontal="center"/>
    </xf>
    <xf numFmtId="173" fontId="12" fillId="3" borderId="111" xfId="16" applyFont="1" applyFill="1" applyBorder="1" applyAlignment="1">
      <alignment horizontal="center"/>
    </xf>
    <xf numFmtId="11" fontId="12" fillId="0" borderId="0" xfId="16" applyNumberFormat="1" applyFont="1"/>
    <xf numFmtId="11" fontId="12" fillId="0" borderId="7" xfId="16" applyNumberFormat="1" applyFont="1" applyBorder="1"/>
    <xf numFmtId="173" fontId="4" fillId="0" borderId="63" xfId="16" applyFont="1" applyBorder="1" applyAlignment="1">
      <alignment wrapText="1"/>
    </xf>
    <xf numFmtId="165" fontId="12" fillId="0" borderId="98" xfId="16" applyNumberFormat="1" applyFont="1" applyBorder="1" applyAlignment="1">
      <alignment horizontal="center"/>
    </xf>
    <xf numFmtId="11" fontId="12" fillId="0" borderId="98" xfId="16" applyNumberFormat="1" applyFont="1" applyBorder="1" applyAlignment="1">
      <alignment horizontal="center"/>
    </xf>
    <xf numFmtId="165" fontId="12" fillId="0" borderId="108" xfId="16" applyNumberFormat="1" applyFont="1" applyBorder="1" applyAlignment="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42" fontId="12" fillId="3" borderId="69" xfId="1" applyNumberFormat="1" applyFont="1" applyFill="1" applyBorder="1" applyAlignment="1" applyProtection="1">
      <alignment wrapText="1"/>
      <protection locked="0"/>
    </xf>
    <xf numFmtId="42" fontId="12" fillId="3" borderId="135" xfId="0" applyNumberFormat="1" applyFont="1" applyFill="1" applyBorder="1" applyAlignment="1" applyProtection="1">
      <alignment wrapText="1"/>
      <protection locked="0"/>
    </xf>
    <xf numFmtId="42" fontId="12" fillId="3" borderId="135" xfId="1" applyNumberFormat="1" applyFont="1" applyFill="1" applyBorder="1" applyAlignment="1" applyProtection="1">
      <alignment wrapText="1"/>
      <protection locked="0"/>
    </xf>
    <xf numFmtId="42" fontId="12" fillId="3" borderId="8" xfId="0" applyNumberFormat="1" applyFont="1" applyFill="1" applyBorder="1" applyAlignment="1" applyProtection="1">
      <alignment wrapText="1"/>
      <protection locked="0"/>
    </xf>
    <xf numFmtId="42"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6" xfId="0" applyNumberFormat="1" applyFont="1" applyFill="1" applyBorder="1" applyAlignment="1" applyProtection="1">
      <alignment wrapText="1"/>
      <protection locked="0"/>
    </xf>
    <xf numFmtId="42" fontId="12" fillId="3" borderId="136" xfId="0" applyNumberFormat="1" applyFont="1" applyFill="1" applyBorder="1" applyAlignment="1" applyProtection="1">
      <alignment wrapText="1"/>
      <protection locked="0"/>
    </xf>
    <xf numFmtId="42" fontId="12" fillId="3" borderId="136" xfId="1" applyNumberFormat="1" applyFont="1" applyFill="1" applyBorder="1" applyAlignment="1" applyProtection="1">
      <alignment wrapText="1"/>
      <protection locked="0"/>
    </xf>
    <xf numFmtId="0" fontId="12" fillId="6" borderId="136" xfId="0" applyFont="1" applyFill="1" applyBorder="1" applyAlignment="1" applyProtection="1">
      <alignment wrapText="1"/>
      <protection locked="0"/>
    </xf>
    <xf numFmtId="0" fontId="12" fillId="3" borderId="137" xfId="0" applyFont="1" applyFill="1" applyBorder="1" applyAlignment="1" applyProtection="1">
      <alignment horizontal="left" wrapText="1"/>
      <protection locked="0"/>
    </xf>
    <xf numFmtId="0" fontId="12" fillId="3" borderId="138" xfId="0" applyFont="1" applyFill="1" applyBorder="1" applyAlignment="1" applyProtection="1">
      <alignment horizontal="left" wrapText="1"/>
      <protection locked="0"/>
    </xf>
    <xf numFmtId="2" fontId="12" fillId="3" borderId="135"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73" fontId="12" fillId="0" borderId="63" xfId="16" applyFont="1" applyBorder="1" applyAlignment="1">
      <alignment horizontal="left" vertical="center" wrapText="1"/>
    </xf>
    <xf numFmtId="173" fontId="12" fillId="0" borderId="98" xfId="16" applyFont="1" applyBorder="1" applyAlignment="1">
      <alignment horizontal="left" vertical="center" wrapText="1"/>
    </xf>
    <xf numFmtId="0" fontId="0" fillId="5" borderId="0" xfId="0" applyFill="1"/>
    <xf numFmtId="0" fontId="0" fillId="3" borderId="0" xfId="0" applyFill="1"/>
    <xf numFmtId="0" fontId="0" fillId="4" borderId="0" xfId="0" applyFill="1"/>
    <xf numFmtId="173" fontId="40" fillId="0" borderId="0" xfId="16" applyFont="1" applyAlignment="1">
      <alignment horizontal="left"/>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Alignment="1" applyProtection="1">
      <alignment horizontal="right"/>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8" xfId="0" applyFont="1" applyBorder="1" applyProtection="1">
      <protection locked="0"/>
    </xf>
    <xf numFmtId="0" fontId="40" fillId="0" borderId="0" xfId="0" applyFont="1"/>
    <xf numFmtId="0" fontId="4" fillId="0" borderId="0" xfId="0" applyFont="1" applyAlignment="1">
      <alignment horizontal="left" vertical="center"/>
    </xf>
    <xf numFmtId="0" fontId="38" fillId="0" borderId="0" xfId="0" applyFont="1" applyAlignment="1">
      <alignment horizontal="right"/>
    </xf>
    <xf numFmtId="4" fontId="12" fillId="3" borderId="98" xfId="16" applyNumberFormat="1" applyFont="1" applyFill="1" applyBorder="1" applyAlignment="1">
      <alignment horizontal="center" vertical="center" wrapText="1"/>
    </xf>
    <xf numFmtId="4" fontId="12" fillId="3" borderId="108" xfId="16" applyNumberFormat="1" applyFont="1" applyFill="1" applyBorder="1" applyAlignment="1">
      <alignment horizontal="center" vertical="center" wrapText="1"/>
    </xf>
    <xf numFmtId="0" fontId="0" fillId="15" borderId="0" xfId="0" applyFill="1"/>
    <xf numFmtId="0" fontId="4" fillId="0" borderId="4" xfId="0" applyFont="1" applyBorder="1" applyAlignment="1">
      <alignment vertical="center" wrapText="1"/>
    </xf>
    <xf numFmtId="169" fontId="12" fillId="3" borderId="140" xfId="16" applyNumberFormat="1" applyFont="1" applyFill="1" applyBorder="1"/>
    <xf numFmtId="169" fontId="4" fillId="3" borderId="22" xfId="16" applyNumberFormat="1" applyFont="1" applyFill="1" applyBorder="1"/>
    <xf numFmtId="0" fontId="0" fillId="0" borderId="47" xfId="0" quotePrefix="1" applyBorder="1" applyAlignment="1">
      <alignment wrapText="1"/>
    </xf>
    <xf numFmtId="173" fontId="12" fillId="0" borderId="0" xfId="16" quotePrefix="1" applyFont="1"/>
    <xf numFmtId="165" fontId="18" fillId="3" borderId="8" xfId="0" applyNumberFormat="1" applyFont="1" applyFill="1" applyBorder="1" applyAlignment="1">
      <alignment wrapText="1"/>
    </xf>
    <xf numFmtId="165" fontId="18" fillId="3" borderId="19" xfId="0" applyNumberFormat="1" applyFont="1" applyFill="1" applyBorder="1" applyAlignment="1">
      <alignment wrapText="1"/>
    </xf>
    <xf numFmtId="167" fontId="0" fillId="0" borderId="98" xfId="0" applyNumberFormat="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2" fillId="6" borderId="6" xfId="7" applyFill="1" applyBorder="1" applyAlignment="1">
      <alignment horizontal="center"/>
    </xf>
    <xf numFmtId="0" fontId="41" fillId="0" borderId="0" xfId="0" applyFont="1"/>
    <xf numFmtId="0" fontId="4" fillId="0" borderId="24" xfId="0" applyFont="1" applyBorder="1"/>
    <xf numFmtId="0" fontId="0" fillId="0" borderId="65" xfId="0" applyBorder="1"/>
    <xf numFmtId="0" fontId="0" fillId="0" borderId="78" xfId="0" applyBorder="1"/>
    <xf numFmtId="0" fontId="0" fillId="0" borderId="79" xfId="0" applyBorder="1"/>
    <xf numFmtId="0" fontId="0" fillId="0" borderId="80" xfId="0" applyBorder="1"/>
    <xf numFmtId="0" fontId="0" fillId="0" borderId="6" xfId="0" applyBorder="1"/>
    <xf numFmtId="167" fontId="0" fillId="0" borderId="0" xfId="0" applyNumberFormat="1"/>
    <xf numFmtId="0" fontId="0" fillId="0" borderId="4" xfId="0" applyBorder="1"/>
    <xf numFmtId="0" fontId="12" fillId="0" borderId="6" xfId="0" applyFont="1" applyBorder="1"/>
    <xf numFmtId="167" fontId="0" fillId="0" borderId="4" xfId="0" applyNumberFormat="1" applyBorder="1"/>
    <xf numFmtId="0" fontId="12" fillId="0" borderId="67" xfId="0" applyFont="1" applyBorder="1"/>
    <xf numFmtId="167" fontId="0" fillId="0" borderId="90" xfId="0" applyNumberFormat="1" applyBorder="1"/>
    <xf numFmtId="0" fontId="12" fillId="16" borderId="65" xfId="0" applyFont="1" applyFill="1" applyBorder="1"/>
    <xf numFmtId="0" fontId="0" fillId="16" borderId="65" xfId="0" applyFill="1" applyBorder="1"/>
    <xf numFmtId="0" fontId="0" fillId="16" borderId="66" xfId="0" applyFill="1" applyBorder="1"/>
    <xf numFmtId="0" fontId="0" fillId="0" borderId="142" xfId="0" applyBorder="1"/>
    <xf numFmtId="0" fontId="4" fillId="0" borderId="6" xfId="0" applyFont="1" applyBorder="1"/>
    <xf numFmtId="0" fontId="4" fillId="0" borderId="0" xfId="0" applyFont="1" applyAlignment="1">
      <alignment wrapText="1"/>
    </xf>
    <xf numFmtId="0" fontId="4" fillId="0" borderId="7" xfId="0" applyFont="1" applyBorder="1"/>
    <xf numFmtId="7" fontId="0" fillId="0" borderId="0" xfId="0" applyNumberFormat="1"/>
    <xf numFmtId="0" fontId="12" fillId="0" borderId="63" xfId="0" applyFont="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Border="1" applyAlignment="1">
      <alignment horizontal="left" vertical="top" wrapText="1"/>
    </xf>
    <xf numFmtId="167" fontId="12" fillId="0" borderId="0" xfId="0" applyNumberFormat="1" applyFont="1"/>
    <xf numFmtId="0" fontId="27" fillId="0" borderId="90" xfId="0" applyFont="1" applyBorder="1" applyAlignment="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Alignment="1">
      <alignment horizontal="right" vertical="center" wrapText="1"/>
    </xf>
    <xf numFmtId="170" fontId="15" fillId="0" borderId="0" xfId="0" applyNumberFormat="1" applyFont="1" applyAlignment="1">
      <alignment horizontal="center" vertical="center" wrapText="1"/>
    </xf>
    <xf numFmtId="0" fontId="12" fillId="0" borderId="6" xfId="0" applyFont="1" applyBorder="1" applyAlignment="1">
      <alignment horizontal="left"/>
    </xf>
    <xf numFmtId="0" fontId="0" fillId="0" borderId="0" xfId="0" applyAlignment="1">
      <alignment horizontal="left"/>
    </xf>
    <xf numFmtId="0" fontId="0" fillId="0" borderId="0" xfId="0" applyAlignment="1">
      <alignment horizontal="right"/>
    </xf>
    <xf numFmtId="179" fontId="0" fillId="0" borderId="0" xfId="0" applyNumberFormat="1"/>
    <xf numFmtId="0" fontId="44" fillId="0" borderId="1" xfId="0" applyFont="1" applyBorder="1" applyAlignment="1">
      <alignment wrapText="1"/>
    </xf>
    <xf numFmtId="0" fontId="44" fillId="0" borderId="2" xfId="0" applyFont="1" applyBorder="1" applyAlignment="1">
      <alignment horizontal="center"/>
    </xf>
    <xf numFmtId="0" fontId="44" fillId="0" borderId="2" xfId="0" applyFont="1" applyBorder="1" applyAlignment="1">
      <alignment horizontal="center" wrapText="1"/>
    </xf>
    <xf numFmtId="0" fontId="44" fillId="0" borderId="3" xfId="0" applyFont="1" applyBorder="1" applyAlignment="1">
      <alignment horizontal="center" wrapText="1"/>
    </xf>
    <xf numFmtId="0" fontId="45" fillId="0" borderId="4" xfId="0" applyFont="1" applyBorder="1" applyAlignment="1">
      <alignment wrapText="1"/>
    </xf>
    <xf numFmtId="2" fontId="45" fillId="0" borderId="0" xfId="0" applyNumberFormat="1" applyFont="1" applyAlignment="1">
      <alignment horizontal="center"/>
    </xf>
    <xf numFmtId="2" fontId="46" fillId="0" borderId="0" xfId="0" applyNumberFormat="1" applyFont="1" applyAlignment="1">
      <alignment wrapText="1"/>
    </xf>
    <xf numFmtId="2" fontId="46" fillId="0" borderId="0" xfId="0" applyNumberFormat="1" applyFont="1"/>
    <xf numFmtId="2" fontId="46" fillId="0" borderId="5" xfId="0" applyNumberFormat="1" applyFont="1" applyBorder="1"/>
    <xf numFmtId="0" fontId="45" fillId="0" borderId="4" xfId="0" applyFont="1" applyBorder="1"/>
    <xf numFmtId="0" fontId="44" fillId="0" borderId="4" xfId="0" applyFont="1" applyBorder="1"/>
    <xf numFmtId="2" fontId="45" fillId="0" borderId="5" xfId="0" applyNumberFormat="1" applyFont="1" applyBorder="1" applyAlignment="1">
      <alignment horizontal="center"/>
    </xf>
    <xf numFmtId="2" fontId="46" fillId="0" borderId="5" xfId="0" applyNumberFormat="1" applyFont="1" applyBorder="1" applyAlignment="1">
      <alignment wrapText="1"/>
    </xf>
    <xf numFmtId="0" fontId="45" fillId="0" borderId="58" xfId="0" applyFont="1" applyBorder="1" applyAlignment="1">
      <alignment wrapText="1"/>
    </xf>
    <xf numFmtId="2" fontId="45" fillId="0" borderId="59" xfId="0" applyNumberFormat="1" applyFont="1" applyBorder="1" applyAlignment="1">
      <alignment horizontal="center"/>
    </xf>
    <xf numFmtId="2" fontId="45" fillId="0" borderId="59" xfId="0" applyNumberFormat="1" applyFont="1" applyBorder="1" applyAlignment="1">
      <alignment horizontal="center" wrapText="1"/>
    </xf>
    <xf numFmtId="2" fontId="45" fillId="0" borderId="87" xfId="0" applyNumberFormat="1" applyFont="1" applyBorder="1" applyAlignment="1">
      <alignment horizontal="center" wrapText="1"/>
    </xf>
    <xf numFmtId="0" fontId="47" fillId="0" borderId="0" xfId="0" applyFont="1"/>
    <xf numFmtId="0" fontId="46" fillId="0" borderId="0" xfId="0" applyFont="1"/>
    <xf numFmtId="0" fontId="4" fillId="0" borderId="1" xfId="0" applyFont="1" applyBorder="1" applyAlignment="1">
      <alignment vertical="center"/>
    </xf>
    <xf numFmtId="0" fontId="4" fillId="0" borderId="2" xfId="0" applyFont="1" applyBorder="1" applyAlignment="1">
      <alignment horizontal="center" vertical="center" wrapText="1"/>
    </xf>
    <xf numFmtId="0" fontId="46" fillId="3" borderId="4" xfId="0" applyFont="1" applyFill="1" applyBorder="1"/>
    <xf numFmtId="165" fontId="46" fillId="3" borderId="0" xfId="0" applyNumberFormat="1" applyFont="1" applyFill="1" applyAlignment="1">
      <alignment horizontal="center"/>
    </xf>
    <xf numFmtId="0" fontId="46" fillId="0" borderId="4" xfId="0" applyFont="1" applyBorder="1"/>
    <xf numFmtId="165" fontId="46" fillId="0" borderId="0" xfId="0" applyNumberFormat="1" applyFont="1" applyAlignment="1">
      <alignment horizontal="center"/>
    </xf>
    <xf numFmtId="0" fontId="46" fillId="3" borderId="0" xfId="0" applyFont="1" applyFill="1" applyAlignment="1">
      <alignment horizontal="center"/>
    </xf>
    <xf numFmtId="0" fontId="46" fillId="3" borderId="5" xfId="0" applyFont="1" applyFill="1" applyBorder="1" applyAlignment="1">
      <alignment horizontal="center"/>
    </xf>
    <xf numFmtId="0" fontId="46" fillId="0" borderId="0" xfId="0" applyFont="1" applyAlignment="1">
      <alignment horizontal="center"/>
    </xf>
    <xf numFmtId="0" fontId="46" fillId="0" borderId="5" xfId="0" applyFont="1" applyBorder="1" applyAlignment="1">
      <alignment horizontal="center"/>
    </xf>
    <xf numFmtId="0" fontId="4" fillId="3" borderId="0" xfId="0" applyFont="1" applyFill="1" applyAlignment="1">
      <alignment horizontal="center"/>
    </xf>
    <xf numFmtId="0" fontId="46" fillId="3" borderId="0" xfId="0" applyFont="1" applyFill="1"/>
    <xf numFmtId="0" fontId="19" fillId="0" borderId="5" xfId="0" applyFont="1" applyBorder="1" applyAlignment="1">
      <alignment horizontal="center"/>
    </xf>
    <xf numFmtId="0" fontId="19" fillId="3" borderId="5" xfId="0" applyFont="1" applyFill="1" applyBorder="1" applyAlignment="1">
      <alignment horizontal="center"/>
    </xf>
    <xf numFmtId="0" fontId="46" fillId="0" borderId="4" xfId="0" applyFont="1" applyBorder="1" applyAlignment="1">
      <alignment wrapText="1"/>
    </xf>
    <xf numFmtId="0" fontId="46" fillId="0" borderId="0" xfId="0" applyFont="1" applyAlignment="1">
      <alignment wrapText="1"/>
    </xf>
    <xf numFmtId="0" fontId="46" fillId="0" borderId="5" xfId="0" applyFont="1" applyBorder="1" applyAlignment="1">
      <alignment wrapText="1"/>
    </xf>
    <xf numFmtId="0" fontId="0" fillId="0" borderId="0" xfId="0" applyAlignment="1">
      <alignment wrapText="1"/>
    </xf>
    <xf numFmtId="0" fontId="0" fillId="3" borderId="4" xfId="0" applyFill="1" applyBorder="1" applyAlignment="1">
      <alignment wrapText="1"/>
    </xf>
    <xf numFmtId="0" fontId="0" fillId="0" borderId="81" xfId="0" applyBorder="1"/>
    <xf numFmtId="0" fontId="0" fillId="0" borderId="2" xfId="0" applyBorder="1"/>
    <xf numFmtId="167" fontId="0" fillId="0" borderId="2" xfId="0" applyNumberFormat="1" applyBorder="1"/>
    <xf numFmtId="165" fontId="46" fillId="3" borderId="2" xfId="0" applyNumberFormat="1" applyFont="1" applyFill="1" applyBorder="1" applyAlignment="1">
      <alignment horizontal="center"/>
    </xf>
    <xf numFmtId="165" fontId="46" fillId="3" borderId="82" xfId="0" applyNumberFormat="1" applyFont="1" applyFill="1" applyBorder="1" applyAlignment="1">
      <alignment horizontal="center"/>
    </xf>
    <xf numFmtId="165" fontId="46" fillId="3" borderId="7" xfId="0" applyNumberFormat="1" applyFont="1" applyFill="1" applyBorder="1" applyAlignment="1">
      <alignment horizontal="center"/>
    </xf>
    <xf numFmtId="0" fontId="12" fillId="0" borderId="4" xfId="0" applyFont="1" applyBorder="1"/>
    <xf numFmtId="2" fontId="45" fillId="0" borderId="0" xfId="0" applyNumberFormat="1" applyFont="1" applyAlignment="1">
      <alignment horizontal="center" wrapText="1"/>
    </xf>
    <xf numFmtId="2" fontId="45" fillId="0" borderId="7" xfId="0" applyNumberFormat="1" applyFont="1" applyBorder="1" applyAlignment="1">
      <alignment horizontal="center" wrapText="1"/>
    </xf>
    <xf numFmtId="0" fontId="12" fillId="0" borderId="142" xfId="0" applyFont="1" applyBorder="1"/>
    <xf numFmtId="165" fontId="46" fillId="3" borderId="90" xfId="0" applyNumberFormat="1" applyFont="1" applyFill="1" applyBorder="1" applyAlignment="1">
      <alignment horizontal="center"/>
    </xf>
    <xf numFmtId="165"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xf numFmtId="0" fontId="0" fillId="0" borderId="67" xfId="0" applyBorder="1"/>
    <xf numFmtId="0" fontId="12" fillId="0" borderId="1" xfId="0" applyFont="1" applyBorder="1"/>
    <xf numFmtId="0" fontId="5" fillId="6" borderId="100" xfId="5" applyFill="1" applyBorder="1" applyAlignment="1" applyProtection="1">
      <alignment wrapText="1"/>
      <protection locked="0"/>
    </xf>
    <xf numFmtId="0" fontId="5" fillId="6" borderId="101"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4" fillId="6" borderId="0" xfId="0" applyFont="1" applyFill="1" applyAlignment="1">
      <alignment vertical="top" wrapText="1"/>
    </xf>
    <xf numFmtId="0" fontId="4" fillId="6" borderId="5" xfId="0" applyFont="1" applyFill="1" applyBorder="1" applyAlignment="1">
      <alignment vertical="top" wrapText="1"/>
    </xf>
    <xf numFmtId="0" fontId="4" fillId="0" borderId="149" xfId="0" applyFont="1" applyBorder="1" applyAlignment="1">
      <alignment wrapText="1"/>
    </xf>
    <xf numFmtId="0" fontId="28" fillId="0" borderId="146" xfId="0" applyFont="1" applyBorder="1"/>
    <xf numFmtId="43" fontId="12" fillId="3" borderId="151"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2" xfId="0" applyBorder="1" applyAlignment="1">
      <alignment horizontal="centerContinuous" vertical="top" wrapText="1"/>
    </xf>
    <xf numFmtId="39" fontId="51" fillId="6" borderId="7" xfId="9" applyNumberFormat="1" applyFill="1" applyBorder="1"/>
    <xf numFmtId="0" fontId="4" fillId="0" borderId="1" xfId="7" applyFont="1" applyBorder="1"/>
    <xf numFmtId="0" fontId="12" fillId="0" borderId="2" xfId="7" applyBorder="1"/>
    <xf numFmtId="167" fontId="12" fillId="0" borderId="2" xfId="7" applyNumberFormat="1" applyBorder="1"/>
    <xf numFmtId="0" fontId="12" fillId="0" borderId="3" xfId="7" applyBorder="1"/>
    <xf numFmtId="0" fontId="12" fillId="0" borderId="0" xfId="7"/>
    <xf numFmtId="0" fontId="19" fillId="0" borderId="4" xfId="7" applyFont="1" applyBorder="1"/>
    <xf numFmtId="167" fontId="12" fillId="0" borderId="0" xfId="7" applyNumberFormat="1"/>
    <xf numFmtId="0" fontId="12" fillId="0" borderId="5" xfId="7" applyBorder="1"/>
    <xf numFmtId="0" fontId="12" fillId="0" borderId="4" xfId="7" applyBorder="1"/>
    <xf numFmtId="0" fontId="52" fillId="0" borderId="0" xfId="7" applyFont="1"/>
    <xf numFmtId="0" fontId="53" fillId="0" borderId="5" xfId="7" applyFont="1" applyBorder="1"/>
    <xf numFmtId="0" fontId="12" fillId="0" borderId="58" xfId="7" applyBorder="1"/>
    <xf numFmtId="0" fontId="12" fillId="0" borderId="59" xfId="7" applyBorder="1"/>
    <xf numFmtId="167" fontId="12" fillId="0" borderId="59" xfId="7" applyNumberFormat="1" applyBorder="1"/>
    <xf numFmtId="0" fontId="52" fillId="0" borderId="59" xfId="7" applyFont="1" applyBorder="1"/>
    <xf numFmtId="0" fontId="12" fillId="0" borderId="87" xfId="7" applyBorder="1"/>
    <xf numFmtId="0" fontId="4" fillId="0" borderId="0" xfId="7" applyFont="1"/>
    <xf numFmtId="0" fontId="19" fillId="0" borderId="2" xfId="0" applyFont="1" applyBorder="1"/>
    <xf numFmtId="0" fontId="19" fillId="0" borderId="0" xfId="0" applyFont="1"/>
    <xf numFmtId="2" fontId="49" fillId="0" borderId="0" xfId="0" applyNumberFormat="1" applyFont="1" applyAlignment="1">
      <alignment horizontal="center" wrapText="1"/>
    </xf>
    <xf numFmtId="0" fontId="19" fillId="0" borderId="90" xfId="0" applyFont="1" applyBorder="1"/>
    <xf numFmtId="167" fontId="54" fillId="0" borderId="0" xfId="7" applyNumberFormat="1" applyFont="1"/>
    <xf numFmtId="0" fontId="12" fillId="0" borderId="6" xfId="7" applyBorder="1" applyAlignment="1">
      <alignment horizontal="left"/>
    </xf>
    <xf numFmtId="165" fontId="12" fillId="3" borderId="0" xfId="0" applyNumberFormat="1" applyFont="1" applyFill="1" applyAlignment="1">
      <alignment horizontal="center"/>
    </xf>
    <xf numFmtId="165" fontId="12" fillId="3" borderId="2" xfId="0" applyNumberFormat="1" applyFont="1" applyFill="1" applyBorder="1" applyAlignment="1">
      <alignment horizontal="center"/>
    </xf>
    <xf numFmtId="165" fontId="12" fillId="3" borderId="82" xfId="0" applyNumberFormat="1" applyFont="1" applyFill="1" applyBorder="1" applyAlignment="1">
      <alignment horizontal="center"/>
    </xf>
    <xf numFmtId="165" fontId="12" fillId="3" borderId="7" xfId="0" applyNumberFormat="1" applyFont="1" applyFill="1" applyBorder="1" applyAlignment="1">
      <alignment horizontal="center"/>
    </xf>
    <xf numFmtId="165" fontId="12" fillId="3" borderId="90" xfId="0" applyNumberFormat="1" applyFont="1" applyFill="1" applyBorder="1" applyAlignment="1">
      <alignment horizontal="center"/>
    </xf>
    <xf numFmtId="165" fontId="12" fillId="3" borderId="110" xfId="0" applyNumberFormat="1" applyFont="1" applyFill="1" applyBorder="1" applyAlignment="1">
      <alignment horizontal="center"/>
    </xf>
    <xf numFmtId="173" fontId="2" fillId="0" borderId="0" xfId="16" applyFont="1"/>
    <xf numFmtId="182" fontId="12" fillId="3" borderId="23" xfId="16" applyNumberFormat="1" applyFont="1" applyFill="1" applyBorder="1" applyAlignment="1">
      <alignment horizontal="center"/>
    </xf>
    <xf numFmtId="181" fontId="12" fillId="3" borderId="19" xfId="16" applyNumberFormat="1" applyFont="1" applyFill="1" applyBorder="1" applyAlignment="1" applyProtection="1">
      <alignment horizontal="center"/>
      <protection locked="0"/>
    </xf>
    <xf numFmtId="173" fontId="4" fillId="0" borderId="0" xfId="16" applyFont="1"/>
    <xf numFmtId="170" fontId="0" fillId="17" borderId="34" xfId="0" applyNumberFormat="1" applyFill="1" applyBorder="1"/>
    <xf numFmtId="170" fontId="0" fillId="17" borderId="32" xfId="0" applyNumberFormat="1" applyFill="1" applyBorder="1"/>
    <xf numFmtId="173" fontId="4" fillId="0" borderId="60" xfId="16" applyFont="1" applyBorder="1" applyAlignment="1">
      <alignment horizontal="center"/>
    </xf>
    <xf numFmtId="173" fontId="2" fillId="3" borderId="17" xfId="16" applyFont="1" applyFill="1" applyBorder="1"/>
    <xf numFmtId="173" fontId="2" fillId="3" borderId="8" xfId="16" applyFont="1" applyFill="1" applyBorder="1"/>
    <xf numFmtId="165" fontId="2" fillId="3" borderId="8" xfId="16" applyNumberFormat="1" applyFont="1" applyFill="1" applyBorder="1"/>
    <xf numFmtId="170" fontId="2" fillId="3" borderId="8" xfId="16" applyNumberFormat="1" applyFont="1" applyFill="1" applyBorder="1"/>
    <xf numFmtId="6" fontId="2" fillId="3" borderId="8" xfId="16" applyNumberFormat="1" applyFont="1" applyFill="1" applyBorder="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Border="1"/>
    <xf numFmtId="0" fontId="4" fillId="0" borderId="59" xfId="0" applyFont="1" applyBorder="1" applyAlignment="1">
      <alignment wrapText="1"/>
    </xf>
    <xf numFmtId="0" fontId="4" fillId="0" borderId="152" xfId="0" applyFont="1" applyBorder="1"/>
    <xf numFmtId="44" fontId="4" fillId="20" borderId="0" xfId="3" applyFont="1" applyFill="1"/>
    <xf numFmtId="173" fontId="4" fillId="20" borderId="8" xfId="16" applyFont="1" applyFill="1" applyBorder="1" applyAlignment="1">
      <alignment horizontal="center" wrapText="1"/>
    </xf>
    <xf numFmtId="173" fontId="4" fillId="20" borderId="8" xfId="16" applyFont="1" applyFill="1" applyBorder="1"/>
    <xf numFmtId="3" fontId="12" fillId="3" borderId="8" xfId="16" applyNumberFormat="1" applyFont="1" applyFill="1" applyBorder="1"/>
    <xf numFmtId="2" fontId="12" fillId="3" borderId="8" xfId="16" applyNumberFormat="1" applyFont="1" applyFill="1" applyBorder="1" applyAlignment="1">
      <alignment horizontal="center"/>
    </xf>
    <xf numFmtId="178" fontId="12" fillId="3" borderId="8" xfId="3" applyNumberFormat="1" applyFont="1" applyFill="1" applyBorder="1" applyAlignment="1" applyProtection="1">
      <alignment horizontal="center"/>
      <protection locked="0"/>
    </xf>
    <xf numFmtId="173" fontId="2" fillId="20" borderId="2" xfId="16" applyFont="1" applyFill="1" applyBorder="1"/>
    <xf numFmtId="173" fontId="2" fillId="20" borderId="3" xfId="16" applyFont="1" applyFill="1" applyBorder="1"/>
    <xf numFmtId="173" fontId="2" fillId="20" borderId="4" xfId="16" applyFont="1" applyFill="1" applyBorder="1"/>
    <xf numFmtId="173" fontId="4" fillId="20" borderId="100" xfId="16" applyFont="1" applyFill="1" applyBorder="1"/>
    <xf numFmtId="173" fontId="2" fillId="20" borderId="138" xfId="16" applyFont="1" applyFill="1" applyBorder="1"/>
    <xf numFmtId="3" fontId="12" fillId="3" borderId="100" xfId="16" applyNumberFormat="1" applyFont="1" applyFill="1" applyBorder="1"/>
    <xf numFmtId="2" fontId="12" fillId="3" borderId="100" xfId="16" applyNumberFormat="1" applyFont="1" applyFill="1" applyBorder="1" applyAlignment="1">
      <alignment horizontal="center"/>
    </xf>
    <xf numFmtId="178" fontId="12" fillId="3" borderId="100" xfId="3" applyNumberFormat="1" applyFont="1" applyFill="1" applyBorder="1" applyAlignment="1" applyProtection="1">
      <alignment horizontal="center"/>
      <protection locked="0"/>
    </xf>
    <xf numFmtId="9" fontId="2" fillId="20" borderId="4" xfId="16" applyNumberFormat="1" applyFont="1" applyFill="1" applyBorder="1"/>
    <xf numFmtId="173" fontId="2" fillId="20" borderId="0" xfId="16" applyFont="1" applyFill="1"/>
    <xf numFmtId="173" fontId="2" fillId="20" borderId="5" xfId="16" applyFont="1" applyFill="1" applyBorder="1"/>
    <xf numFmtId="0" fontId="2" fillId="20" borderId="138" xfId="0" applyFont="1" applyFill="1" applyBorder="1"/>
    <xf numFmtId="173" fontId="2" fillId="20" borderId="143" xfId="16" applyFont="1" applyFill="1" applyBorder="1"/>
    <xf numFmtId="181" fontId="12" fillId="3" borderId="134" xfId="16" applyNumberFormat="1" applyFont="1" applyFill="1" applyBorder="1" applyAlignment="1" applyProtection="1">
      <alignment horizontal="center"/>
      <protection locked="0"/>
    </xf>
    <xf numFmtId="173" fontId="2" fillId="20" borderId="59" xfId="16" applyFont="1" applyFill="1" applyBorder="1"/>
    <xf numFmtId="173" fontId="2" fillId="20" borderId="87" xfId="16" applyFont="1" applyFill="1" applyBorder="1"/>
    <xf numFmtId="173" fontId="4" fillId="20" borderId="41" xfId="16" applyFont="1" applyFill="1" applyBorder="1" applyAlignment="1">
      <alignment horizontal="center" wrapText="1"/>
    </xf>
    <xf numFmtId="173" fontId="4" fillId="20" borderId="42" xfId="16" applyFont="1" applyFill="1" applyBorder="1" applyAlignment="1">
      <alignment horizontal="center"/>
    </xf>
    <xf numFmtId="173" fontId="4" fillId="20" borderId="42" xfId="16" applyFont="1" applyFill="1" applyBorder="1" applyAlignment="1">
      <alignment horizontal="center" wrapText="1"/>
    </xf>
    <xf numFmtId="173" fontId="4" fillId="20" borderId="43" xfId="16" applyFont="1" applyFill="1" applyBorder="1" applyAlignment="1">
      <alignment horizontal="center" wrapText="1"/>
    </xf>
    <xf numFmtId="173" fontId="4" fillId="20" borderId="85" xfId="16" applyFont="1" applyFill="1" applyBorder="1" applyAlignment="1">
      <alignment horizontal="center" wrapText="1"/>
    </xf>
    <xf numFmtId="173" fontId="4" fillId="20" borderId="148" xfId="16" applyFont="1" applyFill="1" applyBorder="1" applyAlignment="1">
      <alignment horizontal="center" wrapText="1"/>
    </xf>
    <xf numFmtId="6" fontId="12" fillId="3" borderId="157" xfId="16" applyNumberFormat="1" applyFont="1" applyFill="1" applyBorder="1"/>
    <xf numFmtId="6" fontId="12" fillId="3" borderId="100" xfId="16" applyNumberFormat="1" applyFont="1" applyFill="1" applyBorder="1"/>
    <xf numFmtId="6" fontId="2" fillId="3" borderId="100" xfId="16" applyNumberFormat="1" applyFont="1" applyFill="1" applyBorder="1"/>
    <xf numFmtId="6" fontId="12" fillId="3" borderId="101" xfId="16" applyNumberFormat="1" applyFont="1" applyFill="1" applyBorder="1"/>
    <xf numFmtId="172" fontId="12" fillId="3" borderId="48" xfId="1" applyNumberFormat="1" applyFont="1" applyFill="1" applyBorder="1" applyProtection="1"/>
    <xf numFmtId="172" fontId="12" fillId="3" borderId="49" xfId="1" applyNumberFormat="1" applyFont="1" applyFill="1" applyBorder="1" applyProtection="1"/>
    <xf numFmtId="172" fontId="2" fillId="3" borderId="49" xfId="1" applyNumberFormat="1" applyFont="1" applyFill="1" applyBorder="1" applyProtection="1"/>
    <xf numFmtId="172" fontId="12" fillId="3" borderId="50" xfId="1" applyNumberFormat="1" applyFont="1" applyFill="1" applyBorder="1" applyProtection="1"/>
    <xf numFmtId="165" fontId="12" fillId="3" borderId="37" xfId="16" applyNumberFormat="1" applyFont="1" applyFill="1" applyBorder="1"/>
    <xf numFmtId="170" fontId="12" fillId="3" borderId="37" xfId="16" applyNumberFormat="1" applyFont="1" applyFill="1" applyBorder="1"/>
    <xf numFmtId="6" fontId="12" fillId="3" borderId="37" xfId="16" applyNumberFormat="1" applyFont="1" applyFill="1" applyBorder="1"/>
    <xf numFmtId="164" fontId="2" fillId="3" borderId="37" xfId="17" applyNumberFormat="1" applyFill="1" applyBorder="1" applyProtection="1"/>
    <xf numFmtId="6" fontId="12" fillId="3" borderId="158" xfId="16" applyNumberFormat="1" applyFont="1" applyFill="1" applyBorder="1"/>
    <xf numFmtId="6" fontId="12" fillId="3" borderId="60" xfId="16" applyNumberFormat="1" applyFont="1" applyFill="1" applyBorder="1"/>
    <xf numFmtId="6" fontId="12" fillId="3" borderId="55" xfId="16" applyNumberFormat="1" applyFont="1" applyFill="1" applyBorder="1"/>
    <xf numFmtId="6" fontId="2" fillId="3" borderId="55" xfId="16" applyNumberFormat="1" applyFont="1" applyFill="1" applyBorder="1"/>
    <xf numFmtId="6" fontId="12" fillId="3" borderId="159" xfId="16" applyNumberFormat="1" applyFont="1" applyFill="1" applyBorder="1"/>
    <xf numFmtId="0" fontId="0" fillId="0" borderId="65" xfId="0" applyBorder="1" applyAlignment="1">
      <alignment wrapText="1"/>
    </xf>
    <xf numFmtId="0" fontId="0" fillId="0" borderId="66" xfId="0" applyBorder="1" applyAlignment="1">
      <alignment wrapText="1"/>
    </xf>
    <xf numFmtId="173" fontId="4" fillId="20" borderId="160" xfId="16" applyFont="1" applyFill="1" applyBorder="1" applyAlignment="1">
      <alignment horizontal="center" wrapText="1"/>
    </xf>
    <xf numFmtId="173" fontId="4" fillId="20" borderId="161" xfId="16" applyFont="1" applyFill="1" applyBorder="1" applyAlignment="1">
      <alignment horizontal="center" wrapText="1"/>
    </xf>
    <xf numFmtId="173" fontId="4" fillId="20" borderId="156" xfId="16" applyFont="1" applyFill="1" applyBorder="1" applyAlignment="1">
      <alignment horizontal="center" wrapText="1"/>
    </xf>
    <xf numFmtId="6" fontId="12" fillId="3" borderId="162" xfId="16" applyNumberFormat="1" applyFont="1" applyFill="1" applyBorder="1"/>
    <xf numFmtId="6" fontId="12" fillId="3" borderId="138" xfId="16" applyNumberFormat="1" applyFont="1" applyFill="1" applyBorder="1"/>
    <xf numFmtId="6" fontId="2" fillId="3" borderId="138" xfId="16" applyNumberFormat="1" applyFont="1" applyFill="1" applyBorder="1"/>
    <xf numFmtId="6" fontId="12" fillId="3" borderId="163" xfId="16" applyNumberFormat="1" applyFont="1" applyFill="1" applyBorder="1"/>
    <xf numFmtId="165" fontId="12" fillId="0" borderId="137" xfId="16" applyNumberFormat="1" applyFont="1" applyBorder="1"/>
    <xf numFmtId="170" fontId="12" fillId="3" borderId="135" xfId="16" applyNumberFormat="1" applyFont="1" applyFill="1" applyBorder="1"/>
    <xf numFmtId="170" fontId="12" fillId="3" borderId="99" xfId="16" applyNumberFormat="1" applyFont="1" applyFill="1" applyBorder="1"/>
    <xf numFmtId="173" fontId="12" fillId="0" borderId="163" xfId="16" applyFont="1" applyBorder="1"/>
    <xf numFmtId="173" fontId="12" fillId="0" borderId="146" xfId="16" applyFont="1" applyBorder="1"/>
    <xf numFmtId="6" fontId="12" fillId="3" borderId="147" xfId="16" applyNumberFormat="1" applyFont="1" applyFill="1" applyBorder="1"/>
    <xf numFmtId="6" fontId="12" fillId="3" borderId="151" xfId="16" applyNumberFormat="1" applyFont="1" applyFill="1" applyBorder="1"/>
    <xf numFmtId="173" fontId="12" fillId="0" borderId="123" xfId="16" applyFont="1" applyBorder="1"/>
    <xf numFmtId="43" fontId="12" fillId="3" borderId="147" xfId="1" applyFont="1" applyFill="1" applyBorder="1" applyProtection="1"/>
    <xf numFmtId="184" fontId="12" fillId="3" borderId="147" xfId="16" applyNumberFormat="1" applyFont="1" applyFill="1" applyBorder="1"/>
    <xf numFmtId="173" fontId="12" fillId="0" borderId="64" xfId="16" applyFont="1" applyBorder="1"/>
    <xf numFmtId="173" fontId="2" fillId="0" borderId="164" xfId="16" applyFont="1" applyBorder="1"/>
    <xf numFmtId="173" fontId="2" fillId="0" borderId="143" xfId="16" applyFont="1" applyBorder="1"/>
    <xf numFmtId="0" fontId="4" fillId="20" borderId="167"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85" fontId="12" fillId="3" borderId="30" xfId="16" applyNumberFormat="1" applyFont="1" applyFill="1" applyBorder="1"/>
    <xf numFmtId="185" fontId="12" fillId="3" borderId="165" xfId="16" applyNumberFormat="1" applyFont="1" applyFill="1" applyBorder="1"/>
    <xf numFmtId="185" fontId="12" fillId="0" borderId="29" xfId="16" applyNumberFormat="1" applyFont="1" applyBorder="1"/>
    <xf numFmtId="185" fontId="12" fillId="0" borderId="30" xfId="16" applyNumberFormat="1" applyFont="1" applyBorder="1"/>
    <xf numFmtId="185" fontId="12" fillId="3" borderId="136" xfId="16" applyNumberFormat="1" applyFont="1" applyFill="1" applyBorder="1"/>
    <xf numFmtId="185" fontId="12" fillId="3" borderId="101" xfId="16" applyNumberFormat="1" applyFont="1" applyFill="1" applyBorder="1"/>
    <xf numFmtId="185" fontId="12" fillId="0" borderId="103" xfId="16" applyNumberFormat="1" applyFont="1" applyBorder="1"/>
    <xf numFmtId="185" fontId="12" fillId="0" borderId="136" xfId="16" applyNumberFormat="1" applyFont="1" applyBorder="1"/>
    <xf numFmtId="174" fontId="4" fillId="3" borderId="19" xfId="16" applyNumberFormat="1" applyFont="1" applyFill="1" applyBorder="1" applyAlignment="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8" xfId="0" applyFill="1" applyBorder="1" applyAlignment="1">
      <alignment horizontal="center"/>
    </xf>
    <xf numFmtId="9" fontId="0" fillId="19" borderId="168" xfId="17" applyFont="1" applyFill="1" applyBorder="1"/>
    <xf numFmtId="0" fontId="0" fillId="20" borderId="167" xfId="0" applyFill="1" applyBorder="1"/>
    <xf numFmtId="44" fontId="2" fillId="19" borderId="168" xfId="3" applyFont="1" applyFill="1" applyBorder="1"/>
    <xf numFmtId="44" fontId="0" fillId="19" borderId="168" xfId="3" applyFont="1" applyFill="1" applyBorder="1"/>
    <xf numFmtId="0" fontId="2" fillId="20" borderId="8" xfId="0" applyFont="1" applyFill="1" applyBorder="1"/>
    <xf numFmtId="0" fontId="0" fillId="20" borderId="8" xfId="0" applyFill="1" applyBorder="1"/>
    <xf numFmtId="44" fontId="12" fillId="3" borderId="128" xfId="3" applyFont="1" applyFill="1" applyBorder="1" applyAlignment="1" applyProtection="1">
      <alignment horizontal="center"/>
    </xf>
    <xf numFmtId="44" fontId="12" fillId="3" borderId="108" xfId="3" applyFont="1" applyFill="1" applyBorder="1" applyAlignment="1" applyProtection="1">
      <alignment horizontal="center"/>
    </xf>
    <xf numFmtId="44" fontId="12" fillId="3" borderId="132" xfId="3" applyFont="1" applyFill="1" applyBorder="1" applyAlignment="1" applyProtection="1">
      <alignment horizontal="center"/>
    </xf>
    <xf numFmtId="44" fontId="12" fillId="0" borderId="82" xfId="3" applyFont="1" applyFill="1" applyBorder="1" applyAlignment="1" applyProtection="1">
      <alignment horizontal="center"/>
    </xf>
    <xf numFmtId="44"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2" xfId="0" applyFont="1" applyFill="1" applyBorder="1"/>
    <xf numFmtId="167" fontId="12" fillId="20" borderId="0" xfId="0" applyNumberFormat="1" applyFont="1" applyFill="1"/>
    <xf numFmtId="167" fontId="0" fillId="20" borderId="0" xfId="0" applyNumberFormat="1" applyFill="1"/>
    <xf numFmtId="167" fontId="12" fillId="20" borderId="2" xfId="7" applyNumberFormat="1" applyFill="1" applyBorder="1"/>
    <xf numFmtId="167" fontId="12" fillId="20" borderId="0" xfId="7" applyNumberFormat="1" applyFill="1"/>
    <xf numFmtId="167"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Alignment="1" applyProtection="1">
      <alignment wrapText="1"/>
      <protection locked="0"/>
    </xf>
    <xf numFmtId="0" fontId="2" fillId="6" borderId="8" xfId="0" applyFont="1" applyFill="1" applyBorder="1" applyAlignment="1" applyProtection="1">
      <alignment wrapText="1"/>
      <protection locked="0"/>
    </xf>
    <xf numFmtId="0" fontId="2" fillId="5" borderId="62" xfId="0" applyFont="1" applyFill="1" applyBorder="1" applyAlignment="1">
      <alignment vertical="top" wrapText="1"/>
    </xf>
    <xf numFmtId="169" fontId="15" fillId="3" borderId="57" xfId="0" applyNumberFormat="1" applyFont="1" applyFill="1" applyBorder="1" applyAlignment="1">
      <alignment vertical="center" wrapText="1"/>
    </xf>
    <xf numFmtId="0" fontId="2" fillId="5" borderId="138" xfId="0" applyFont="1" applyFill="1" applyBorder="1" applyAlignment="1" applyProtection="1">
      <alignment horizontal="left" wrapText="1"/>
      <protection locked="0"/>
    </xf>
    <xf numFmtId="2" fontId="2" fillId="5" borderId="139" xfId="0" applyNumberFormat="1" applyFont="1" applyFill="1" applyBorder="1" applyAlignment="1" applyProtection="1">
      <alignment wrapText="1"/>
      <protection locked="0"/>
    </xf>
    <xf numFmtId="0" fontId="6" fillId="2" borderId="98" xfId="0" applyFont="1" applyFill="1" applyBorder="1" applyAlignment="1">
      <alignment vertical="top" wrapText="1"/>
    </xf>
    <xf numFmtId="0" fontId="2" fillId="0" borderId="0" xfId="0" applyFont="1" applyAlignment="1">
      <alignment vertical="top" wrapText="1"/>
    </xf>
    <xf numFmtId="0" fontId="2" fillId="0" borderId="0" xfId="0" applyFont="1" applyAlignment="1">
      <alignment wrapText="1"/>
    </xf>
    <xf numFmtId="186" fontId="8" fillId="0" borderId="0" xfId="20" applyNumberFormat="1" applyFont="1" applyAlignment="1">
      <alignment horizontal="right"/>
    </xf>
    <xf numFmtId="10" fontId="0" fillId="0" borderId="0" xfId="17" applyNumberFormat="1" applyFont="1"/>
    <xf numFmtId="169" fontId="15" fillId="5" borderId="8" xfId="0" applyNumberFormat="1" applyFont="1" applyFill="1" applyBorder="1" applyAlignment="1">
      <alignment vertical="top" wrapText="1"/>
    </xf>
    <xf numFmtId="0" fontId="54" fillId="0" borderId="0" xfId="0" applyFont="1"/>
    <xf numFmtId="170" fontId="60" fillId="0" borderId="0" xfId="0" applyNumberFormat="1" applyFont="1" applyAlignment="1">
      <alignment vertical="top" wrapText="1"/>
    </xf>
    <xf numFmtId="187" fontId="8" fillId="0" borderId="0" xfId="20" applyNumberFormat="1" applyFont="1" applyAlignment="1">
      <alignment horizontal="right"/>
    </xf>
    <xf numFmtId="0" fontId="2" fillId="0" borderId="0" xfId="0" applyFont="1" applyAlignment="1">
      <alignment horizontal="right"/>
    </xf>
    <xf numFmtId="165" fontId="15" fillId="3" borderId="22" xfId="0" applyNumberFormat="1" applyFont="1" applyFill="1" applyBorder="1" applyAlignment="1">
      <alignment vertical="top" wrapText="1"/>
    </xf>
    <xf numFmtId="0" fontId="4" fillId="0" borderId="1" xfId="0" applyFont="1" applyBorder="1"/>
    <xf numFmtId="0" fontId="4" fillId="0" borderId="2" xfId="0" applyFont="1" applyBorder="1"/>
    <xf numFmtId="0" fontId="4" fillId="20" borderId="2" xfId="0" applyFont="1" applyFill="1" applyBorder="1"/>
    <xf numFmtId="0" fontId="2" fillId="16" borderId="2" xfId="0" applyFont="1" applyFill="1" applyBorder="1"/>
    <xf numFmtId="0" fontId="0" fillId="16" borderId="2" xfId="0" applyFill="1" applyBorder="1"/>
    <xf numFmtId="0" fontId="0" fillId="16" borderId="3" xfId="0" applyFill="1" applyBorder="1"/>
    <xf numFmtId="0" fontId="4" fillId="0" borderId="5" xfId="0" applyFont="1" applyBorder="1"/>
    <xf numFmtId="0" fontId="0" fillId="0" borderId="141" xfId="0" applyBorder="1"/>
    <xf numFmtId="0" fontId="0" fillId="0" borderId="3" xfId="0" applyBorder="1"/>
    <xf numFmtId="0" fontId="4" fillId="0" borderId="4" xfId="0" applyFont="1" applyBorder="1"/>
    <xf numFmtId="0" fontId="12" fillId="0" borderId="4" xfId="0" applyFont="1" applyBorder="1" applyAlignment="1">
      <alignment horizontal="left"/>
    </xf>
    <xf numFmtId="0" fontId="12" fillId="0" borderId="58" xfId="0" applyFont="1" applyBorder="1"/>
    <xf numFmtId="167" fontId="0" fillId="0" borderId="59" xfId="0" applyNumberFormat="1" applyBorder="1"/>
    <xf numFmtId="0" fontId="12" fillId="20" borderId="58" xfId="0" applyFont="1" applyFill="1" applyBorder="1"/>
    <xf numFmtId="0" fontId="0" fillId="0" borderId="58" xfId="0" applyBorder="1"/>
    <xf numFmtId="0" fontId="19" fillId="0" borderId="59" xfId="0" applyFont="1" applyBorder="1"/>
    <xf numFmtId="39" fontId="4" fillId="6" borderId="7" xfId="0" applyNumberFormat="1" applyFont="1" applyFill="1" applyBorder="1"/>
    <xf numFmtId="0" fontId="0" fillId="23" borderId="0" xfId="0" applyFill="1"/>
    <xf numFmtId="0" fontId="4" fillId="23" borderId="0" xfId="0" applyFont="1" applyFill="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24" borderId="137" xfId="0" applyFill="1" applyBorder="1"/>
    <xf numFmtId="0" fontId="0" fillId="24" borderId="169" xfId="0" applyFill="1" applyBorder="1"/>
    <xf numFmtId="0" fontId="0" fillId="24" borderId="135" xfId="0" applyFill="1" applyBorder="1"/>
    <xf numFmtId="0" fontId="0" fillId="24" borderId="99" xfId="0" applyFill="1" applyBorder="1"/>
    <xf numFmtId="0" fontId="0" fillId="24" borderId="138"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3" xfId="0" applyFill="1" applyBorder="1"/>
    <xf numFmtId="0" fontId="0" fillId="24" borderId="170" xfId="0" applyFill="1" applyBorder="1"/>
    <xf numFmtId="0" fontId="0" fillId="24" borderId="136"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Border="1"/>
    <xf numFmtId="0" fontId="0" fillId="3" borderId="112" xfId="0" applyFill="1" applyBorder="1"/>
    <xf numFmtId="165" fontId="0" fillId="3" borderId="144" xfId="0" applyNumberFormat="1" applyFill="1" applyBorder="1"/>
    <xf numFmtId="0" fontId="0" fillId="3" borderId="115" xfId="0" applyFill="1" applyBorder="1"/>
    <xf numFmtId="165" fontId="0" fillId="3" borderId="139" xfId="0" applyNumberFormat="1" applyFill="1" applyBorder="1"/>
    <xf numFmtId="0" fontId="2" fillId="3" borderId="115" xfId="0" applyFont="1" applyFill="1" applyBorder="1"/>
    <xf numFmtId="165" fontId="2" fillId="3" borderId="139"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5" xfId="0" applyNumberFormat="1" applyFill="1" applyBorder="1"/>
    <xf numFmtId="0" fontId="6" fillId="0" borderId="141"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Alignment="1" applyProtection="1">
      <alignment horizontal="left" wrapText="1"/>
      <protection locked="0"/>
    </xf>
    <xf numFmtId="0" fontId="2" fillId="0" borderId="0" xfId="0" applyFont="1" applyProtection="1">
      <protection locked="0"/>
    </xf>
    <xf numFmtId="0" fontId="2" fillId="6" borderId="8" xfId="0" applyFont="1" applyFill="1" applyBorder="1" applyProtection="1">
      <protection locked="0"/>
    </xf>
    <xf numFmtId="0" fontId="4" fillId="0" borderId="138" xfId="0" applyFont="1" applyBorder="1" applyProtection="1">
      <protection locked="0"/>
    </xf>
    <xf numFmtId="0" fontId="4" fillId="0" borderId="100" xfId="0" applyFont="1" applyBorder="1" applyAlignment="1" applyProtection="1">
      <alignment wrapText="1"/>
      <protection locked="0"/>
    </xf>
    <xf numFmtId="15" fontId="2" fillId="6" borderId="138" xfId="0" applyNumberFormat="1" applyFont="1" applyFill="1" applyBorder="1" applyAlignment="1" applyProtection="1">
      <alignment horizontal="righ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2" fillId="25" borderId="8" xfId="17" applyFont="1" applyFill="1" applyBorder="1"/>
    <xf numFmtId="183" fontId="2" fillId="25" borderId="8" xfId="1" applyNumberFormat="1" applyFont="1" applyFill="1" applyBorder="1"/>
    <xf numFmtId="0" fontId="61" fillId="20" borderId="0" xfId="0" applyFont="1" applyFill="1"/>
    <xf numFmtId="14" fontId="2" fillId="6" borderId="136" xfId="0" applyNumberFormat="1" applyFont="1" applyFill="1" applyBorder="1" applyAlignment="1" applyProtection="1">
      <alignment wrapText="1"/>
      <protection locked="0"/>
    </xf>
    <xf numFmtId="173" fontId="18" fillId="0" borderId="12" xfId="16" applyFont="1" applyBorder="1"/>
    <xf numFmtId="173" fontId="2" fillId="3" borderId="18" xfId="16" applyFont="1" applyFill="1" applyBorder="1"/>
    <xf numFmtId="170" fontId="2" fillId="3" borderId="19" xfId="16" applyNumberFormat="1" applyFont="1" applyFill="1" applyBorder="1"/>
    <xf numFmtId="173" fontId="2" fillId="3" borderId="20" xfId="16" applyFont="1" applyFill="1" applyBorder="1"/>
    <xf numFmtId="173" fontId="2" fillId="3" borderId="21" xfId="16" applyFont="1" applyFill="1" applyBorder="1"/>
    <xf numFmtId="170" fontId="2" fillId="3" borderId="22" xfId="16" applyNumberFormat="1" applyFont="1" applyFill="1" applyBorder="1"/>
    <xf numFmtId="170" fontId="2" fillId="3" borderId="23" xfId="16" applyNumberFormat="1" applyFont="1" applyFill="1" applyBorder="1"/>
    <xf numFmtId="0" fontId="0" fillId="17" borderId="0" xfId="0" applyFill="1"/>
    <xf numFmtId="0" fontId="19" fillId="4" borderId="0" xfId="0" applyFont="1" applyFill="1" applyAlignment="1">
      <alignment horizontal="center" vertical="top" wrapText="1"/>
    </xf>
    <xf numFmtId="0" fontId="4" fillId="0" borderId="0" xfId="0" applyFont="1" applyAlignment="1" applyProtection="1">
      <alignment horizontal="left" vertical="center" wrapText="1"/>
      <protection locked="0"/>
    </xf>
    <xf numFmtId="14" fontId="4" fillId="6" borderId="138" xfId="0" applyNumberFormat="1" applyFont="1" applyFill="1" applyBorder="1" applyAlignment="1" applyProtection="1">
      <alignment wrapText="1"/>
      <protection locked="0"/>
    </xf>
    <xf numFmtId="14" fontId="2" fillId="6" borderId="100" xfId="0" applyNumberFormat="1" applyFont="1" applyFill="1" applyBorder="1" applyAlignment="1" applyProtection="1">
      <alignment wrapText="1"/>
      <protection locked="0"/>
    </xf>
    <xf numFmtId="14" fontId="2" fillId="6" borderId="138" xfId="0" applyNumberFormat="1" applyFont="1" applyFill="1" applyBorder="1" applyAlignment="1" applyProtection="1">
      <alignment wrapText="1"/>
      <protection locked="0"/>
    </xf>
    <xf numFmtId="14" fontId="2" fillId="6" borderId="143" xfId="0" applyNumberFormat="1" applyFont="1" applyFill="1" applyBorder="1" applyAlignment="1" applyProtection="1">
      <alignment wrapText="1"/>
      <protection locked="0"/>
    </xf>
    <xf numFmtId="14" fontId="2" fillId="6" borderId="101" xfId="0" applyNumberFormat="1" applyFont="1" applyFill="1" applyBorder="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40" fillId="20" borderId="0" xfId="16" applyFont="1" applyFill="1" applyAlignment="1">
      <alignment horizontal="left"/>
    </xf>
    <xf numFmtId="166" fontId="0" fillId="20" borderId="8" xfId="0" applyNumberFormat="1" applyFill="1" applyBorder="1"/>
    <xf numFmtId="166" fontId="2" fillId="20" borderId="8" xfId="0" applyNumberFormat="1" applyFont="1" applyFill="1" applyBorder="1"/>
    <xf numFmtId="166" fontId="2" fillId="22" borderId="8" xfId="0" applyNumberFormat="1" applyFont="1" applyFill="1" applyBorder="1"/>
    <xf numFmtId="0" fontId="64" fillId="6" borderId="67" xfId="7" applyFont="1" applyFill="1" applyBorder="1" applyAlignment="1">
      <alignment horizontal="center"/>
    </xf>
    <xf numFmtId="4" fontId="64" fillId="6" borderId="110" xfId="14" applyNumberFormat="1" applyFont="1" applyFill="1" applyBorder="1"/>
    <xf numFmtId="0" fontId="64" fillId="6" borderId="6" xfId="7" applyFont="1" applyFill="1" applyBorder="1" applyAlignment="1">
      <alignment horizontal="center"/>
    </xf>
    <xf numFmtId="4" fontId="65" fillId="6" borderId="7" xfId="14" applyNumberFormat="1" applyFont="1" applyFill="1" applyBorder="1"/>
    <xf numFmtId="0" fontId="5" fillId="0" borderId="0" xfId="5" applyAlignment="1" applyProtection="1"/>
    <xf numFmtId="39" fontId="66" fillId="6" borderId="7" xfId="9" applyNumberFormat="1" applyFont="1" applyFill="1" applyBorder="1"/>
    <xf numFmtId="39" fontId="66" fillId="6" borderId="110" xfId="9" applyNumberFormat="1" applyFont="1" applyFill="1" applyBorder="1"/>
    <xf numFmtId="0" fontId="64" fillId="6" borderId="6" xfId="0" applyFont="1" applyFill="1" applyBorder="1" applyAlignment="1">
      <alignment horizontal="center"/>
    </xf>
    <xf numFmtId="180" fontId="64" fillId="6" borderId="7" xfId="0" applyNumberFormat="1" applyFont="1" applyFill="1" applyBorder="1" applyAlignment="1">
      <alignment horizontal="center"/>
    </xf>
    <xf numFmtId="0" fontId="64" fillId="6" borderId="67" xfId="0" applyFont="1" applyFill="1" applyBorder="1" applyAlignment="1">
      <alignment horizontal="center"/>
    </xf>
    <xf numFmtId="180" fontId="64" fillId="6" borderId="110" xfId="0" applyNumberFormat="1" applyFont="1" applyFill="1" applyBorder="1" applyAlignment="1">
      <alignment horizontal="center"/>
    </xf>
    <xf numFmtId="0" fontId="5" fillId="0" borderId="0" xfId="5" applyFill="1" applyBorder="1" applyAlignment="1" applyProtection="1"/>
    <xf numFmtId="166" fontId="64" fillId="6" borderId="7" xfId="9" applyNumberFormat="1" applyFont="1" applyFill="1" applyBorder="1"/>
    <xf numFmtId="166" fontId="64"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22" borderId="8" xfId="0" applyFont="1" applyFill="1" applyBorder="1"/>
    <xf numFmtId="0" fontId="2" fillId="6" borderId="0" xfId="0" applyFont="1" applyFill="1" applyAlignment="1">
      <alignment vertical="top" wrapText="1"/>
    </xf>
    <xf numFmtId="0" fontId="2" fillId="6" borderId="135" xfId="0" applyFont="1" applyFill="1" applyBorder="1" applyAlignment="1" applyProtection="1">
      <alignment wrapText="1"/>
      <protection locked="0"/>
    </xf>
    <xf numFmtId="44" fontId="0" fillId="0" borderId="0" xfId="0" applyNumberFormat="1" applyProtection="1">
      <protection locked="0"/>
    </xf>
    <xf numFmtId="170" fontId="2" fillId="5" borderId="137"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64" fontId="2" fillId="5" borderId="62" xfId="0" applyNumberFormat="1"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Alignment="1">
      <alignment vertical="top" wrapText="1"/>
    </xf>
    <xf numFmtId="0" fontId="4" fillId="2" borderId="0" xfId="0" applyFont="1" applyFill="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5" xfId="0" applyFont="1" applyBorder="1" applyAlignment="1">
      <alignment vertical="top" wrapText="1"/>
    </xf>
    <xf numFmtId="0" fontId="2" fillId="0" borderId="0" xfId="0" applyFont="1" applyAlignment="1">
      <alignment vertical="center" wrapText="1"/>
    </xf>
    <xf numFmtId="0" fontId="2" fillId="0" borderId="0" xfId="0" applyFont="1" applyAlignment="1">
      <alignment horizontal="center" vertical="center" wrapText="1"/>
    </xf>
    <xf numFmtId="0" fontId="2" fillId="0" borderId="59" xfId="0" applyFont="1" applyBorder="1"/>
    <xf numFmtId="0" fontId="2" fillId="0" borderId="87" xfId="0" applyFont="1" applyBorder="1"/>
    <xf numFmtId="0" fontId="2" fillId="2" borderId="0" xfId="0" applyFont="1" applyFill="1" applyAlignment="1">
      <alignment vertical="top" wrapText="1"/>
    </xf>
    <xf numFmtId="0" fontId="2" fillId="2" borderId="0" xfId="0" applyFont="1" applyFill="1"/>
    <xf numFmtId="0" fontId="2" fillId="2" borderId="0" xfId="0" applyFont="1" applyFill="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13" fillId="20" borderId="0" xfId="0" applyFont="1" applyFill="1" applyAlignment="1">
      <alignment vertical="top" wrapText="1"/>
    </xf>
    <xf numFmtId="170" fontId="2" fillId="3" borderId="57" xfId="0" applyNumberFormat="1" applyFont="1" applyFill="1" applyBorder="1" applyAlignment="1">
      <alignment vertical="top" wrapText="1"/>
    </xf>
    <xf numFmtId="0" fontId="2" fillId="0" borderId="5" xfId="0" applyFont="1" applyBorder="1"/>
    <xf numFmtId="2" fontId="2" fillId="3" borderId="135"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2" fontId="2" fillId="3" borderId="136"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Alignment="1">
      <alignment vertical="top" wrapText="1"/>
    </xf>
    <xf numFmtId="0" fontId="2" fillId="3" borderId="135" xfId="0" applyFont="1" applyFill="1" applyBorder="1" applyAlignment="1">
      <alignment vertical="top" wrapText="1"/>
    </xf>
    <xf numFmtId="0" fontId="2" fillId="3" borderId="62" xfId="0"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Alignment="1">
      <alignment horizontal="center" vertical="top" wrapText="1"/>
    </xf>
    <xf numFmtId="0" fontId="2" fillId="0" borderId="59" xfId="0" applyFont="1" applyBorder="1" applyAlignment="1">
      <alignment horizontal="center" vertical="top" wrapText="1"/>
    </xf>
    <xf numFmtId="170" fontId="2" fillId="2" borderId="0" xfId="0" applyNumberFormat="1" applyFont="1" applyFill="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Alignment="1">
      <alignment horizontal="right" vertical="top" wrapText="1"/>
    </xf>
    <xf numFmtId="0" fontId="2" fillId="2" borderId="96" xfId="0" applyFont="1" applyFill="1" applyBorder="1"/>
    <xf numFmtId="164" fontId="2" fillId="5" borderId="137"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0"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Alignment="1">
      <alignment horizontal="right" vertical="center" wrapText="1"/>
    </xf>
    <xf numFmtId="0" fontId="13" fillId="0" borderId="0" xfId="0" applyFont="1" applyAlignment="1">
      <alignment horizontal="right"/>
    </xf>
    <xf numFmtId="0" fontId="2" fillId="3" borderId="138" xfId="0" applyFont="1" applyFill="1" applyBorder="1" applyAlignment="1" applyProtection="1">
      <alignment wrapText="1"/>
      <protection locked="0"/>
    </xf>
    <xf numFmtId="165" fontId="2" fillId="3" borderId="138" xfId="0" applyNumberFormat="1" applyFont="1" applyFill="1" applyBorder="1" applyAlignment="1" applyProtection="1">
      <alignment wrapText="1"/>
      <protection locked="0"/>
    </xf>
    <xf numFmtId="165" fontId="2" fillId="3" borderId="143" xfId="0" applyNumberFormat="1" applyFont="1" applyFill="1" applyBorder="1" applyAlignment="1" applyProtection="1">
      <alignment wrapText="1"/>
      <protection locked="0"/>
    </xf>
    <xf numFmtId="0" fontId="13" fillId="2" borderId="9" xfId="0" applyFont="1" applyFill="1" applyBorder="1" applyProtection="1">
      <protection locked="0"/>
    </xf>
    <xf numFmtId="0" fontId="13" fillId="2" borderId="10" xfId="0" applyFont="1" applyFill="1" applyBorder="1" applyProtection="1">
      <protection locked="0"/>
    </xf>
    <xf numFmtId="0" fontId="13" fillId="2" borderId="11" xfId="0" applyFont="1" applyFill="1" applyBorder="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5" borderId="139" xfId="0" applyFont="1" applyFill="1" applyBorder="1" applyAlignment="1" applyProtection="1">
      <alignment wrapText="1"/>
      <protection locked="0"/>
    </xf>
    <xf numFmtId="0" fontId="2" fillId="5" borderId="143"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4"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2" fontId="2" fillId="5" borderId="8" xfId="0" applyNumberFormat="1" applyFont="1" applyFill="1" applyBorder="1" applyAlignment="1" applyProtection="1">
      <alignment wrapText="1"/>
      <protection locked="0"/>
    </xf>
    <xf numFmtId="0" fontId="68" fillId="0" borderId="174" xfId="0" applyFont="1" applyBorder="1" applyAlignment="1">
      <alignment horizontal="left" vertical="center" wrapText="1"/>
    </xf>
    <xf numFmtId="0" fontId="71" fillId="0" borderId="174" xfId="0" applyFont="1" applyBorder="1" applyAlignment="1">
      <alignment horizontal="left" vertical="center" wrapText="1"/>
    </xf>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0" fontId="2" fillId="20" borderId="0" xfId="0" applyFont="1" applyFill="1" applyAlignment="1">
      <alignment vertical="top" wrapText="1"/>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10" fontId="15" fillId="5" borderId="8" xfId="0" applyNumberFormat="1" applyFont="1" applyFill="1" applyBorder="1" applyAlignment="1">
      <alignment vertical="top" wrapText="1"/>
    </xf>
    <xf numFmtId="0" fontId="15" fillId="20" borderId="115" xfId="0" applyFont="1" applyFill="1" applyBorder="1" applyAlignment="1">
      <alignment vertical="top" wrapText="1"/>
    </xf>
    <xf numFmtId="0" fontId="15" fillId="20" borderId="117" xfId="0" applyFont="1" applyFill="1" applyBorder="1" applyAlignment="1">
      <alignment vertical="top" wrapText="1"/>
    </xf>
    <xf numFmtId="2" fontId="15" fillId="3" borderId="136" xfId="0" applyNumberFormat="1" applyFont="1" applyFill="1" applyBorder="1" applyAlignment="1">
      <alignment vertical="top" wrapText="1"/>
    </xf>
    <xf numFmtId="0" fontId="2" fillId="6" borderId="4" xfId="0" quotePrefix="1" applyFont="1" applyFill="1" applyBorder="1" applyAlignment="1">
      <alignment vertical="top" wrapText="1"/>
    </xf>
    <xf numFmtId="14" fontId="5" fillId="6" borderId="100" xfId="5" applyNumberFormat="1" applyFill="1" applyBorder="1" applyAlignment="1" applyProtection="1">
      <alignment wrapText="1"/>
      <protection locked="0"/>
    </xf>
    <xf numFmtId="14" fontId="2" fillId="6" borderId="100" xfId="0" applyNumberFormat="1" applyFont="1" applyFill="1" applyBorder="1" applyAlignment="1" applyProtection="1">
      <alignment vertical="top" wrapText="1"/>
      <protection locked="0"/>
    </xf>
    <xf numFmtId="0" fontId="2" fillId="6" borderId="5" xfId="0" applyFont="1" applyFill="1" applyBorder="1" applyAlignment="1">
      <alignment horizontal="left" vertical="top" wrapText="1"/>
    </xf>
    <xf numFmtId="0" fontId="4" fillId="6" borderId="0" xfId="0"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Alignment="1">
      <alignment horizontal="left" vertical="top" wrapText="1"/>
    </xf>
    <xf numFmtId="0" fontId="2" fillId="6" borderId="0" xfId="0" quotePrefix="1" applyFont="1" applyFill="1" applyAlignment="1">
      <alignment horizontal="lef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172" fontId="15" fillId="5" borderId="8" xfId="1" applyNumberFormat="1" applyFont="1" applyFill="1" applyBorder="1" applyAlignment="1">
      <alignment vertical="top" wrapText="1"/>
    </xf>
    <xf numFmtId="0" fontId="26" fillId="2" borderId="4" xfId="0" applyFont="1" applyFill="1" applyBorder="1" applyAlignment="1">
      <alignment horizontal="center" vertical="center" wrapText="1"/>
    </xf>
    <xf numFmtId="0" fontId="73"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7" fontId="2" fillId="0" borderId="141" xfId="0" applyNumberFormat="1" applyFont="1" applyBorder="1" applyAlignment="1">
      <alignment vertical="top" wrapText="1"/>
    </xf>
    <xf numFmtId="0" fontId="6" fillId="0" borderId="58" xfId="0" applyFont="1" applyBorder="1"/>
    <xf numFmtId="0" fontId="2" fillId="5" borderId="137" xfId="0"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4" fontId="2" fillId="2" borderId="0" xfId="0" applyNumberFormat="1" applyFont="1" applyFill="1" applyAlignment="1">
      <alignment horizontal="center" vertical="top" wrapText="1"/>
    </xf>
    <xf numFmtId="0" fontId="2" fillId="2" borderId="4" xfId="0" applyFont="1" applyFill="1" applyBorder="1" applyAlignment="1">
      <alignment horizontal="left" vertical="top" wrapText="1"/>
    </xf>
    <xf numFmtId="0" fontId="74" fillId="20" borderId="8" xfId="0" applyFont="1" applyFill="1" applyBorder="1" applyAlignment="1">
      <alignment vertical="center" wrapText="1"/>
    </xf>
    <xf numFmtId="44" fontId="74" fillId="20" borderId="8" xfId="3" applyFont="1" applyFill="1" applyBorder="1" applyAlignment="1">
      <alignment vertical="center" wrapText="1"/>
    </xf>
    <xf numFmtId="0" fontId="2" fillId="5" borderId="137" xfId="0" applyFont="1" applyFill="1" applyBorder="1" applyAlignment="1" applyProtection="1">
      <alignment horizontal="left" wrapText="1"/>
      <protection locked="0"/>
    </xf>
    <xf numFmtId="178" fontId="2" fillId="5" borderId="99" xfId="3" applyNumberFormat="1" applyFont="1" applyFill="1" applyBorder="1" applyAlignment="1" applyProtection="1">
      <alignment wrapText="1"/>
      <protection locked="0"/>
    </xf>
    <xf numFmtId="2" fontId="2" fillId="5" borderId="144" xfId="0" applyNumberFormat="1" applyFont="1" applyFill="1" applyBorder="1" applyAlignment="1" applyProtection="1">
      <alignment wrapText="1"/>
      <protection locked="0"/>
    </xf>
    <xf numFmtId="172" fontId="2" fillId="5" borderId="146" xfId="1" applyNumberFormat="1" applyFont="1" applyFill="1" applyBorder="1" applyAlignment="1" applyProtection="1">
      <alignment wrapText="1"/>
      <protection locked="0"/>
    </xf>
    <xf numFmtId="0" fontId="2" fillId="5" borderId="105" xfId="0" applyFont="1" applyFill="1" applyBorder="1" applyAlignment="1" applyProtection="1">
      <alignment wrapText="1"/>
      <protection locked="0"/>
    </xf>
    <xf numFmtId="2" fontId="2" fillId="5" borderId="135"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43" fontId="2" fillId="20" borderId="0" xfId="0" applyNumberFormat="1" applyFont="1" applyFill="1" applyAlignment="1">
      <alignment vertical="top" wrapText="1"/>
    </xf>
    <xf numFmtId="0" fontId="2" fillId="20" borderId="58" xfId="0" applyFont="1" applyFill="1" applyBorder="1" applyAlignment="1">
      <alignment vertical="top" wrapText="1"/>
    </xf>
    <xf numFmtId="172"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3" fontId="2" fillId="6" borderId="16" xfId="0" applyNumberFormat="1" applyFont="1" applyFill="1" applyBorder="1" applyAlignment="1" applyProtection="1">
      <alignment horizontal="left" wrapText="1"/>
      <protection locked="0"/>
    </xf>
    <xf numFmtId="3" fontId="2" fillId="5" borderId="57" xfId="0" applyNumberFormat="1" applyFont="1" applyFill="1" applyBorder="1" applyAlignment="1">
      <alignment vertical="top" wrapText="1"/>
    </xf>
    <xf numFmtId="165" fontId="0" fillId="22" borderId="8" xfId="0" applyNumberFormat="1" applyFill="1" applyBorder="1"/>
    <xf numFmtId="172" fontId="0" fillId="22" borderId="8" xfId="1" applyNumberFormat="1" applyFont="1" applyFill="1" applyBorder="1"/>
    <xf numFmtId="172" fontId="2" fillId="22" borderId="8" xfId="1" applyNumberFormat="1" applyFont="1" applyFill="1" applyBorder="1"/>
    <xf numFmtId="164" fontId="0" fillId="22" borderId="8" xfId="17" applyNumberFormat="1" applyFont="1" applyFill="1" applyBorder="1"/>
    <xf numFmtId="189" fontId="0" fillId="22" borderId="8" xfId="1" applyNumberFormat="1" applyFont="1" applyFill="1" applyBorder="1"/>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75" fillId="26" borderId="172" xfId="0" applyFont="1" applyFill="1" applyBorder="1" applyAlignment="1">
      <alignment horizontal="left" vertical="center" wrapText="1"/>
    </xf>
    <xf numFmtId="0" fontId="75" fillId="26" borderId="173" xfId="0" applyFont="1" applyFill="1" applyBorder="1" applyAlignment="1">
      <alignment horizontal="center" vertical="center" wrapText="1"/>
    </xf>
    <xf numFmtId="0" fontId="75" fillId="26" borderId="172" xfId="0" applyFont="1" applyFill="1" applyBorder="1" applyAlignment="1">
      <alignment horizontal="center" vertical="center" wrapText="1"/>
    </xf>
    <xf numFmtId="0" fontId="76" fillId="0" borderId="174" xfId="0" applyFont="1" applyBorder="1" applyAlignment="1">
      <alignment horizontal="left" vertical="center" wrapText="1"/>
    </xf>
    <xf numFmtId="0" fontId="76" fillId="0" borderId="175" xfId="0" applyFont="1" applyBorder="1" applyAlignment="1">
      <alignment horizontal="center" vertical="center" wrapText="1"/>
    </xf>
    <xf numFmtId="0" fontId="76" fillId="0" borderId="174" xfId="0" applyFont="1" applyBorder="1" applyAlignment="1">
      <alignment horizontal="center" vertical="center" wrapText="1"/>
    </xf>
    <xf numFmtId="0" fontId="76" fillId="0" borderId="174" xfId="0" applyFont="1" applyBorder="1" applyAlignment="1">
      <alignment horizontal="left" vertical="center" wrapText="1" indent="1"/>
    </xf>
    <xf numFmtId="0" fontId="77" fillId="0" borderId="174" xfId="0" applyFont="1" applyBorder="1" applyAlignment="1">
      <alignment horizontal="left" vertical="center" wrapText="1" indent="1"/>
    </xf>
    <xf numFmtId="3" fontId="76" fillId="0" borderId="175" xfId="0" applyNumberFormat="1" applyFont="1" applyBorder="1" applyAlignment="1">
      <alignment horizontal="center" vertical="center" wrapText="1"/>
    </xf>
    <xf numFmtId="3" fontId="76" fillId="0" borderId="174" xfId="0" applyNumberFormat="1" applyFont="1" applyBorder="1" applyAlignment="1">
      <alignment horizontal="center" vertical="center" wrapText="1"/>
    </xf>
    <xf numFmtId="4" fontId="76" fillId="0" borderId="175" xfId="0" applyNumberFormat="1" applyFont="1" applyBorder="1" applyAlignment="1">
      <alignment horizontal="center" vertical="center" wrapText="1"/>
    </xf>
    <xf numFmtId="4" fontId="76" fillId="0" borderId="174" xfId="0" applyNumberFormat="1" applyFont="1" applyBorder="1" applyAlignment="1">
      <alignment horizontal="center" vertical="center" wrapText="1"/>
    </xf>
    <xf numFmtId="0" fontId="0" fillId="22" borderId="8" xfId="0" applyFill="1" applyBorder="1"/>
    <xf numFmtId="0" fontId="2" fillId="0" borderId="8" xfId="0" applyFont="1" applyBorder="1"/>
    <xf numFmtId="0" fontId="68" fillId="0" borderId="179" xfId="0" applyFont="1" applyBorder="1" applyAlignment="1">
      <alignment horizontal="center" vertical="center" wrapText="1"/>
    </xf>
    <xf numFmtId="3" fontId="68" fillId="0" borderId="179" xfId="0" applyNumberFormat="1" applyFont="1" applyBorder="1" applyAlignment="1">
      <alignment horizontal="center" vertical="center" wrapText="1"/>
    </xf>
    <xf numFmtId="0" fontId="0" fillId="28" borderId="8" xfId="0" applyFill="1" applyBorder="1"/>
    <xf numFmtId="172" fontId="71" fillId="0" borderId="179" xfId="1" applyNumberFormat="1" applyFont="1" applyBorder="1" applyAlignment="1">
      <alignment horizontal="center" vertical="center" wrapText="1"/>
    </xf>
    <xf numFmtId="167" fontId="4" fillId="3" borderId="0" xfId="0" applyNumberFormat="1" applyFont="1" applyFill="1" applyAlignment="1">
      <alignment horizontal="center" vertical="top" wrapText="1"/>
    </xf>
    <xf numFmtId="2" fontId="4" fillId="3" borderId="0" xfId="0" applyNumberFormat="1" applyFont="1" applyFill="1" applyAlignment="1">
      <alignment horizontal="center" vertical="top" wrapText="1"/>
    </xf>
    <xf numFmtId="0" fontId="2" fillId="5" borderId="138" xfId="1" applyNumberFormat="1" applyFont="1" applyFill="1" applyBorder="1" applyAlignment="1">
      <alignment vertical="top" wrapText="1"/>
    </xf>
    <xf numFmtId="170" fontId="0" fillId="5" borderId="137" xfId="0" applyNumberFormat="1" applyFill="1" applyBorder="1" applyAlignment="1">
      <alignment vertical="top" wrapText="1"/>
    </xf>
    <xf numFmtId="41" fontId="2" fillId="3" borderId="69" xfId="0" applyNumberFormat="1" applyFont="1" applyFill="1" applyBorder="1" applyAlignment="1" applyProtection="1">
      <alignment wrapText="1"/>
      <protection locked="0"/>
    </xf>
    <xf numFmtId="170" fontId="79" fillId="5" borderId="137" xfId="0" applyNumberFormat="1" applyFont="1" applyFill="1" applyBorder="1" applyAlignment="1">
      <alignment vertical="top" wrapText="1"/>
    </xf>
    <xf numFmtId="170" fontId="79" fillId="5" borderId="138" xfId="0" applyNumberFormat="1" applyFont="1" applyFill="1" applyBorder="1" applyAlignment="1">
      <alignment vertical="top" wrapText="1"/>
    </xf>
    <xf numFmtId="170" fontId="79" fillId="5" borderId="143" xfId="0" applyNumberFormat="1" applyFont="1" applyFill="1" applyBorder="1" applyAlignment="1">
      <alignment vertical="top" wrapText="1"/>
    </xf>
    <xf numFmtId="7" fontId="80" fillId="20" borderId="57" xfId="0" applyNumberFormat="1" applyFont="1" applyFill="1" applyBorder="1" applyAlignment="1">
      <alignment vertical="top" wrapText="1"/>
    </xf>
    <xf numFmtId="0" fontId="80" fillId="20" borderId="0" xfId="0" applyFont="1" applyFill="1" applyAlignment="1">
      <alignment vertical="top" wrapText="1"/>
    </xf>
    <xf numFmtId="0" fontId="80" fillId="20" borderId="0" xfId="0" applyFont="1" applyFill="1"/>
    <xf numFmtId="0" fontId="80" fillId="20" borderId="5" xfId="0" applyFont="1" applyFill="1" applyBorder="1" applyAlignment="1">
      <alignment vertical="top" wrapText="1"/>
    </xf>
    <xf numFmtId="0" fontId="80" fillId="20" borderId="0" xfId="0" applyFont="1" applyFill="1" applyAlignment="1">
      <alignment vertical="top"/>
    </xf>
    <xf numFmtId="0" fontId="63" fillId="26" borderId="173" xfId="0" applyFont="1" applyFill="1" applyBorder="1" applyAlignment="1">
      <alignment horizontal="center" vertical="center" wrapText="1"/>
    </xf>
    <xf numFmtId="0" fontId="63" fillId="26" borderId="172" xfId="0" applyFont="1" applyFill="1" applyBorder="1" applyAlignment="1">
      <alignment horizontal="center" vertical="center" wrapText="1"/>
    </xf>
    <xf numFmtId="0" fontId="68" fillId="0" borderId="174" xfId="0" applyFont="1" applyBorder="1" applyAlignment="1">
      <alignment horizontal="right" vertical="center" wrapText="1"/>
    </xf>
    <xf numFmtId="6" fontId="68" fillId="0" borderId="175" xfId="0" applyNumberFormat="1" applyFont="1" applyBorder="1" applyAlignment="1">
      <alignment horizontal="right" vertical="center" wrapText="1"/>
    </xf>
    <xf numFmtId="0" fontId="71" fillId="0" borderId="174" xfId="0" applyFont="1" applyBorder="1" applyAlignment="1">
      <alignment horizontal="right" vertical="center" wrapText="1"/>
    </xf>
    <xf numFmtId="6" fontId="71" fillId="0" borderId="175" xfId="0" applyNumberFormat="1" applyFont="1" applyBorder="1" applyAlignment="1">
      <alignment horizontal="right" vertical="center" wrapText="1"/>
    </xf>
    <xf numFmtId="0" fontId="68" fillId="0" borderId="175" xfId="0" applyFont="1" applyBorder="1" applyAlignment="1">
      <alignment horizontal="right" vertical="center" wrapText="1"/>
    </xf>
    <xf numFmtId="2" fontId="0" fillId="20" borderId="0" xfId="0" applyNumberFormat="1" applyFill="1"/>
    <xf numFmtId="0" fontId="5" fillId="6" borderId="8" xfId="5" applyFill="1" applyBorder="1" applyAlignment="1" applyProtection="1">
      <alignment wrapText="1"/>
      <protection locked="0"/>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0" fontId="0" fillId="20" borderId="0" xfId="0" applyFill="1" applyAlignment="1">
      <alignment vertical="top" wrapText="1"/>
    </xf>
    <xf numFmtId="10" fontId="0" fillId="20" borderId="0" xfId="17" applyNumberFormat="1" applyFont="1" applyFill="1" applyAlignment="1">
      <alignment vertical="top" wrapText="1"/>
    </xf>
    <xf numFmtId="3" fontId="2" fillId="3" borderId="171" xfId="0" applyNumberFormat="1" applyFont="1" applyFill="1" applyBorder="1" applyAlignment="1">
      <alignment vertical="top" wrapText="1"/>
    </xf>
    <xf numFmtId="0" fontId="0" fillId="20" borderId="89" xfId="0" applyFill="1" applyBorder="1" applyAlignment="1">
      <alignment vertical="top" wrapText="1"/>
    </xf>
    <xf numFmtId="0" fontId="2" fillId="20" borderId="57" xfId="0" applyFont="1" applyFill="1" applyBorder="1" applyAlignment="1">
      <alignment vertical="top" wrapText="1"/>
    </xf>
    <xf numFmtId="0" fontId="2" fillId="20" borderId="88" xfId="0" applyFont="1" applyFill="1" applyBorder="1" applyAlignment="1">
      <alignment vertical="top" wrapText="1"/>
    </xf>
    <xf numFmtId="3" fontId="2" fillId="20" borderId="112" xfId="0" applyNumberFormat="1" applyFont="1" applyFill="1" applyBorder="1" applyAlignment="1">
      <alignment vertical="top" wrapText="1"/>
    </xf>
    <xf numFmtId="3" fontId="2" fillId="20" borderId="117" xfId="0" applyNumberFormat="1" applyFont="1" applyFill="1" applyBorder="1" applyAlignment="1">
      <alignment vertical="top" wrapText="1"/>
    </xf>
    <xf numFmtId="11" fontId="2" fillId="3" borderId="113" xfId="0" applyNumberFormat="1" applyFont="1" applyFill="1" applyBorder="1" applyAlignment="1">
      <alignment vertical="top" wrapText="1"/>
    </xf>
    <xf numFmtId="11" fontId="2" fillId="3" borderId="114" xfId="0" applyNumberFormat="1" applyFont="1" applyFill="1" applyBorder="1" applyAlignment="1">
      <alignment vertical="top" wrapText="1"/>
    </xf>
    <xf numFmtId="11" fontId="2" fillId="3" borderId="118" xfId="0" applyNumberFormat="1" applyFont="1" applyFill="1" applyBorder="1" applyAlignment="1">
      <alignment vertical="top" wrapText="1"/>
    </xf>
    <xf numFmtId="11" fontId="2" fillId="3" borderId="119" xfId="0" applyNumberFormat="1" applyFont="1" applyFill="1" applyBorder="1" applyAlignment="1">
      <alignment vertical="top" wrapText="1"/>
    </xf>
    <xf numFmtId="11" fontId="2" fillId="3" borderId="79" xfId="0" applyNumberFormat="1" applyFont="1" applyFill="1" applyBorder="1" applyAlignment="1">
      <alignment vertical="top" wrapText="1"/>
    </xf>
    <xf numFmtId="11" fontId="2" fillId="3" borderId="64" xfId="0" applyNumberFormat="1" applyFont="1" applyFill="1" applyBorder="1" applyAlignment="1">
      <alignment vertical="top" wrapText="1"/>
    </xf>
    <xf numFmtId="4" fontId="2" fillId="3" borderId="98" xfId="0" applyNumberFormat="1" applyFont="1" applyFill="1" applyBorder="1" applyAlignment="1">
      <alignment vertical="top" wrapText="1"/>
    </xf>
    <xf numFmtId="4" fontId="2" fillId="3" borderId="171" xfId="0" applyNumberFormat="1" applyFont="1" applyFill="1" applyBorder="1" applyAlignment="1">
      <alignment vertical="top" wrapText="1"/>
    </xf>
    <xf numFmtId="190" fontId="2" fillId="3" borderId="98" xfId="3" applyNumberFormat="1" applyFont="1" applyFill="1" applyBorder="1" applyAlignment="1">
      <alignment vertical="top" wrapText="1"/>
    </xf>
    <xf numFmtId="190" fontId="2" fillId="3" borderId="171" xfId="3" applyNumberFormat="1" applyFont="1" applyFill="1" applyBorder="1" applyAlignment="1">
      <alignment vertical="top" wrapText="1"/>
    </xf>
    <xf numFmtId="178" fontId="2" fillId="3" borderId="98" xfId="3" applyNumberFormat="1" applyFont="1" applyFill="1" applyBorder="1" applyAlignment="1">
      <alignment vertical="top" wrapText="1"/>
    </xf>
    <xf numFmtId="178" fontId="2" fillId="3" borderId="171" xfId="3" applyNumberFormat="1" applyFont="1" applyFill="1" applyBorder="1" applyAlignment="1">
      <alignment vertical="top" wrapText="1"/>
    </xf>
    <xf numFmtId="0" fontId="5" fillId="20" borderId="0" xfId="5" applyFill="1" applyAlignment="1" applyProtection="1">
      <alignment vertical="top"/>
    </xf>
    <xf numFmtId="0" fontId="2" fillId="20" borderId="0" xfId="0" applyFont="1" applyFill="1" applyAlignment="1">
      <alignment horizontal="right" vertical="top" wrapText="1"/>
    </xf>
    <xf numFmtId="173" fontId="6" fillId="2" borderId="115" xfId="16" applyFont="1" applyFill="1" applyBorder="1" applyAlignment="1">
      <alignment vertical="top" wrapText="1"/>
    </xf>
    <xf numFmtId="0" fontId="6" fillId="2" borderId="116" xfId="0" applyFont="1" applyFill="1" applyBorder="1" applyAlignment="1">
      <alignment vertical="top" wrapText="1"/>
    </xf>
    <xf numFmtId="173" fontId="15" fillId="2" borderId="115" xfId="16" applyFont="1" applyFill="1" applyBorder="1" applyAlignment="1">
      <alignment horizontal="right"/>
    </xf>
    <xf numFmtId="44" fontId="12" fillId="3" borderId="8" xfId="3" applyFont="1" applyFill="1" applyBorder="1" applyProtection="1"/>
    <xf numFmtId="44" fontId="12" fillId="3" borderId="100" xfId="3" applyFont="1" applyFill="1" applyBorder="1" applyProtection="1"/>
    <xf numFmtId="173" fontId="6" fillId="2" borderId="58" xfId="16" applyFont="1" applyFill="1" applyBorder="1"/>
    <xf numFmtId="44" fontId="12" fillId="3" borderId="181" xfId="3" applyFont="1" applyFill="1" applyBorder="1" applyProtection="1"/>
    <xf numFmtId="44" fontId="12" fillId="3" borderId="178" xfId="3" applyFont="1" applyFill="1" applyBorder="1" applyProtection="1"/>
    <xf numFmtId="173" fontId="15" fillId="2" borderId="182" xfId="16" applyFont="1" applyFill="1" applyBorder="1" applyAlignment="1">
      <alignment horizontal="right"/>
    </xf>
    <xf numFmtId="44" fontId="12" fillId="3" borderId="168" xfId="3" applyFont="1" applyFill="1" applyBorder="1" applyProtection="1"/>
    <xf numFmtId="44" fontId="12" fillId="3" borderId="177" xfId="3" applyFont="1" applyFill="1" applyBorder="1" applyProtection="1"/>
    <xf numFmtId="0" fontId="2" fillId="3" borderId="98" xfId="0" applyFont="1" applyFill="1" applyBorder="1" applyAlignment="1">
      <alignment vertical="top" wrapText="1"/>
    </xf>
    <xf numFmtId="0" fontId="2" fillId="20" borderId="118" xfId="0" applyFont="1" applyFill="1" applyBorder="1" applyAlignment="1">
      <alignment vertical="top" wrapText="1"/>
    </xf>
    <xf numFmtId="0" fontId="2" fillId="20" borderId="119" xfId="0" applyFont="1" applyFill="1" applyBorder="1" applyAlignment="1">
      <alignment vertical="top" wrapText="1"/>
    </xf>
    <xf numFmtId="0" fontId="2" fillId="3" borderId="113" xfId="0" applyFont="1" applyFill="1" applyBorder="1" applyAlignment="1">
      <alignment vertical="top" wrapText="1"/>
    </xf>
    <xf numFmtId="178" fontId="2" fillId="3" borderId="113" xfId="3" applyNumberFormat="1" applyFont="1" applyFill="1" applyBorder="1" applyAlignment="1">
      <alignment vertical="top" wrapText="1"/>
    </xf>
    <xf numFmtId="190" fontId="2" fillId="3" borderId="113" xfId="3" applyNumberFormat="1" applyFont="1" applyFill="1" applyBorder="1" applyAlignment="1">
      <alignment vertical="top" wrapText="1"/>
    </xf>
    <xf numFmtId="44" fontId="2" fillId="3" borderId="114" xfId="3" applyFont="1" applyFill="1" applyBorder="1" applyAlignment="1">
      <alignment vertical="top" wrapText="1"/>
    </xf>
    <xf numFmtId="0" fontId="2" fillId="20" borderId="115" xfId="0" applyFont="1" applyFill="1" applyBorder="1" applyAlignment="1">
      <alignment vertical="top" wrapText="1"/>
    </xf>
    <xf numFmtId="44" fontId="2" fillId="3" borderId="116" xfId="3" applyFont="1" applyFill="1" applyBorder="1" applyAlignment="1">
      <alignment vertical="top" wrapText="1"/>
    </xf>
    <xf numFmtId="0" fontId="2" fillId="20" borderId="182" xfId="0" applyFont="1" applyFill="1" applyBorder="1" applyAlignment="1">
      <alignment vertical="top" wrapText="1"/>
    </xf>
    <xf numFmtId="44" fontId="2" fillId="3" borderId="183" xfId="3" applyFont="1" applyFill="1" applyBorder="1" applyAlignment="1">
      <alignment vertical="top" wrapText="1"/>
    </xf>
    <xf numFmtId="3" fontId="2" fillId="3" borderId="59" xfId="0" applyNumberFormat="1" applyFont="1" applyFill="1" applyBorder="1" applyAlignment="1">
      <alignment vertical="top" wrapText="1"/>
    </xf>
    <xf numFmtId="178" fontId="2" fillId="3" borderId="59" xfId="3" applyNumberFormat="1" applyFont="1" applyFill="1" applyBorder="1" applyAlignment="1">
      <alignment vertical="top" wrapText="1"/>
    </xf>
    <xf numFmtId="190" fontId="2" fillId="3" borderId="59" xfId="3" applyNumberFormat="1" applyFont="1" applyFill="1" applyBorder="1" applyAlignment="1">
      <alignment vertical="top" wrapText="1"/>
    </xf>
    <xf numFmtId="44" fontId="2" fillId="3" borderId="87" xfId="3" applyFont="1" applyFill="1" applyBorder="1" applyAlignment="1">
      <alignment vertical="top" wrapText="1"/>
    </xf>
    <xf numFmtId="0" fontId="2" fillId="20" borderId="146" xfId="0" applyFont="1" applyFill="1" applyBorder="1" applyAlignment="1">
      <alignment vertical="top" wrapText="1"/>
    </xf>
    <xf numFmtId="0" fontId="2" fillId="20" borderId="147" xfId="0" applyFont="1" applyFill="1" applyBorder="1" applyAlignment="1">
      <alignment vertical="top" wrapText="1"/>
    </xf>
    <xf numFmtId="0" fontId="2" fillId="20" borderId="151" xfId="0" applyFont="1" applyFill="1" applyBorder="1" applyAlignment="1">
      <alignment vertical="top" wrapText="1"/>
    </xf>
    <xf numFmtId="0" fontId="4" fillId="20" borderId="57" xfId="0" applyFont="1" applyFill="1" applyBorder="1" applyAlignment="1">
      <alignment vertical="top" wrapText="1"/>
    </xf>
    <xf numFmtId="4" fontId="2" fillId="3" borderId="113" xfId="0" applyNumberFormat="1" applyFont="1" applyFill="1" applyBorder="1" applyAlignment="1">
      <alignment vertical="top" wrapText="1"/>
    </xf>
    <xf numFmtId="0" fontId="2" fillId="20" borderId="112" xfId="0" applyFont="1" applyFill="1" applyBorder="1" applyAlignment="1">
      <alignment vertical="top" wrapText="1"/>
    </xf>
    <xf numFmtId="0" fontId="14" fillId="0" borderId="137" xfId="0" applyFont="1" applyBorder="1" applyAlignment="1" applyProtection="1">
      <alignment horizontal="left"/>
      <protection locked="0"/>
    </xf>
    <xf numFmtId="0" fontId="0" fillId="0" borderId="135" xfId="0" applyBorder="1" applyProtection="1">
      <protection locked="0"/>
    </xf>
    <xf numFmtId="0" fontId="0" fillId="0" borderId="99" xfId="0" applyBorder="1" applyProtection="1">
      <protection locked="0"/>
    </xf>
    <xf numFmtId="0" fontId="63" fillId="27" borderId="176" xfId="0" applyFont="1" applyFill="1" applyBorder="1" applyAlignment="1">
      <alignment horizontal="center" vertical="center" wrapText="1"/>
    </xf>
    <xf numFmtId="0" fontId="63" fillId="27" borderId="180" xfId="0" applyFont="1" applyFill="1" applyBorder="1" applyAlignment="1">
      <alignment horizontal="center" vertical="center" wrapText="1"/>
    </xf>
    <xf numFmtId="0" fontId="63" fillId="27" borderId="173" xfId="0" applyFont="1" applyFill="1" applyBorder="1" applyAlignment="1">
      <alignment horizontal="center" vertical="center" wrapText="1"/>
    </xf>
    <xf numFmtId="0" fontId="2" fillId="22" borderId="55" xfId="0" applyFont="1" applyFill="1" applyBorder="1" applyAlignment="1">
      <alignment horizontal="left" indent="1"/>
    </xf>
    <xf numFmtId="0" fontId="2" fillId="22" borderId="98" xfId="0" applyFont="1" applyFill="1" applyBorder="1" applyAlignment="1">
      <alignment horizontal="left" indent="1"/>
    </xf>
    <xf numFmtId="0" fontId="2" fillId="22" borderId="18" xfId="0" applyFont="1" applyFill="1" applyBorder="1" applyAlignment="1">
      <alignment horizontal="left" indent="1"/>
    </xf>
    <xf numFmtId="0" fontId="63" fillId="26" borderId="176" xfId="0" applyFont="1" applyFill="1" applyBorder="1" applyAlignment="1">
      <alignment horizontal="center" vertical="center" wrapText="1"/>
    </xf>
    <xf numFmtId="0" fontId="63" fillId="26" borderId="173" xfId="0" applyFont="1" applyFill="1" applyBorder="1" applyAlignment="1">
      <alignment horizontal="center" vertical="center" wrapText="1"/>
    </xf>
    <xf numFmtId="0" fontId="2" fillId="6" borderId="0" xfId="0" applyFont="1" applyFill="1" applyAlignment="1">
      <alignment horizontal="left" vertical="top" wrapText="1"/>
    </xf>
    <xf numFmtId="0" fontId="2" fillId="6" borderId="5"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0" borderId="0" xfId="0" applyFont="1" applyAlignment="1">
      <alignment horizontal="left" vertical="center" wrapText="1"/>
    </xf>
    <xf numFmtId="0" fontId="2" fillId="6" borderId="0" xfId="0" quotePrefix="1" applyFont="1" applyFill="1" applyAlignment="1">
      <alignment horizontal="left" vertical="top" wrapText="1"/>
    </xf>
    <xf numFmtId="0" fontId="2" fillId="6" borderId="153" xfId="0" applyFont="1" applyFill="1" applyBorder="1" applyAlignment="1">
      <alignment horizontal="left" vertical="top" wrapText="1"/>
    </xf>
    <xf numFmtId="0" fontId="2" fillId="6" borderId="154" xfId="0" applyFont="1" applyFill="1" applyBorder="1" applyAlignment="1">
      <alignment horizontal="left" vertical="top" wrapText="1"/>
    </xf>
    <xf numFmtId="0" fontId="32" fillId="2" borderId="141" xfId="0" applyFont="1" applyFill="1" applyBorder="1" applyAlignment="1">
      <alignment horizontal="center" vertical="top" wrapText="1"/>
    </xf>
    <xf numFmtId="0" fontId="32" fillId="2" borderId="79" xfId="0" applyFont="1" applyFill="1" applyBorder="1" applyAlignment="1">
      <alignment horizontal="center" vertical="top" wrapText="1"/>
    </xf>
    <xf numFmtId="0" fontId="32" fillId="2" borderId="64" xfId="0" applyFont="1" applyFill="1" applyBorder="1" applyAlignment="1">
      <alignment horizontal="center" vertical="top" wrapText="1"/>
    </xf>
    <xf numFmtId="0" fontId="13" fillId="5" borderId="141"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Alignment="1">
      <alignment horizontal="right" vertical="center" wrapText="1"/>
    </xf>
    <xf numFmtId="0" fontId="2" fillId="4" borderId="4"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4" fillId="6" borderId="0" xfId="0" applyFont="1" applyFill="1" applyAlignment="1">
      <alignment horizontal="left" vertical="top" wrapText="1"/>
    </xf>
    <xf numFmtId="0" fontId="4" fillId="6" borderId="5" xfId="0" applyFont="1" applyFill="1" applyBorder="1" applyAlignment="1">
      <alignment horizontal="left" vertical="top" wrapText="1"/>
    </xf>
    <xf numFmtId="0" fontId="4" fillId="6" borderId="0" xfId="0" applyFont="1" applyFill="1" applyAlignment="1">
      <alignment horizontal="right" vertical="top" wrapText="1"/>
    </xf>
    <xf numFmtId="0" fontId="4" fillId="6" borderId="5" xfId="0" applyFont="1" applyFill="1" applyBorder="1" applyAlignment="1">
      <alignment horizontal="right" vertical="top" wrapText="1"/>
    </xf>
    <xf numFmtId="0" fontId="2" fillId="6" borderId="4" xfId="0" applyFont="1" applyFill="1" applyBorder="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2" fillId="6" borderId="44" xfId="0" applyFont="1" applyFill="1" applyBorder="1" applyAlignment="1" applyProtection="1">
      <alignment wrapText="1"/>
      <protection locked="0"/>
    </xf>
    <xf numFmtId="0" fontId="2" fillId="0" borderId="0" xfId="0" applyFont="1"/>
    <xf numFmtId="0" fontId="2" fillId="0" borderId="5" xfId="0" applyFont="1" applyBorder="1"/>
    <xf numFmtId="0" fontId="2" fillId="6" borderId="155" xfId="0" applyFont="1" applyFill="1" applyBorder="1" applyAlignment="1" applyProtection="1">
      <alignment wrapText="1"/>
      <protection locked="0"/>
    </xf>
    <xf numFmtId="0" fontId="2" fillId="0" borderId="59" xfId="0" applyFont="1" applyBorder="1"/>
    <xf numFmtId="0" fontId="2" fillId="0" borderId="87" xfId="0" applyFont="1" applyBorder="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7" xfId="0" applyFont="1" applyFill="1" applyBorder="1" applyAlignment="1" applyProtection="1">
      <alignment wrapText="1"/>
      <protection locked="0"/>
    </xf>
    <xf numFmtId="0" fontId="2" fillId="0" borderId="147" xfId="0" applyFont="1" applyBorder="1"/>
    <xf numFmtId="0" fontId="2" fillId="0" borderId="151" xfId="0" applyFont="1" applyBorder="1"/>
    <xf numFmtId="0" fontId="2" fillId="6" borderId="156" xfId="0" applyFont="1" applyFill="1" applyBorder="1" applyAlignment="1" applyProtection="1">
      <alignment wrapText="1"/>
      <protection locked="0"/>
    </xf>
    <xf numFmtId="0" fontId="2" fillId="0" borderId="2" xfId="0" applyFont="1" applyBorder="1"/>
    <xf numFmtId="0" fontId="2" fillId="0" borderId="3" xfId="0" applyFont="1" applyBorder="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Alignment="1" applyProtection="1">
      <alignment horizontal="left" vertical="top" wrapText="1"/>
      <protection locked="0"/>
    </xf>
    <xf numFmtId="2" fontId="12" fillId="2" borderId="0" xfId="0" applyNumberFormat="1" applyFont="1" applyFill="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Alignment="1" applyProtection="1">
      <alignment horizontal="left" vertical="top" wrapText="1"/>
      <protection locked="0"/>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2" fillId="20" borderId="88" xfId="0" applyFont="1" applyFill="1" applyBorder="1" applyAlignment="1">
      <alignment horizontal="left" vertical="top" wrapText="1"/>
    </xf>
    <xf numFmtId="0" fontId="0" fillId="20" borderId="89" xfId="0" applyFill="1" applyBorder="1" applyAlignment="1">
      <alignment horizontal="left" vertical="top" wrapText="1"/>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173" fontId="18" fillId="0" borderId="75" xfId="16" applyFont="1" applyBorder="1" applyAlignment="1">
      <alignment horizontal="left"/>
    </xf>
    <xf numFmtId="173" fontId="18" fillId="0" borderId="76" xfId="16" applyFont="1" applyBorder="1" applyAlignment="1">
      <alignment horizontal="left"/>
    </xf>
    <xf numFmtId="173" fontId="12" fillId="0" borderId="63" xfId="16" applyFont="1" applyBorder="1" applyAlignment="1">
      <alignment horizontal="left" vertical="center" wrapText="1"/>
    </xf>
    <xf numFmtId="173" fontId="12" fillId="0" borderId="98" xfId="16" applyFont="1" applyBorder="1" applyAlignment="1">
      <alignment horizontal="left" vertical="center" wrapText="1"/>
    </xf>
    <xf numFmtId="173" fontId="12" fillId="0" borderId="127" xfId="16" applyFont="1" applyBorder="1" applyAlignment="1">
      <alignment horizontal="left" vertical="center" wrapText="1"/>
    </xf>
    <xf numFmtId="173" fontId="12" fillId="0" borderId="113" xfId="16" applyFont="1" applyBorder="1" applyAlignment="1">
      <alignment horizontal="left" vertical="center" wrapText="1"/>
    </xf>
    <xf numFmtId="173" fontId="12" fillId="0" borderId="109" xfId="16" applyFont="1" applyBorder="1" applyAlignment="1">
      <alignment horizontal="left" vertical="center" wrapText="1"/>
    </xf>
    <xf numFmtId="173" fontId="12" fillId="0" borderId="120" xfId="16" applyFont="1" applyBorder="1" applyAlignment="1">
      <alignment horizontal="left" vertical="center" wrapText="1"/>
    </xf>
    <xf numFmtId="173" fontId="18" fillId="2" borderId="112" xfId="16" applyFont="1" applyFill="1" applyBorder="1" applyAlignment="1">
      <alignment horizontal="left" wrapText="1"/>
    </xf>
    <xf numFmtId="173" fontId="18" fillId="2" borderId="113" xfId="16" applyFont="1" applyFill="1" applyBorder="1" applyAlignment="1">
      <alignment horizontal="left" wrapText="1"/>
    </xf>
    <xf numFmtId="173" fontId="18" fillId="2" borderId="114" xfId="16" applyFont="1" applyFill="1" applyBorder="1" applyAlignment="1">
      <alignment horizontal="left" wrapText="1"/>
    </xf>
    <xf numFmtId="173" fontId="18" fillId="0" borderId="141" xfId="16" applyFont="1" applyBorder="1" applyAlignment="1">
      <alignment horizontal="left"/>
    </xf>
    <xf numFmtId="173" fontId="18" fillId="0" borderId="79" xfId="16" applyFont="1" applyBorder="1" applyAlignment="1">
      <alignment horizontal="left"/>
    </xf>
    <xf numFmtId="0" fontId="0" fillId="0" borderId="2" xfId="0" applyBorder="1" applyAlignment="1">
      <alignment horizontal="left" vertical="top" wrapText="1"/>
    </xf>
    <xf numFmtId="0" fontId="0" fillId="0" borderId="0" xfId="0" applyAlignment="1">
      <alignment horizontal="left" vertical="top" wrapText="1"/>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8" fillId="0" borderId="9" xfId="16" applyFont="1" applyBorder="1" applyAlignment="1">
      <alignment wrapText="1"/>
    </xf>
    <xf numFmtId="173" fontId="18" fillId="0" borderId="166" xfId="16" applyFont="1" applyBorder="1" applyAlignment="1">
      <alignment wrapText="1"/>
    </xf>
    <xf numFmtId="173" fontId="18" fillId="20" borderId="46" xfId="16" applyFont="1" applyFill="1" applyBorder="1" applyAlignment="1">
      <alignment wrapText="1"/>
    </xf>
    <xf numFmtId="0" fontId="0" fillId="20" borderId="47" xfId="0" applyFill="1" applyBorder="1" applyAlignment="1">
      <alignment wrapText="1"/>
    </xf>
    <xf numFmtId="0" fontId="43" fillId="13" borderId="0" xfId="0" applyFont="1" applyFill="1" applyAlignment="1">
      <alignment horizontal="left"/>
    </xf>
    <xf numFmtId="0" fontId="44" fillId="0" borderId="0" xfId="0" applyFont="1" applyAlignment="1">
      <alignment horizontal="left"/>
    </xf>
    <xf numFmtId="0" fontId="44" fillId="0" borderId="59" xfId="0" applyFont="1" applyBorder="1" applyAlignment="1">
      <alignment horizontal="left"/>
    </xf>
    <xf numFmtId="0" fontId="44" fillId="3" borderId="4" xfId="0" applyFont="1" applyFill="1" applyBorder="1" applyAlignment="1">
      <alignment horizontal="left"/>
    </xf>
    <xf numFmtId="0" fontId="44" fillId="3" borderId="0" xfId="0" applyFont="1" applyFill="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Fill="1" applyAlignment="1">
      <alignment horizontal="left" wrapText="1"/>
    </xf>
    <xf numFmtId="0" fontId="12" fillId="0" borderId="2" xfId="0" applyFont="1" applyBorder="1" applyAlignment="1">
      <alignment horizontal="left" wrapText="1"/>
    </xf>
    <xf numFmtId="0" fontId="46" fillId="0" borderId="2" xfId="0" applyFont="1" applyBorder="1" applyAlignment="1">
      <alignment horizontal="left" wrapText="1"/>
    </xf>
    <xf numFmtId="0" fontId="46" fillId="0" borderId="0" xfId="0" applyFont="1" applyAlignment="1">
      <alignment horizontal="left" wrapText="1"/>
    </xf>
    <xf numFmtId="0" fontId="43" fillId="13" borderId="0" xfId="0" applyFont="1" applyFill="1" applyAlignment="1">
      <alignment horizontal="left" wrapText="1"/>
    </xf>
    <xf numFmtId="0" fontId="0" fillId="0" borderId="59" xfId="0" applyBorder="1" applyAlignment="1">
      <alignment horizontal="left"/>
    </xf>
    <xf numFmtId="0" fontId="4" fillId="0" borderId="2" xfId="0" applyFont="1" applyBorder="1" applyAlignment="1">
      <alignment horizontal="center"/>
    </xf>
    <xf numFmtId="0" fontId="4" fillId="0" borderId="0" xfId="0" applyFont="1" applyAlignment="1">
      <alignment horizontal="center"/>
    </xf>
    <xf numFmtId="0" fontId="4" fillId="0" borderId="2" xfId="0" applyFont="1" applyBorder="1" applyAlignment="1">
      <alignment horizontal="left" vertical="center" wrapText="1"/>
    </xf>
    <xf numFmtId="0" fontId="4" fillId="0" borderId="3" xfId="0" applyFont="1" applyBorder="1" applyAlignment="1">
      <alignment horizontal="left" vertical="center" wrapText="1"/>
    </xf>
    <xf numFmtId="0" fontId="4" fillId="0" borderId="5" xfId="0" applyFont="1" applyBorder="1" applyAlignment="1">
      <alignment horizontal="center"/>
    </xf>
    <xf numFmtId="0" fontId="46" fillId="0" borderId="4" xfId="0" applyFont="1" applyBorder="1" applyAlignment="1">
      <alignment horizontal="center"/>
    </xf>
    <xf numFmtId="0" fontId="46" fillId="0" borderId="0" xfId="0" applyFont="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Alignment="1">
      <alignment horizontal="center"/>
    </xf>
    <xf numFmtId="0" fontId="4" fillId="0" borderId="0" xfId="0" applyFont="1" applyAlignment="1">
      <alignment horizontal="center" vertical="center" wrapText="1"/>
    </xf>
    <xf numFmtId="0" fontId="4" fillId="0" borderId="5" xfId="0" applyFont="1" applyBorder="1" applyAlignment="1">
      <alignment horizontal="center" vertical="center" wrapText="1"/>
    </xf>
    <xf numFmtId="0" fontId="46" fillId="0" borderId="4" xfId="0" applyFont="1" applyBorder="1" applyAlignment="1">
      <alignment horizontal="left" wrapText="1"/>
    </xf>
    <xf numFmtId="0" fontId="46" fillId="0" borderId="5" xfId="0" applyFont="1" applyBorder="1" applyAlignment="1">
      <alignment horizontal="left" wrapText="1"/>
    </xf>
    <xf numFmtId="0" fontId="46" fillId="0" borderId="4" xfId="0" applyFont="1" applyBorder="1" applyAlignment="1">
      <alignment horizontal="left"/>
    </xf>
    <xf numFmtId="0" fontId="46" fillId="0" borderId="0" xfId="0" applyFont="1" applyAlignment="1">
      <alignment horizontal="left"/>
    </xf>
    <xf numFmtId="0" fontId="46" fillId="0" borderId="5" xfId="0" applyFont="1" applyBorder="1" applyAlignment="1">
      <alignment horizontal="left"/>
    </xf>
    <xf numFmtId="0" fontId="2" fillId="0" borderId="126" xfId="0" applyFont="1" applyBorder="1" applyAlignment="1">
      <alignment horizontal="left" vertical="top" wrapText="1"/>
    </xf>
    <xf numFmtId="0" fontId="0" fillId="0" borderId="152" xfId="0" applyBorder="1" applyAlignment="1">
      <alignment horizontal="left" vertical="top"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Alignment="1">
      <alignment horizontal="left" wrapText="1"/>
    </xf>
    <xf numFmtId="0" fontId="8" fillId="2" borderId="5" xfId="0" applyFont="1" applyFill="1" applyBorder="1" applyAlignment="1">
      <alignment horizontal="left"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0" fontId="8" fillId="0" borderId="4" xfId="0" applyFont="1" applyBorder="1" applyAlignment="1">
      <alignment wrapText="1"/>
    </xf>
    <xf numFmtId="0" fontId="8" fillId="0" borderId="0" xfId="0" applyFont="1" applyAlignment="1">
      <alignment wrapText="1"/>
    </xf>
    <xf numFmtId="0" fontId="8" fillId="0" borderId="5" xfId="0" applyFont="1" applyBorder="1" applyAlignment="1">
      <alignment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7" fillId="13" borderId="0" xfId="0" applyFont="1" applyFill="1" applyAlignment="1">
      <alignment wrapText="1"/>
    </xf>
    <xf numFmtId="0" fontId="0" fillId="0" borderId="0" xfId="0"/>
    <xf numFmtId="0" fontId="8" fillId="0" borderId="59" xfId="0" applyFont="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Alignment="1">
      <alignment wrapText="1"/>
    </xf>
    <xf numFmtId="0" fontId="8" fillId="2" borderId="5" xfId="0" applyFont="1" applyFill="1" applyBorder="1" applyAlignment="1">
      <alignment wrapText="1"/>
    </xf>
    <xf numFmtId="173" fontId="18" fillId="0" borderId="12" xfId="16" applyFont="1" applyBorder="1"/>
    <xf numFmtId="0" fontId="0" fillId="0" borderId="12" xfId="0" applyBorder="1"/>
    <xf numFmtId="0" fontId="0" fillId="3" borderId="26" xfId="0" applyFill="1" applyBorder="1" applyAlignment="1">
      <alignment horizontal="center"/>
    </xf>
    <xf numFmtId="0" fontId="0" fillId="3" borderId="27" xfId="0" applyFill="1" applyBorder="1" applyAlignment="1">
      <alignment horizontal="center"/>
    </xf>
    <xf numFmtId="0" fontId="18" fillId="3" borderId="13" xfId="0" applyFont="1" applyFill="1" applyBorder="1" applyAlignment="1">
      <alignment wrapText="1"/>
    </xf>
    <xf numFmtId="0" fontId="19" fillId="3" borderId="16" xfId="0" applyFont="1" applyFill="1" applyBorder="1" applyAlignment="1">
      <alignment wrapText="1"/>
    </xf>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CCECFF"/>
      <color rgb="FF0000FF"/>
      <color rgb="FFFFA2A1"/>
      <color rgb="FFFF3300"/>
      <color rgb="FFFFFF66"/>
      <color rgb="FFFFCC99"/>
      <color rgb="FF97B757"/>
      <color rgb="FFB54E4B"/>
      <color rgb="FFF5FFE6"/>
      <color rgb="FFE4FD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Other Variable Operating Costs</c:v>
                </c:pt>
                <c:pt idx="6">
                  <c:v>Fixed Operating Cost</c:v>
                </c:pt>
                <c:pt idx="7">
                  <c:v>Initial Equity Depreciable Capital</c:v>
                </c:pt>
                <c:pt idx="8">
                  <c:v>Debt Interest</c:v>
                </c:pt>
                <c:pt idx="9">
                  <c:v>Other Raw Material Cost</c:v>
                </c:pt>
                <c:pt idx="10">
                  <c:v>Cash for Working Capital Reserve</c:v>
                </c:pt>
                <c:pt idx="11">
                  <c:v>Yearly Replacement Costs</c:v>
                </c:pt>
                <c:pt idx="12">
                  <c:v>Taxes</c:v>
                </c:pt>
                <c:pt idx="13">
                  <c:v>Principal Payment</c:v>
                </c:pt>
                <c:pt idx="14">
                  <c:v>Other Non-Depreciable Capital Costs</c:v>
                </c:pt>
                <c:pt idx="15">
                  <c:v>Decommissioning Costs</c:v>
                </c:pt>
              </c:strCache>
            </c:strRef>
          </c:cat>
          <c:val>
            <c:numRef>
              <c:f>'Tornado Charts &amp; Risk Analysis'!$I$155:$I$170</c:f>
              <c:numCache>
                <c:formatCode>_("$"* #,##0.00_);_("$"* \(#,##0.00\);_("$"* "-"??_);_(@_)</c:formatCode>
                <c:ptCount val="16"/>
                <c:pt idx="0">
                  <c:v>1.7362347671368916</c:v>
                </c:pt>
                <c:pt idx="1">
                  <c:v>1.385542706505071E-3</c:v>
                </c:pt>
                <c:pt idx="2">
                  <c:v>0</c:v>
                </c:pt>
                <c:pt idx="4">
                  <c:v>1.0713620728484385</c:v>
                </c:pt>
                <c:pt idx="5">
                  <c:v>0.20589836998997063</c:v>
                </c:pt>
                <c:pt idx="6">
                  <c:v>0.15273691382688664</c:v>
                </c:pt>
                <c:pt idx="7">
                  <c:v>0.13957089196592026</c:v>
                </c:pt>
                <c:pt idx="8">
                  <c:v>8.3427811068748803E-2</c:v>
                </c:pt>
                <c:pt idx="9">
                  <c:v>2.3322527898303188E-2</c:v>
                </c:pt>
                <c:pt idx="10">
                  <c:v>1.982055177363554E-2</c:v>
                </c:pt>
                <c:pt idx="11">
                  <c:v>1.783617240376029E-2</c:v>
                </c:pt>
                <c:pt idx="12">
                  <c:v>1.6358107275320492E-2</c:v>
                </c:pt>
                <c:pt idx="13">
                  <c:v>3.7477676170523879E-3</c:v>
                </c:pt>
                <c:pt idx="14">
                  <c:v>2.1621130547425983E-3</c:v>
                </c:pt>
                <c:pt idx="15">
                  <c:v>1.3770101206159633E-3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1.7362347671368916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1.385542706505071E-3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1.0713620728484385</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Other Variable Operating Costs</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0.20589836998997063</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Fixed Operating Cost</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0.15273691382688664</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Initial Equity Depreciable Capital</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0.13957089196592026</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8.3427811068748803E-2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Other Raw Material Cost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2.3322527898303188E-2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1.982055177363554E-2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Yearly Replacement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1.783617240376029E-2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Taxes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1.6358107275320492E-2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Principal Payment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3.7477676170523879E-3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2.1621130547425983E-3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1.3770101206159633E-3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1.7376203098433967</c:v>
                </c:pt>
                <c:pt idx="1">
                  <c:v>1.7376203098433951</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(95%, 90%, 86%)</c:v>
                </c:pt>
                <c:pt idx="1">
                  <c:v>Total Capital Investment
($739,294K, $778,205K, $817,115K) </c:v>
                </c:pt>
                <c:pt idx="2">
                  <c:v>Plant Design Capacity (kg of H2/day)
(693,000, 660,000, 627,000) </c:v>
                </c:pt>
                <c:pt idx="3">
                  <c:v>Total Fixed Operating Cost
($31,459K, $33,115K, $34,771K) </c:v>
                </c:pt>
                <c:pt idx="4">
                  <c:v>After-tax Real IRR
(8%, 8%, 8%)</c:v>
                </c:pt>
                <c:pt idx="5">
                  <c:v>Feedstock Consumption (% of baseline)
(95%, 100%, 105%)</c:v>
                </c:pt>
                <c:pt idx="6">
                  <c:v>#N/A</c:v>
                </c:pt>
              </c:strCache>
            </c:strRef>
          </c:cat>
          <c:val>
            <c:numRef>
              <c:f>'Tornado Charts &amp; Risk Analysis'!$H$101:$H$107</c:f>
              <c:numCache>
                <c:formatCode>General</c:formatCode>
                <c:ptCount val="7"/>
                <c:pt idx="0">
                  <c:v>1.7105620579941494</c:v>
                </c:pt>
                <c:pt idx="1">
                  <c:v>1.7211743419140393</c:v>
                </c:pt>
                <c:pt idx="2">
                  <c:v>1.7233721517105773</c:v>
                </c:pt>
                <c:pt idx="3">
                  <c:v>1.7287439889613923</c:v>
                </c:pt>
                <c:pt idx="4">
                  <c:v>1.7304926513326406</c:v>
                </c:pt>
                <c:pt idx="5">
                  <c:v>1.7365211887771219</c:v>
                </c:pt>
                <c:pt idx="6">
                  <c:v>#N/A</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($739,294K, $778,205K, $817,115K) </c:v>
                </c:pt>
                <c:pt idx="2">
                  <c:v>Plant Design Capacity (kg of H2/day)
(693,000, 660,000, 627,000) </c:v>
                </c:pt>
                <c:pt idx="3">
                  <c:v>Total Fixed Operating Cost
($31,459K, $33,115K, $34,771K) </c:v>
                </c:pt>
                <c:pt idx="4">
                  <c:v>After-tax Real IRR
(8%, 8%, 8%)</c:v>
                </c:pt>
                <c:pt idx="5">
                  <c:v>Feedstock Consumption (% of baseline)
(95%, 100%, 105%)</c:v>
                </c:pt>
                <c:pt idx="6">
                  <c:v>#N/A</c:v>
                </c:pt>
              </c:strCache>
            </c:strRef>
          </c:cat>
          <c:val>
            <c:numRef>
              <c:f>'Tornado Charts &amp; Risk Analysis'!$I$101:$I$107</c:f>
              <c:numCache>
                <c:formatCode>General</c:formatCode>
                <c:ptCount val="7"/>
                <c:pt idx="0">
                  <c:v>2.5959130782972517E-2</c:v>
                </c:pt>
                <c:pt idx="1">
                  <c:v>1.534684686308263E-2</c:v>
                </c:pt>
                <c:pt idx="2">
                  <c:v>1.3149037066544578E-2</c:v>
                </c:pt>
                <c:pt idx="3">
                  <c:v>7.7771998157296629E-3</c:v>
                </c:pt>
                <c:pt idx="4">
                  <c:v>6.0285374444812856E-3</c:v>
                </c:pt>
                <c:pt idx="5">
                  <c:v>0</c:v>
                </c:pt>
                <c:pt idx="6">
                  <c:v>#N/A</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(95%, 90%, 86%)</c:v>
                </c:pt>
                <c:pt idx="1">
                  <c:v>Total Capital Investment
($739,294K, $778,205K, $817,115K) </c:v>
                </c:pt>
                <c:pt idx="2">
                  <c:v>Plant Design Capacity (kg of H2/day)
(693,000, 660,000, 627,000) </c:v>
                </c:pt>
                <c:pt idx="3">
                  <c:v>Total Fixed Operating Cost
($31,459K, $33,115K, $34,771K) </c:v>
                </c:pt>
                <c:pt idx="4">
                  <c:v>After-tax Real IRR
(8%, 8%, 8%)</c:v>
                </c:pt>
                <c:pt idx="5">
                  <c:v>Feedstock Consumption (% of baseline)
(95%, 100%, 105%)</c:v>
                </c:pt>
                <c:pt idx="6">
                  <c:v>#N/A</c:v>
                </c:pt>
              </c:strCache>
            </c:strRef>
          </c:cat>
          <c:val>
            <c:numRef>
              <c:f>'Tornado Charts &amp; Risk Analysis'!$J$101:$J$107</c:f>
              <c:numCache>
                <c:formatCode>General</c:formatCode>
                <c:ptCount val="7"/>
                <c:pt idx="0">
                  <c:v>2.8689269364735148E-2</c:v>
                </c:pt>
                <c:pt idx="1">
                  <c:v>1.5346846863081964E-2</c:v>
                </c:pt>
                <c:pt idx="2">
                  <c:v>1.4317582995863276E-2</c:v>
                </c:pt>
                <c:pt idx="3">
                  <c:v>7.7771998157281086E-3</c:v>
                </c:pt>
                <c:pt idx="4">
                  <c:v>6.4083735879298942E-3</c:v>
                </c:pt>
                <c:pt idx="5">
                  <c:v>0</c:v>
                </c:pt>
                <c:pt idx="6">
                  <c:v>#N/A</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1.7105620579941494</c:v>
                </c:pt>
                <c:pt idx="1">
                  <c:v>1.7211743419140393</c:v>
                </c:pt>
                <c:pt idx="2">
                  <c:v>1.7233721517105773</c:v>
                </c:pt>
                <c:pt idx="3">
                  <c:v>1.7287439889613923</c:v>
                </c:pt>
                <c:pt idx="4">
                  <c:v>1.7304926513326406</c:v>
                </c:pt>
                <c:pt idx="5">
                  <c:v>1.7365211887771219</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1.7652104581418571</c:v>
                </c:pt>
                <c:pt idx="1">
                  <c:v>1.7518680356402039</c:v>
                </c:pt>
                <c:pt idx="2">
                  <c:v>1.7508387717729852</c:v>
                </c:pt>
                <c:pt idx="3">
                  <c:v>1.74429838859285</c:v>
                </c:pt>
                <c:pt idx="4">
                  <c:v>1.7429295623650518</c:v>
                </c:pt>
                <c:pt idx="5">
                  <c:v>1.7365211887771219</c:v>
                </c:pt>
                <c:pt idx="6">
                  <c:v>#N/A</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1.7365211887771219</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Analysis'!$E$175:$E$181</c:f>
              <c:numCache>
                <c:formatCode>_("$"* #,##0.00_);_("$"* \(#,##0.00\);_("$"* "-"??_);_(@_)</c:formatCode>
                <c:ptCount val="7"/>
                <c:pt idx="0">
                  <c:v>1.7365211887771219</c:v>
                </c:pt>
                <c:pt idx="1">
                  <c:v>1.7105620579941494</c:v>
                </c:pt>
                <c:pt idx="2">
                  <c:v>1.6959460133626425</c:v>
                </c:pt>
                <c:pt idx="3">
                  <c:v>1.6887132185633427</c:v>
                </c:pt>
                <c:pt idx="4">
                  <c:v>1.6887132185633427</c:v>
                </c:pt>
                <c:pt idx="5">
                  <c:v>1.6887132185633427</c:v>
                </c:pt>
                <c:pt idx="6">
                  <c:v>1.6887132185633427</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Analysis'!$F$175:$F$181</c:f>
              <c:numCache>
                <c:formatCode>_("$"* #,##0.00_);_("$"* \(#,##0.00\);_("$"* "-"??_);_(@_)</c:formatCode>
                <c:ptCount val="7"/>
                <c:pt idx="1">
                  <c:v>2.5959130782972517E-2</c:v>
                </c:pt>
                <c:pt idx="2">
                  <c:v>1.4616044631506897E-2</c:v>
                </c:pt>
                <c:pt idx="3">
                  <c:v>7.2327947992998354E-3</c:v>
                </c:pt>
                <c:pt idx="4">
                  <c:v>0</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#N/A</c:v>
                </c:pt>
                <c:pt idx="5">
                  <c:v>Feedstock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1.6975789850028884</c:v>
                </c:pt>
                <c:pt idx="1">
                  <c:v>1.7022557697249934</c:v>
                </c:pt>
                <c:pt idx="2">
                  <c:v>1.7069325544470983</c:v>
                </c:pt>
                <c:pt idx="3">
                  <c:v>1.7116093391692033</c:v>
                </c:pt>
                <c:pt idx="4">
                  <c:v>1.7162861238913083</c:v>
                </c:pt>
                <c:pt idx="5">
                  <c:v>1.7209629086134133</c:v>
                </c:pt>
                <c:pt idx="6">
                  <c:v>1.7256396933355183</c:v>
                </c:pt>
                <c:pt idx="7">
                  <c:v>1.7303164780576232</c:v>
                </c:pt>
                <c:pt idx="8">
                  <c:v>1.7349932627797282</c:v>
                </c:pt>
                <c:pt idx="9">
                  <c:v>1.7396700475018332</c:v>
                </c:pt>
                <c:pt idx="10">
                  <c:v>1.7443468322239382</c:v>
                </c:pt>
                <c:pt idx="11">
                  <c:v>1.7490236169460431</c:v>
                </c:pt>
                <c:pt idx="12">
                  <c:v>1.7537004016681481</c:v>
                </c:pt>
                <c:pt idx="13">
                  <c:v>1.7583771863902531</c:v>
                </c:pt>
                <c:pt idx="14">
                  <c:v>1.7630539711123581</c:v>
                </c:pt>
                <c:pt idx="15">
                  <c:v>1.767730755834463</c:v>
                </c:pt>
                <c:pt idx="16">
                  <c:v>1.772407540556568</c:v>
                </c:pt>
                <c:pt idx="17">
                  <c:v>1.777084325278673</c:v>
                </c:pt>
                <c:pt idx="18">
                  <c:v>1.781761110000778</c:v>
                </c:pt>
                <c:pt idx="19">
                  <c:v>1.7864383947228828</c:v>
                </c:pt>
              </c:numCache>
            </c:numRef>
          </c:xVal>
          <c:yVal>
            <c:numRef>
              <c:f>'Tornado Charts &amp; Risk Analysis'!$I$202:$I$221</c:f>
              <c:numCache>
                <c:formatCode>General</c:formatCode>
                <c:ptCount val="20"/>
                <c:pt idx="0">
                  <c:v>2E-3</c:v>
                </c:pt>
                <c:pt idx="1">
                  <c:v>9.4999999999999998E-3</c:v>
                </c:pt>
                <c:pt idx="2">
                  <c:v>2.7000000000000003E-2</c:v>
                </c:pt>
                <c:pt idx="3">
                  <c:v>6.0000000000000005E-2</c:v>
                </c:pt>
                <c:pt idx="4">
                  <c:v>0.1135</c:v>
                </c:pt>
                <c:pt idx="5">
                  <c:v>0.1825</c:v>
                </c:pt>
                <c:pt idx="6">
                  <c:v>0.28000000000000003</c:v>
                </c:pt>
                <c:pt idx="7">
                  <c:v>0.39350000000000002</c:v>
                </c:pt>
                <c:pt idx="8">
                  <c:v>0.52849999999999997</c:v>
                </c:pt>
                <c:pt idx="9">
                  <c:v>0.65449999999999997</c:v>
                </c:pt>
                <c:pt idx="10">
                  <c:v>0.752</c:v>
                </c:pt>
                <c:pt idx="11">
                  <c:v>0.82899999999999996</c:v>
                </c:pt>
                <c:pt idx="12">
                  <c:v>0.90199999999999991</c:v>
                </c:pt>
                <c:pt idx="13">
                  <c:v>0.9444999999999999</c:v>
                </c:pt>
                <c:pt idx="14">
                  <c:v>0.96999999999999986</c:v>
                </c:pt>
                <c:pt idx="15">
                  <c:v>0.98949999999999982</c:v>
                </c:pt>
                <c:pt idx="16">
                  <c:v>0.99649999999999983</c:v>
                </c:pt>
                <c:pt idx="17">
                  <c:v>0.99899999999999978</c:v>
                </c:pt>
                <c:pt idx="18">
                  <c:v>0.99949999999999972</c:v>
                </c:pt>
                <c:pt idx="19">
                  <c:v>0.99999999999999967</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1.6975789850028884</c:v>
                </c:pt>
                <c:pt idx="1">
                  <c:v>1.7022557697249934</c:v>
                </c:pt>
                <c:pt idx="2">
                  <c:v>1.7069325544470983</c:v>
                </c:pt>
                <c:pt idx="3">
                  <c:v>1.7116093391692033</c:v>
                </c:pt>
                <c:pt idx="4">
                  <c:v>1.7162861238913083</c:v>
                </c:pt>
                <c:pt idx="5">
                  <c:v>1.7209629086134133</c:v>
                </c:pt>
                <c:pt idx="6">
                  <c:v>1.7256396933355183</c:v>
                </c:pt>
                <c:pt idx="7">
                  <c:v>1.7303164780576232</c:v>
                </c:pt>
                <c:pt idx="8">
                  <c:v>1.7349932627797282</c:v>
                </c:pt>
                <c:pt idx="9">
                  <c:v>1.7396700475018332</c:v>
                </c:pt>
                <c:pt idx="10">
                  <c:v>1.7443468322239382</c:v>
                </c:pt>
                <c:pt idx="11">
                  <c:v>1.7490236169460431</c:v>
                </c:pt>
                <c:pt idx="12">
                  <c:v>1.7537004016681481</c:v>
                </c:pt>
                <c:pt idx="13">
                  <c:v>1.7583771863902531</c:v>
                </c:pt>
                <c:pt idx="14">
                  <c:v>1.7630539711123581</c:v>
                </c:pt>
                <c:pt idx="15">
                  <c:v>1.767730755834463</c:v>
                </c:pt>
                <c:pt idx="16">
                  <c:v>1.772407540556568</c:v>
                </c:pt>
                <c:pt idx="17">
                  <c:v>1.777084325278673</c:v>
                </c:pt>
                <c:pt idx="18">
                  <c:v>1.781761110000778</c:v>
                </c:pt>
                <c:pt idx="19">
                  <c:v>1.7864383947228828</c:v>
                </c:pt>
              </c:numCache>
            </c:numRef>
          </c:xVal>
          <c:yVal>
            <c:numRef>
              <c:f>'Tornado Charts &amp; Risk Analysis'!$H$202:$H$221</c:f>
              <c:numCache>
                <c:formatCode>General</c:formatCode>
                <c:ptCount val="20"/>
                <c:pt idx="0">
                  <c:v>2E-3</c:v>
                </c:pt>
                <c:pt idx="1">
                  <c:v>7.4999999999999997E-3</c:v>
                </c:pt>
                <c:pt idx="2">
                  <c:v>1.7500000000000002E-2</c:v>
                </c:pt>
                <c:pt idx="3">
                  <c:v>3.3000000000000002E-2</c:v>
                </c:pt>
                <c:pt idx="4">
                  <c:v>5.3499999999999999E-2</c:v>
                </c:pt>
                <c:pt idx="5">
                  <c:v>6.9000000000000006E-2</c:v>
                </c:pt>
                <c:pt idx="6">
                  <c:v>9.7500000000000003E-2</c:v>
                </c:pt>
                <c:pt idx="7">
                  <c:v>0.1135</c:v>
                </c:pt>
                <c:pt idx="8">
                  <c:v>0.13500000000000001</c:v>
                </c:pt>
                <c:pt idx="9">
                  <c:v>0.126</c:v>
                </c:pt>
                <c:pt idx="10">
                  <c:v>9.7500000000000003E-2</c:v>
                </c:pt>
                <c:pt idx="11">
                  <c:v>7.6999999999999999E-2</c:v>
                </c:pt>
                <c:pt idx="12">
                  <c:v>7.2999999999999995E-2</c:v>
                </c:pt>
                <c:pt idx="13">
                  <c:v>4.2500000000000003E-2</c:v>
                </c:pt>
                <c:pt idx="14">
                  <c:v>2.5499999999999998E-2</c:v>
                </c:pt>
                <c:pt idx="15">
                  <c:v>1.95E-2</c:v>
                </c:pt>
                <c:pt idx="16">
                  <c:v>7.0000000000000001E-3</c:v>
                </c:pt>
                <c:pt idx="17">
                  <c:v>2.5000000000000001E-3</c:v>
                </c:pt>
                <c:pt idx="18">
                  <c:v>5.0000000000000001E-4</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1948543</xdr:colOff>
      <xdr:row>2</xdr:row>
      <xdr:rowOff>32640</xdr:rowOff>
    </xdr:from>
    <xdr:to>
      <xdr:col>5</xdr:col>
      <xdr:colOff>48618</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absolute">
    <xdr:from>
      <xdr:col>1</xdr:col>
      <xdr:colOff>2770909</xdr:colOff>
      <xdr:row>4</xdr:row>
      <xdr:rowOff>110837</xdr:rowOff>
    </xdr:from>
    <xdr:to>
      <xdr:col>15</xdr:col>
      <xdr:colOff>174931</xdr:colOff>
      <xdr:row>27</xdr:row>
      <xdr:rowOff>128876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extLst>
            <a:ext uri="{28A0092B-C50C-407E-A947-70E740481C1C}">
              <a14:useLocalDpi xmlns:a14="http://schemas.microsoft.com/office/drawing/2010/main" val="0"/>
            </a:ext>
          </a:extLst>
        </a:blip>
        <a:stretch>
          <a:fillRect/>
        </a:stretch>
      </xdr:blipFill>
      <xdr:spPr bwMode="auto">
        <a:xfrm>
          <a:off x="3380509" y="872837"/>
          <a:ext cx="8226052" cy="3897312"/>
        </a:xfrm>
        <a:prstGeom prst="rect">
          <a:avLst/>
        </a:prstGeom>
        <a:noFill/>
        <a:ln>
          <a:no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222</xdr:row>
      <xdr:rowOff>0</xdr:rowOff>
    </xdr:from>
    <xdr:to>
      <xdr:col>2</xdr:col>
      <xdr:colOff>76200</xdr:colOff>
      <xdr:row>223</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129</xdr:row>
      <xdr:rowOff>289433</xdr:rowOff>
    </xdr:from>
    <xdr:to>
      <xdr:col>5</xdr:col>
      <xdr:colOff>681318</xdr:colOff>
      <xdr:row>131</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132</xdr:row>
      <xdr:rowOff>143435</xdr:rowOff>
    </xdr:from>
    <xdr:to>
      <xdr:col>4</xdr:col>
      <xdr:colOff>645460</xdr:colOff>
      <xdr:row>133</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132</xdr:row>
      <xdr:rowOff>152400</xdr:rowOff>
    </xdr:from>
    <xdr:to>
      <xdr:col>5</xdr:col>
      <xdr:colOff>1156447</xdr:colOff>
      <xdr:row>134</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150</xdr:row>
      <xdr:rowOff>17930</xdr:rowOff>
    </xdr:from>
    <xdr:to>
      <xdr:col>4</xdr:col>
      <xdr:colOff>762001</xdr:colOff>
      <xdr:row>150</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0</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213360</xdr:rowOff>
        </xdr:from>
        <xdr:to>
          <xdr:col>3</xdr:col>
          <xdr:colOff>1066800</xdr:colOff>
          <xdr:row>41</xdr:row>
          <xdr:rowOff>213360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213360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112</xdr:row>
          <xdr:rowOff>0</xdr:rowOff>
        </xdr:from>
        <xdr:to>
          <xdr:col>3</xdr:col>
          <xdr:colOff>1066800</xdr:colOff>
          <xdr:row>113</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22860</xdr:rowOff>
        </xdr:from>
        <xdr:to>
          <xdr:col>3</xdr:col>
          <xdr:colOff>1066800</xdr:colOff>
          <xdr:row>115</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129</xdr:row>
      <xdr:rowOff>301869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5919421" y="34152254"/>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129</xdr:row>
      <xdr:rowOff>301869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998177" y="34152254"/>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0.18842</cdr:x>
      <cdr:y>0.17073</cdr:y>
    </cdr:to>
    <cdr:sp macro="" textlink="'Tornado Charts &amp; Risk Analysis'!$H$155">
      <cdr:nvSpPr>
        <cdr:cNvPr id="3" name="TextBox 2"/>
        <cdr:cNvSpPr txBox="1"/>
      </cdr:nvSpPr>
      <cdr:spPr>
        <a:xfrm xmlns:a="http://schemas.openxmlformats.org/drawingml/2006/main">
          <a:off x="0" y="513491"/>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0.16118</cdr:x>
      <cdr:y>0.22296</cdr:y>
    </cdr:to>
    <cdr:sp macro="" textlink="'Tornado Charts &amp; Risk Analysis'!$H$156">
      <cdr:nvSpPr>
        <cdr:cNvPr id="4" name="TextBox 1"/>
        <cdr:cNvSpPr txBox="1"/>
      </cdr:nvSpPr>
      <cdr:spPr>
        <a:xfrm xmlns:a="http://schemas.openxmlformats.org/drawingml/2006/main">
          <a:off x="0" y="743940"/>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0.1782</cdr:x>
      <cdr:y>0.27398</cdr:y>
    </cdr:to>
    <cdr:sp macro="" textlink="'Tornado Charts &amp; Risk Analysis'!$H$157">
      <cdr:nvSpPr>
        <cdr:cNvPr id="5" name="TextBox 1"/>
        <cdr:cNvSpPr txBox="1"/>
      </cdr:nvSpPr>
      <cdr:spPr>
        <a:xfrm xmlns:a="http://schemas.openxmlformats.org/drawingml/2006/main">
          <a:off x="0" y="96905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0.17138</cdr:x>
      <cdr:y>0.37802</cdr:y>
    </cdr:to>
    <cdr:sp macro="" textlink="'Tornado Charts &amp; Risk Analysis'!$H$159">
      <cdr:nvSpPr>
        <cdr:cNvPr id="6" name="TextBox 1"/>
        <cdr:cNvSpPr txBox="1"/>
      </cdr:nvSpPr>
      <cdr:spPr>
        <a:xfrm xmlns:a="http://schemas.openxmlformats.org/drawingml/2006/main">
          <a:off x="0" y="142809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0.31512</cdr:x>
      <cdr:y>0.42925</cdr:y>
    </cdr:to>
    <cdr:sp macro="" textlink="'Tornado Charts &amp; Risk Analysis'!$H$160">
      <cdr:nvSpPr>
        <cdr:cNvPr id="7" name="TextBox 1"/>
        <cdr:cNvSpPr txBox="1"/>
      </cdr:nvSpPr>
      <cdr:spPr>
        <a:xfrm xmlns:a="http://schemas.openxmlformats.org/drawingml/2006/main">
          <a:off x="0" y="1651976"/>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0.22294</cdr:x>
      <cdr:y>0.48121</cdr:y>
    </cdr:to>
    <cdr:sp macro="" textlink="'Tornado Charts &amp; Risk Analysis'!$H$161">
      <cdr:nvSpPr>
        <cdr:cNvPr id="8" name="TextBox 1"/>
        <cdr:cNvSpPr txBox="1"/>
      </cdr:nvSpPr>
      <cdr:spPr>
        <a:xfrm xmlns:a="http://schemas.openxmlformats.org/drawingml/2006/main">
          <a:off x="0" y="1880972"/>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0.32421</cdr:x>
      <cdr:y>0.53284</cdr:y>
    </cdr:to>
    <cdr:sp macro="" textlink="'Tornado Charts &amp; Risk Analysis'!$H$162">
      <cdr:nvSpPr>
        <cdr:cNvPr id="9" name="TextBox 1"/>
        <cdr:cNvSpPr txBox="1"/>
      </cdr:nvSpPr>
      <cdr:spPr>
        <a:xfrm xmlns:a="http://schemas.openxmlformats.org/drawingml/2006/main">
          <a:off x="0" y="210851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0.14671</cdr:x>
      <cdr:y>0.58463</cdr:y>
    </cdr:to>
    <cdr:sp macro="" textlink="'Tornado Charts &amp; Risk Analysis'!$H$163">
      <cdr:nvSpPr>
        <cdr:cNvPr id="10" name="TextBox 1"/>
        <cdr:cNvSpPr txBox="1"/>
      </cdr:nvSpPr>
      <cdr:spPr>
        <a:xfrm xmlns:a="http://schemas.openxmlformats.org/drawingml/2006/main">
          <a:off x="0" y="2336758"/>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0.25363</cdr:x>
      <cdr:y>0.63687</cdr:y>
    </cdr:to>
    <cdr:sp macro="" textlink="'Tornado Charts &amp; Risk Analysis'!$H$164">
      <cdr:nvSpPr>
        <cdr:cNvPr id="11" name="TextBox 1"/>
        <cdr:cNvSpPr txBox="1"/>
      </cdr:nvSpPr>
      <cdr:spPr>
        <a:xfrm xmlns:a="http://schemas.openxmlformats.org/drawingml/2006/main">
          <a:off x="0" y="2566988"/>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0.33897</cdr:x>
      <cdr:y>0.68772</cdr:y>
    </cdr:to>
    <cdr:sp macro="" textlink="'Tornado Charts &amp; Risk Analysis'!$H$165">
      <cdr:nvSpPr>
        <cdr:cNvPr id="12" name="TextBox 1"/>
        <cdr:cNvSpPr txBox="1"/>
      </cdr:nvSpPr>
      <cdr:spPr>
        <a:xfrm xmlns:a="http://schemas.openxmlformats.org/drawingml/2006/main">
          <a:off x="0" y="2791091"/>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0.27186</cdr:x>
      <cdr:y>0.73996</cdr:y>
    </cdr:to>
    <cdr:sp macro="" textlink="'Tornado Charts &amp; Risk Analysis'!$H$166">
      <cdr:nvSpPr>
        <cdr:cNvPr id="13" name="TextBox 1"/>
        <cdr:cNvSpPr txBox="1"/>
      </cdr:nvSpPr>
      <cdr:spPr>
        <a:xfrm xmlns:a="http://schemas.openxmlformats.org/drawingml/2006/main">
          <a:off x="0" y="302132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0.08507</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0.19408</cdr:x>
      <cdr:y>0.84321</cdr:y>
    </cdr:to>
    <cdr:sp macro="" textlink="'Tornado Charts &amp; Risk Analysis'!$H$168">
      <cdr:nvSpPr>
        <cdr:cNvPr id="15" name="TextBox 1"/>
        <cdr:cNvSpPr txBox="1"/>
      </cdr:nvSpPr>
      <cdr:spPr>
        <a:xfrm xmlns:a="http://schemas.openxmlformats.org/drawingml/2006/main">
          <a:off x="0" y="3480602"/>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0.36668</cdr:x>
      <cdr:y>0.89495</cdr:y>
    </cdr:to>
    <cdr:sp macro="" textlink="'Tornado Charts &amp; Risk Analysis'!$H$169">
      <cdr:nvSpPr>
        <cdr:cNvPr id="16" name="TextBox 1"/>
        <cdr:cNvSpPr txBox="1"/>
      </cdr:nvSpPr>
      <cdr:spPr>
        <a:xfrm xmlns:a="http://schemas.openxmlformats.org/drawingml/2006/main">
          <a:off x="0" y="3708889"/>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0.24855</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71853" y="1605752"/>
          <a:ext cx="6471150" cy="140414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Other Variable Operating Costs</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Fixed Operating Cost</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Initial Equity Depreciable Capital</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Other Raw Material Cost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Yearly Replacement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Taxes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Principal Payment</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Other Non-Depreciable Capital Costs</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($739,294K, $778,205K, $817,115K)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Plant Design Capacity (kg of H2/day)
(693,000, 660,000, 627,000)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($31,459K, $33,115K, $34,771K)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#N/A</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251460</xdr:colOff>
          <xdr:row>1</xdr:row>
          <xdr:rowOff>22860</xdr:rowOff>
        </xdr:from>
        <xdr:to>
          <xdr:col>13</xdr:col>
          <xdr:colOff>38100</xdr:colOff>
          <xdr:row>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68</xdr:row>
          <xdr:rowOff>60960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mailto:mike.penev@nrel.gov" TargetMode="External"/><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6" Type="http://schemas.openxmlformats.org/officeDocument/2006/relationships/drawing" Target="../drawings/drawing1.xml"/><Relationship Id="rId5" Type="http://schemas.openxmlformats.org/officeDocument/2006/relationships/hyperlink" Target="https://netl.doe.gov/energy-analysis/details?id=ed4825aa-8f04-4df7-abef-60e564f636c9" TargetMode="External"/><Relationship Id="rId4" Type="http://schemas.openxmlformats.org/officeDocument/2006/relationships/hyperlink" Target="http://www.nrel.gov/"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netl.doe.gov/energy-analysis/details?id=ed4825aa-8f04-4df7-abef-60e564f636c9"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netl.doe.gov/energy-analysis/details?id=b37414b7-20d3-4fb2-bca6-b6146b26198a" TargetMode="External"/><Relationship Id="rId1" Type="http://schemas.openxmlformats.org/officeDocument/2006/relationships/hyperlink" Target="https://edx.netl.doe.gov/dataset/fe-netl-co2-saline-storage-cost-model-2017" TargetMode="External"/><Relationship Id="rId4" Type="http://schemas.openxmlformats.org/officeDocument/2006/relationships/drawing" Target="../drawings/drawing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7"/>
  <sheetViews>
    <sheetView tabSelected="1" workbookViewId="0">
      <selection activeCell="B2" sqref="B2"/>
    </sheetView>
  </sheetViews>
  <sheetFormatPr defaultRowHeight="13.2" x14ac:dyDescent="0.25"/>
  <cols>
    <col min="2" max="2" width="36.6640625" customWidth="1"/>
    <col min="3" max="3" width="44.6640625" customWidth="1"/>
    <col min="4" max="4" width="64.88671875" customWidth="1"/>
    <col min="5" max="5" width="126.44140625" customWidth="1"/>
  </cols>
  <sheetData>
    <row r="2" spans="2:4" ht="39" customHeight="1" x14ac:dyDescent="0.5">
      <c r="B2" s="651" t="s">
        <v>402</v>
      </c>
    </row>
    <row r="4" spans="2:4" ht="13.8" thickBot="1" x14ac:dyDescent="0.3"/>
    <row r="5" spans="2:4" ht="27" thickTop="1" x14ac:dyDescent="0.25">
      <c r="B5" s="652" t="s">
        <v>208</v>
      </c>
      <c r="C5" s="1303" t="s">
        <v>1315</v>
      </c>
      <c r="D5" s="979"/>
    </row>
    <row r="6" spans="2:4" x14ac:dyDescent="0.25">
      <c r="B6" s="653" t="s">
        <v>209</v>
      </c>
      <c r="C6" s="978" t="s">
        <v>1196</v>
      </c>
      <c r="D6" s="979"/>
    </row>
    <row r="7" spans="2:4" x14ac:dyDescent="0.25">
      <c r="B7" s="653" t="s">
        <v>210</v>
      </c>
      <c r="C7" s="978" t="s">
        <v>1240</v>
      </c>
      <c r="D7" s="979"/>
    </row>
    <row r="8" spans="2:4" x14ac:dyDescent="0.25">
      <c r="B8" s="653" t="s">
        <v>211</v>
      </c>
      <c r="C8" s="978" t="s">
        <v>1241</v>
      </c>
      <c r="D8" s="979"/>
    </row>
    <row r="9" spans="2:4" x14ac:dyDescent="0.25">
      <c r="B9" s="653" t="s">
        <v>212</v>
      </c>
      <c r="C9" s="773" t="s">
        <v>1242</v>
      </c>
      <c r="D9" s="654"/>
    </row>
    <row r="10" spans="2:4" x14ac:dyDescent="0.25">
      <c r="B10" s="653" t="s">
        <v>213</v>
      </c>
      <c r="C10" s="978" t="s">
        <v>811</v>
      </c>
      <c r="D10" s="979"/>
    </row>
    <row r="11" spans="2:4" x14ac:dyDescent="0.25">
      <c r="B11" s="653" t="s">
        <v>214</v>
      </c>
      <c r="C11" s="1304">
        <v>44656</v>
      </c>
      <c r="D11" s="1054"/>
    </row>
    <row r="12" spans="2:4" ht="13.8" thickBot="1" x14ac:dyDescent="0.3">
      <c r="B12" s="655" t="s">
        <v>215</v>
      </c>
      <c r="C12" s="774" t="s">
        <v>1195</v>
      </c>
      <c r="D12" s="979"/>
    </row>
    <row r="13" spans="2:4" ht="14.4" thickTop="1" thickBot="1" x14ac:dyDescent="0.3">
      <c r="B13" s="656"/>
      <c r="C13" s="979"/>
      <c r="D13" s="1055"/>
    </row>
    <row r="14" spans="2:4" ht="13.8" thickTop="1" x14ac:dyDescent="0.25">
      <c r="B14" s="652" t="s">
        <v>216</v>
      </c>
      <c r="C14" s="1305">
        <v>660000</v>
      </c>
      <c r="D14" s="1055"/>
    </row>
    <row r="15" spans="2:4" x14ac:dyDescent="0.25">
      <c r="B15" s="653" t="s">
        <v>217</v>
      </c>
      <c r="C15" s="1118">
        <v>2015</v>
      </c>
      <c r="D15" s="657"/>
    </row>
    <row r="16" spans="2:4" x14ac:dyDescent="0.25">
      <c r="B16" s="653" t="s">
        <v>218</v>
      </c>
      <c r="C16" s="1119" t="s">
        <v>280</v>
      </c>
      <c r="D16" s="1055"/>
    </row>
    <row r="17" spans="2:4" x14ac:dyDescent="0.25">
      <c r="B17" s="653" t="s">
        <v>219</v>
      </c>
      <c r="C17" s="1119" t="s">
        <v>1253</v>
      </c>
      <c r="D17" s="1055"/>
    </row>
    <row r="18" spans="2:4" x14ac:dyDescent="0.25">
      <c r="B18" s="653" t="s">
        <v>220</v>
      </c>
      <c r="C18" s="1119" t="s">
        <v>1252</v>
      </c>
      <c r="D18" s="657"/>
    </row>
    <row r="19" spans="2:4" ht="53.4" x14ac:dyDescent="0.3">
      <c r="B19" s="653" t="s">
        <v>221</v>
      </c>
      <c r="C19" s="1119" t="s">
        <v>1373</v>
      </c>
      <c r="D19" s="1055"/>
    </row>
    <row r="20" spans="2:4" x14ac:dyDescent="0.25">
      <c r="B20" s="653" t="s">
        <v>222</v>
      </c>
      <c r="C20" s="1119" t="s">
        <v>1253</v>
      </c>
      <c r="D20" s="1055"/>
    </row>
    <row r="21" spans="2:4" x14ac:dyDescent="0.25">
      <c r="B21" s="653" t="s">
        <v>223</v>
      </c>
      <c r="C21" s="1119" t="s">
        <v>1253</v>
      </c>
      <c r="D21" s="1055"/>
    </row>
    <row r="22" spans="2:4" ht="26.4" x14ac:dyDescent="0.25">
      <c r="B22" s="658" t="s">
        <v>224</v>
      </c>
      <c r="C22" s="1118" t="s">
        <v>1254</v>
      </c>
      <c r="D22" s="1055"/>
    </row>
    <row r="23" spans="2:4" x14ac:dyDescent="0.25">
      <c r="B23" s="658" t="s">
        <v>225</v>
      </c>
      <c r="C23" s="1119" t="s">
        <v>1253</v>
      </c>
      <c r="D23" s="1055"/>
    </row>
    <row r="24" spans="2:4" ht="13.8" thickBot="1" x14ac:dyDescent="0.3">
      <c r="B24" s="655" t="s">
        <v>226</v>
      </c>
      <c r="C24" s="1120" t="s">
        <v>1255</v>
      </c>
      <c r="D24" s="1055"/>
    </row>
    <row r="25" spans="2:4" ht="14.4" thickTop="1" thickBot="1" x14ac:dyDescent="0.3">
      <c r="B25" s="656"/>
      <c r="C25" s="1055"/>
      <c r="D25" s="1055"/>
    </row>
    <row r="26" spans="2:4" x14ac:dyDescent="0.25">
      <c r="B26" s="1411" t="s">
        <v>227</v>
      </c>
      <c r="C26" s="1412"/>
      <c r="D26" s="1413"/>
    </row>
    <row r="27" spans="2:4" x14ac:dyDescent="0.25">
      <c r="B27" s="1057" t="s">
        <v>228</v>
      </c>
      <c r="C27" s="659" t="s">
        <v>229</v>
      </c>
      <c r="D27" s="1058" t="s">
        <v>1003</v>
      </c>
    </row>
    <row r="28" spans="2:4" ht="27" x14ac:dyDescent="0.3">
      <c r="B28" s="1059">
        <v>44677</v>
      </c>
      <c r="C28" s="1056" t="s">
        <v>1196</v>
      </c>
      <c r="D28" s="978" t="s">
        <v>1396</v>
      </c>
    </row>
    <row r="29" spans="2:4" ht="26.4" x14ac:dyDescent="0.25">
      <c r="B29" s="1084"/>
      <c r="C29" s="929"/>
      <c r="D29" s="1241" t="s">
        <v>1394</v>
      </c>
    </row>
    <row r="30" spans="2:4" ht="26.4" x14ac:dyDescent="0.25">
      <c r="B30" s="1059">
        <v>44656</v>
      </c>
      <c r="C30" s="1056" t="s">
        <v>1196</v>
      </c>
      <c r="D30" s="978" t="s">
        <v>1256</v>
      </c>
    </row>
    <row r="31" spans="2:4" ht="66" x14ac:dyDescent="0.25">
      <c r="B31" s="1059">
        <v>44656</v>
      </c>
      <c r="C31" s="1056" t="s">
        <v>1196</v>
      </c>
      <c r="D31" s="1242" t="s">
        <v>1413</v>
      </c>
    </row>
    <row r="32" spans="2:4" ht="26.4" x14ac:dyDescent="0.25">
      <c r="B32" s="1086"/>
      <c r="C32" s="929"/>
      <c r="D32" s="1241" t="s">
        <v>1408</v>
      </c>
    </row>
    <row r="33" spans="2:4" x14ac:dyDescent="0.25">
      <c r="B33" s="1086"/>
      <c r="C33" s="929"/>
      <c r="D33" s="1241" t="s">
        <v>1308</v>
      </c>
    </row>
    <row r="34" spans="2:4" x14ac:dyDescent="0.25">
      <c r="B34" s="1086"/>
      <c r="C34" s="929"/>
      <c r="D34" s="1085"/>
    </row>
    <row r="35" spans="2:4" x14ac:dyDescent="0.25">
      <c r="B35" s="1086"/>
      <c r="C35" s="929"/>
      <c r="D35" s="1085"/>
    </row>
    <row r="36" spans="2:4" x14ac:dyDescent="0.25">
      <c r="B36" s="1086"/>
      <c r="C36" s="929"/>
      <c r="D36" s="1085"/>
    </row>
    <row r="37" spans="2:4" x14ac:dyDescent="0.25">
      <c r="B37" s="1084"/>
      <c r="C37" s="929"/>
      <c r="D37" s="1085"/>
    </row>
    <row r="38" spans="2:4" x14ac:dyDescent="0.25">
      <c r="B38" s="1086"/>
      <c r="C38" s="929"/>
      <c r="D38" s="1085"/>
    </row>
    <row r="39" spans="2:4" x14ac:dyDescent="0.25">
      <c r="B39" s="1086"/>
      <c r="C39" s="929"/>
      <c r="D39" s="1085"/>
    </row>
    <row r="40" spans="2:4" x14ac:dyDescent="0.25">
      <c r="B40" s="1086"/>
      <c r="C40" s="929"/>
      <c r="D40" s="1085"/>
    </row>
    <row r="41" spans="2:4" x14ac:dyDescent="0.25">
      <c r="B41" s="1084"/>
      <c r="C41" s="929"/>
      <c r="D41" s="1085"/>
    </row>
    <row r="42" spans="2:4" x14ac:dyDescent="0.25">
      <c r="B42" s="1086"/>
      <c r="C42" s="929"/>
      <c r="D42" s="1085"/>
    </row>
    <row r="43" spans="2:4" x14ac:dyDescent="0.25">
      <c r="B43" s="1086"/>
      <c r="C43" s="929"/>
      <c r="D43" s="1085"/>
    </row>
    <row r="44" spans="2:4" x14ac:dyDescent="0.25">
      <c r="B44" s="1086"/>
      <c r="C44" s="929"/>
      <c r="D44" s="1085"/>
    </row>
    <row r="45" spans="2:4" x14ac:dyDescent="0.25">
      <c r="B45" s="1086"/>
      <c r="C45" s="929"/>
      <c r="D45" s="1085"/>
    </row>
    <row r="46" spans="2:4" x14ac:dyDescent="0.25">
      <c r="B46" s="1086"/>
      <c r="C46" s="929"/>
      <c r="D46" s="1085"/>
    </row>
    <row r="47" spans="2:4" ht="13.8" thickBot="1" x14ac:dyDescent="0.3">
      <c r="B47" s="1087"/>
      <c r="C47" s="1073"/>
      <c r="D47" s="1088"/>
    </row>
  </sheetData>
  <mergeCells count="1">
    <mergeCell ref="B26:D26"/>
  </mergeCells>
  <phoneticPr fontId="0" type="noConversion"/>
  <hyperlinks>
    <hyperlink ref="D33" r:id="rId1" xr:uid="{10CD8650-F54A-4EDB-AAB8-F10F99D2B7C7}"/>
    <hyperlink ref="D32" r:id="rId2" xr:uid="{2CCEDA75-7198-4D83-9195-0351673C74BE}"/>
    <hyperlink ref="C9" r:id="rId3" xr:uid="{5F3072FC-0A16-49CB-AD7E-CD8C775D05DE}"/>
    <hyperlink ref="C12" r:id="rId4" xr:uid="{6584FA9E-81E0-4FDE-92C9-C9B1C27154B6}"/>
    <hyperlink ref="D29" r:id="rId5" xr:uid="{0E8BD4E1-BB5A-4495-A85E-E03AE6E2F529}"/>
  </hyperlinks>
  <pageMargins left="0.75" right="0.75" top="1" bottom="1" header="0.5" footer="0.5"/>
  <headerFooter alignWithMargins="0"/>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workbookViewId="0"/>
  </sheetViews>
  <sheetFormatPr defaultRowHeight="13.2" x14ac:dyDescent="0.25"/>
  <cols>
    <col min="2" max="2" width="122" customWidth="1"/>
    <col min="3" max="3" width="41.6640625" customWidth="1"/>
    <col min="4" max="4" width="79.6640625" customWidth="1"/>
    <col min="5" max="5" width="17.33203125" customWidth="1"/>
  </cols>
  <sheetData>
    <row r="2" spans="2:2" ht="21" x14ac:dyDescent="0.5">
      <c r="B2" s="651" t="s">
        <v>403</v>
      </c>
    </row>
    <row r="6" spans="2:2" x14ac:dyDescent="0.25">
      <c r="B6" s="199" t="s">
        <v>203</v>
      </c>
    </row>
    <row r="7" spans="2:2" ht="40.200000000000003" x14ac:dyDescent="0.3">
      <c r="B7" s="980" t="s">
        <v>1316</v>
      </c>
    </row>
    <row r="8" spans="2:2" x14ac:dyDescent="0.25">
      <c r="B8" s="197"/>
    </row>
    <row r="9" spans="2:2" x14ac:dyDescent="0.25">
      <c r="B9" s="197"/>
    </row>
    <row r="10" spans="2:2" x14ac:dyDescent="0.25">
      <c r="B10" s="199" t="s">
        <v>204</v>
      </c>
    </row>
    <row r="11" spans="2:2" ht="145.19999999999999" x14ac:dyDescent="0.25">
      <c r="B11" s="980" t="s">
        <v>1317</v>
      </c>
    </row>
    <row r="12" spans="2:2" ht="26.4" x14ac:dyDescent="0.25">
      <c r="B12" s="980" t="s">
        <v>1273</v>
      </c>
    </row>
    <row r="13" spans="2:2" ht="39.6" x14ac:dyDescent="0.25">
      <c r="B13" s="980" t="s">
        <v>1318</v>
      </c>
    </row>
    <row r="14" spans="2:2" x14ac:dyDescent="0.25">
      <c r="B14" s="197"/>
    </row>
    <row r="15" spans="2:2" x14ac:dyDescent="0.25">
      <c r="B15" s="199" t="s">
        <v>205</v>
      </c>
    </row>
    <row r="16" spans="2:2" ht="132" x14ac:dyDescent="0.25">
      <c r="B16" s="980" t="s">
        <v>1272</v>
      </c>
    </row>
    <row r="17" spans="2:2" x14ac:dyDescent="0.25">
      <c r="B17" s="197"/>
    </row>
    <row r="18" spans="2:2" x14ac:dyDescent="0.25">
      <c r="B18" s="197"/>
    </row>
    <row r="19" spans="2:2" x14ac:dyDescent="0.25">
      <c r="B19" s="199" t="s">
        <v>206</v>
      </c>
    </row>
    <row r="20" spans="2:2" x14ac:dyDescent="0.25">
      <c r="B20" s="980" t="s">
        <v>1314</v>
      </c>
    </row>
    <row r="21" spans="2:2" x14ac:dyDescent="0.25">
      <c r="B21" s="197"/>
    </row>
    <row r="22" spans="2:2" x14ac:dyDescent="0.25">
      <c r="B22" s="1083" t="s">
        <v>207</v>
      </c>
    </row>
    <row r="23" spans="2:2" ht="26.4" x14ac:dyDescent="0.25">
      <c r="B23" s="775" t="s">
        <v>1395</v>
      </c>
    </row>
    <row r="24" spans="2:2" x14ac:dyDescent="0.25">
      <c r="B24" s="1354" t="s">
        <v>1394</v>
      </c>
    </row>
    <row r="25" spans="2:2" x14ac:dyDescent="0.25">
      <c r="B25" s="980"/>
    </row>
    <row r="26" spans="2:2" x14ac:dyDescent="0.25">
      <c r="B26" s="980"/>
    </row>
    <row r="27" spans="2:2" x14ac:dyDescent="0.25">
      <c r="B27" s="775"/>
    </row>
    <row r="78" ht="81" customHeight="1" x14ac:dyDescent="0.25"/>
    <row r="80" ht="97.5" customHeight="1" x14ac:dyDescent="0.25"/>
    <row r="82" ht="68.25" customHeight="1" x14ac:dyDescent="0.25"/>
    <row r="84" ht="63" customHeight="1" x14ac:dyDescent="0.25"/>
    <row r="86" ht="63.75" customHeight="1" x14ac:dyDescent="0.25"/>
    <row r="88" ht="37.5" customHeight="1" x14ac:dyDescent="0.25"/>
  </sheetData>
  <phoneticPr fontId="0" type="noConversion"/>
  <hyperlinks>
    <hyperlink ref="B24" r:id="rId1" xr:uid="{BC3930AE-CEAF-439A-AA25-74238A6CDD5B}"/>
  </hyperlinks>
  <pageMargins left="0.75" right="0.75" top="1" bottom="1" header="0.5" footer="0.5"/>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BI185"/>
  <sheetViews>
    <sheetView zoomScale="85" zoomScaleNormal="85" workbookViewId="0"/>
  </sheetViews>
  <sheetFormatPr defaultRowHeight="13.2" x14ac:dyDescent="0.25"/>
  <cols>
    <col min="2" max="2" width="47.6640625" customWidth="1"/>
    <col min="3" max="3" width="11.5546875" bestFit="1" customWidth="1"/>
    <col min="4" max="4" width="8.44140625" customWidth="1"/>
    <col min="5" max="5" width="9.6640625" bestFit="1" customWidth="1"/>
    <col min="6" max="6" width="8.33203125" bestFit="1" customWidth="1"/>
    <col min="7" max="7" width="7.109375" bestFit="1" customWidth="1"/>
    <col min="8" max="8" width="8.33203125" bestFit="1" customWidth="1"/>
    <col min="9" max="11" width="7.109375" bestFit="1" customWidth="1"/>
    <col min="12" max="12" width="9.6640625" bestFit="1" customWidth="1"/>
    <col min="13" max="13" width="7.6640625" bestFit="1" customWidth="1"/>
    <col min="14" max="14" width="8.33203125" bestFit="1" customWidth="1"/>
    <col min="15" max="15" width="9.6640625" bestFit="1" customWidth="1"/>
    <col min="16" max="16" width="8.33203125" bestFit="1" customWidth="1"/>
    <col min="17" max="17" width="7.6640625" bestFit="1" customWidth="1"/>
    <col min="18" max="19" width="9.33203125" bestFit="1" customWidth="1"/>
    <col min="20" max="20" width="9.6640625" bestFit="1" customWidth="1"/>
    <col min="21" max="21" width="9.33203125" bestFit="1" customWidth="1"/>
    <col min="22" max="23" width="14.109375" bestFit="1" customWidth="1"/>
    <col min="24" max="24" width="8.33203125" bestFit="1" customWidth="1"/>
    <col min="25" max="25" width="9.6640625" bestFit="1" customWidth="1"/>
    <col min="26" max="26" width="8.33203125" bestFit="1" customWidth="1"/>
    <col min="27" max="27" width="7.6640625" bestFit="1" customWidth="1"/>
    <col min="28" max="28" width="9.6640625" bestFit="1" customWidth="1"/>
    <col min="29" max="29" width="8.33203125" bestFit="1" customWidth="1"/>
    <col min="30" max="32" width="7.109375" bestFit="1" customWidth="1"/>
    <col min="33" max="33" width="7.6640625" bestFit="1" customWidth="1"/>
    <col min="34" max="34" width="7.109375" bestFit="1" customWidth="1"/>
    <col min="35" max="35" width="8.33203125" bestFit="1" customWidth="1"/>
    <col min="36" max="37" width="7.109375" bestFit="1" customWidth="1"/>
    <col min="38" max="40" width="8.33203125" bestFit="1" customWidth="1"/>
    <col min="41" max="41" width="9.6640625" bestFit="1" customWidth="1"/>
    <col min="42" max="43" width="8.33203125" bestFit="1" customWidth="1"/>
    <col min="44" max="44" width="9.6640625" bestFit="1" customWidth="1"/>
    <col min="45" max="45" width="11.33203125" bestFit="1" customWidth="1"/>
    <col min="46" max="46" width="7.6640625" bestFit="1" customWidth="1"/>
    <col min="47" max="47" width="9.6640625" bestFit="1" customWidth="1"/>
    <col min="48" max="49" width="7.44140625" customWidth="1"/>
    <col min="50" max="51" width="14.6640625" customWidth="1"/>
    <col min="52" max="52" width="31" bestFit="1" customWidth="1"/>
    <col min="53" max="53" width="31.44140625" bestFit="1" customWidth="1"/>
    <col min="258" max="258" width="10.33203125" customWidth="1"/>
    <col min="259" max="259" width="12" customWidth="1"/>
    <col min="260" max="260" width="17.6640625" customWidth="1"/>
    <col min="261" max="261" width="17.33203125" customWidth="1"/>
    <col min="262" max="263" width="31" customWidth="1"/>
    <col min="264" max="267" width="25.33203125" customWidth="1"/>
    <col min="514" max="514" width="10.33203125" customWidth="1"/>
    <col min="515" max="515" width="12" customWidth="1"/>
    <col min="516" max="516" width="17.6640625" customWidth="1"/>
    <col min="517" max="517" width="17.33203125" customWidth="1"/>
    <col min="518" max="519" width="31" customWidth="1"/>
    <col min="520" max="523" width="25.33203125" customWidth="1"/>
    <col min="770" max="770" width="10.33203125" customWidth="1"/>
    <col min="771" max="771" width="12" customWidth="1"/>
    <col min="772" max="772" width="17.6640625" customWidth="1"/>
    <col min="773" max="773" width="17.33203125" customWidth="1"/>
    <col min="774" max="775" width="31" customWidth="1"/>
    <col min="776" max="779" width="25.33203125" customWidth="1"/>
    <col min="1026" max="1026" width="10.33203125" customWidth="1"/>
    <col min="1027" max="1027" width="12" customWidth="1"/>
    <col min="1028" max="1028" width="17.6640625" customWidth="1"/>
    <col min="1029" max="1029" width="17.33203125" customWidth="1"/>
    <col min="1030" max="1031" width="31" customWidth="1"/>
    <col min="1032" max="1035" width="25.33203125" customWidth="1"/>
    <col min="1282" max="1282" width="10.33203125" customWidth="1"/>
    <col min="1283" max="1283" width="12" customWidth="1"/>
    <col min="1284" max="1284" width="17.6640625" customWidth="1"/>
    <col min="1285" max="1285" width="17.33203125" customWidth="1"/>
    <col min="1286" max="1287" width="31" customWidth="1"/>
    <col min="1288" max="1291" width="25.33203125" customWidth="1"/>
    <col min="1538" max="1538" width="10.33203125" customWidth="1"/>
    <col min="1539" max="1539" width="12" customWidth="1"/>
    <col min="1540" max="1540" width="17.6640625" customWidth="1"/>
    <col min="1541" max="1541" width="17.33203125" customWidth="1"/>
    <col min="1542" max="1543" width="31" customWidth="1"/>
    <col min="1544" max="1547" width="25.33203125" customWidth="1"/>
    <col min="1794" max="1794" width="10.33203125" customWidth="1"/>
    <col min="1795" max="1795" width="12" customWidth="1"/>
    <col min="1796" max="1796" width="17.6640625" customWidth="1"/>
    <col min="1797" max="1797" width="17.33203125" customWidth="1"/>
    <col min="1798" max="1799" width="31" customWidth="1"/>
    <col min="1800" max="1803" width="25.33203125" customWidth="1"/>
    <col min="2050" max="2050" width="10.33203125" customWidth="1"/>
    <col min="2051" max="2051" width="12" customWidth="1"/>
    <col min="2052" max="2052" width="17.6640625" customWidth="1"/>
    <col min="2053" max="2053" width="17.33203125" customWidth="1"/>
    <col min="2054" max="2055" width="31" customWidth="1"/>
    <col min="2056" max="2059" width="25.33203125" customWidth="1"/>
    <col min="2306" max="2306" width="10.33203125" customWidth="1"/>
    <col min="2307" max="2307" width="12" customWidth="1"/>
    <col min="2308" max="2308" width="17.6640625" customWidth="1"/>
    <col min="2309" max="2309" width="17.33203125" customWidth="1"/>
    <col min="2310" max="2311" width="31" customWidth="1"/>
    <col min="2312" max="2315" width="25.33203125" customWidth="1"/>
    <col min="2562" max="2562" width="10.33203125" customWidth="1"/>
    <col min="2563" max="2563" width="12" customWidth="1"/>
    <col min="2564" max="2564" width="17.6640625" customWidth="1"/>
    <col min="2565" max="2565" width="17.33203125" customWidth="1"/>
    <col min="2566" max="2567" width="31" customWidth="1"/>
    <col min="2568" max="2571" width="25.33203125" customWidth="1"/>
    <col min="2818" max="2818" width="10.33203125" customWidth="1"/>
    <col min="2819" max="2819" width="12" customWidth="1"/>
    <col min="2820" max="2820" width="17.6640625" customWidth="1"/>
    <col min="2821" max="2821" width="17.33203125" customWidth="1"/>
    <col min="2822" max="2823" width="31" customWidth="1"/>
    <col min="2824" max="2827" width="25.33203125" customWidth="1"/>
    <col min="3074" max="3074" width="10.33203125" customWidth="1"/>
    <col min="3075" max="3075" width="12" customWidth="1"/>
    <col min="3076" max="3076" width="17.6640625" customWidth="1"/>
    <col min="3077" max="3077" width="17.33203125" customWidth="1"/>
    <col min="3078" max="3079" width="31" customWidth="1"/>
    <col min="3080" max="3083" width="25.33203125" customWidth="1"/>
    <col min="3330" max="3330" width="10.33203125" customWidth="1"/>
    <col min="3331" max="3331" width="12" customWidth="1"/>
    <col min="3332" max="3332" width="17.6640625" customWidth="1"/>
    <col min="3333" max="3333" width="17.33203125" customWidth="1"/>
    <col min="3334" max="3335" width="31" customWidth="1"/>
    <col min="3336" max="3339" width="25.33203125" customWidth="1"/>
    <col min="3586" max="3586" width="10.33203125" customWidth="1"/>
    <col min="3587" max="3587" width="12" customWidth="1"/>
    <col min="3588" max="3588" width="17.6640625" customWidth="1"/>
    <col min="3589" max="3589" width="17.33203125" customWidth="1"/>
    <col min="3590" max="3591" width="31" customWidth="1"/>
    <col min="3592" max="3595" width="25.33203125" customWidth="1"/>
    <col min="3842" max="3842" width="10.33203125" customWidth="1"/>
    <col min="3843" max="3843" width="12" customWidth="1"/>
    <col min="3844" max="3844" width="17.6640625" customWidth="1"/>
    <col min="3845" max="3845" width="17.33203125" customWidth="1"/>
    <col min="3846" max="3847" width="31" customWidth="1"/>
    <col min="3848" max="3851" width="25.33203125" customWidth="1"/>
    <col min="4098" max="4098" width="10.33203125" customWidth="1"/>
    <col min="4099" max="4099" width="12" customWidth="1"/>
    <col min="4100" max="4100" width="17.6640625" customWidth="1"/>
    <col min="4101" max="4101" width="17.33203125" customWidth="1"/>
    <col min="4102" max="4103" width="31" customWidth="1"/>
    <col min="4104" max="4107" width="25.33203125" customWidth="1"/>
    <col min="4354" max="4354" width="10.33203125" customWidth="1"/>
    <col min="4355" max="4355" width="12" customWidth="1"/>
    <col min="4356" max="4356" width="17.6640625" customWidth="1"/>
    <col min="4357" max="4357" width="17.33203125" customWidth="1"/>
    <col min="4358" max="4359" width="31" customWidth="1"/>
    <col min="4360" max="4363" width="25.33203125" customWidth="1"/>
    <col min="4610" max="4610" width="10.33203125" customWidth="1"/>
    <col min="4611" max="4611" width="12" customWidth="1"/>
    <col min="4612" max="4612" width="17.6640625" customWidth="1"/>
    <col min="4613" max="4613" width="17.33203125" customWidth="1"/>
    <col min="4614" max="4615" width="31" customWidth="1"/>
    <col min="4616" max="4619" width="25.33203125" customWidth="1"/>
    <col min="4866" max="4866" width="10.33203125" customWidth="1"/>
    <col min="4867" max="4867" width="12" customWidth="1"/>
    <col min="4868" max="4868" width="17.6640625" customWidth="1"/>
    <col min="4869" max="4869" width="17.33203125" customWidth="1"/>
    <col min="4870" max="4871" width="31" customWidth="1"/>
    <col min="4872" max="4875" width="25.33203125" customWidth="1"/>
    <col min="5122" max="5122" width="10.33203125" customWidth="1"/>
    <col min="5123" max="5123" width="12" customWidth="1"/>
    <col min="5124" max="5124" width="17.6640625" customWidth="1"/>
    <col min="5125" max="5125" width="17.33203125" customWidth="1"/>
    <col min="5126" max="5127" width="31" customWidth="1"/>
    <col min="5128" max="5131" width="25.33203125" customWidth="1"/>
    <col min="5378" max="5378" width="10.33203125" customWidth="1"/>
    <col min="5379" max="5379" width="12" customWidth="1"/>
    <col min="5380" max="5380" width="17.6640625" customWidth="1"/>
    <col min="5381" max="5381" width="17.33203125" customWidth="1"/>
    <col min="5382" max="5383" width="31" customWidth="1"/>
    <col min="5384" max="5387" width="25.33203125" customWidth="1"/>
    <col min="5634" max="5634" width="10.33203125" customWidth="1"/>
    <col min="5635" max="5635" width="12" customWidth="1"/>
    <col min="5636" max="5636" width="17.6640625" customWidth="1"/>
    <col min="5637" max="5637" width="17.33203125" customWidth="1"/>
    <col min="5638" max="5639" width="31" customWidth="1"/>
    <col min="5640" max="5643" width="25.33203125" customWidth="1"/>
    <col min="5890" max="5890" width="10.33203125" customWidth="1"/>
    <col min="5891" max="5891" width="12" customWidth="1"/>
    <col min="5892" max="5892" width="17.6640625" customWidth="1"/>
    <col min="5893" max="5893" width="17.33203125" customWidth="1"/>
    <col min="5894" max="5895" width="31" customWidth="1"/>
    <col min="5896" max="5899" width="25.33203125" customWidth="1"/>
    <col min="6146" max="6146" width="10.33203125" customWidth="1"/>
    <col min="6147" max="6147" width="12" customWidth="1"/>
    <col min="6148" max="6148" width="17.6640625" customWidth="1"/>
    <col min="6149" max="6149" width="17.33203125" customWidth="1"/>
    <col min="6150" max="6151" width="31" customWidth="1"/>
    <col min="6152" max="6155" width="25.33203125" customWidth="1"/>
    <col min="6402" max="6402" width="10.33203125" customWidth="1"/>
    <col min="6403" max="6403" width="12" customWidth="1"/>
    <col min="6404" max="6404" width="17.6640625" customWidth="1"/>
    <col min="6405" max="6405" width="17.33203125" customWidth="1"/>
    <col min="6406" max="6407" width="31" customWidth="1"/>
    <col min="6408" max="6411" width="25.33203125" customWidth="1"/>
    <col min="6658" max="6658" width="10.33203125" customWidth="1"/>
    <col min="6659" max="6659" width="12" customWidth="1"/>
    <col min="6660" max="6660" width="17.6640625" customWidth="1"/>
    <col min="6661" max="6661" width="17.33203125" customWidth="1"/>
    <col min="6662" max="6663" width="31" customWidth="1"/>
    <col min="6664" max="6667" width="25.33203125" customWidth="1"/>
    <col min="6914" max="6914" width="10.33203125" customWidth="1"/>
    <col min="6915" max="6915" width="12" customWidth="1"/>
    <col min="6916" max="6916" width="17.6640625" customWidth="1"/>
    <col min="6917" max="6917" width="17.33203125" customWidth="1"/>
    <col min="6918" max="6919" width="31" customWidth="1"/>
    <col min="6920" max="6923" width="25.33203125" customWidth="1"/>
    <col min="7170" max="7170" width="10.33203125" customWidth="1"/>
    <col min="7171" max="7171" width="12" customWidth="1"/>
    <col min="7172" max="7172" width="17.6640625" customWidth="1"/>
    <col min="7173" max="7173" width="17.33203125" customWidth="1"/>
    <col min="7174" max="7175" width="31" customWidth="1"/>
    <col min="7176" max="7179" width="25.33203125" customWidth="1"/>
    <col min="7426" max="7426" width="10.33203125" customWidth="1"/>
    <col min="7427" max="7427" width="12" customWidth="1"/>
    <col min="7428" max="7428" width="17.6640625" customWidth="1"/>
    <col min="7429" max="7429" width="17.33203125" customWidth="1"/>
    <col min="7430" max="7431" width="31" customWidth="1"/>
    <col min="7432" max="7435" width="25.33203125" customWidth="1"/>
    <col min="7682" max="7682" width="10.33203125" customWidth="1"/>
    <col min="7683" max="7683" width="12" customWidth="1"/>
    <col min="7684" max="7684" width="17.6640625" customWidth="1"/>
    <col min="7685" max="7685" width="17.33203125" customWidth="1"/>
    <col min="7686" max="7687" width="31" customWidth="1"/>
    <col min="7688" max="7691" width="25.33203125" customWidth="1"/>
    <col min="7938" max="7938" width="10.33203125" customWidth="1"/>
    <col min="7939" max="7939" width="12" customWidth="1"/>
    <col min="7940" max="7940" width="17.6640625" customWidth="1"/>
    <col min="7941" max="7941" width="17.33203125" customWidth="1"/>
    <col min="7942" max="7943" width="31" customWidth="1"/>
    <col min="7944" max="7947" width="25.33203125" customWidth="1"/>
    <col min="8194" max="8194" width="10.33203125" customWidth="1"/>
    <col min="8195" max="8195" width="12" customWidth="1"/>
    <col min="8196" max="8196" width="17.6640625" customWidth="1"/>
    <col min="8197" max="8197" width="17.33203125" customWidth="1"/>
    <col min="8198" max="8199" width="31" customWidth="1"/>
    <col min="8200" max="8203" width="25.33203125" customWidth="1"/>
    <col min="8450" max="8450" width="10.33203125" customWidth="1"/>
    <col min="8451" max="8451" width="12" customWidth="1"/>
    <col min="8452" max="8452" width="17.6640625" customWidth="1"/>
    <col min="8453" max="8453" width="17.33203125" customWidth="1"/>
    <col min="8454" max="8455" width="31" customWidth="1"/>
    <col min="8456" max="8459" width="25.33203125" customWidth="1"/>
    <col min="8706" max="8706" width="10.33203125" customWidth="1"/>
    <col min="8707" max="8707" width="12" customWidth="1"/>
    <col min="8708" max="8708" width="17.6640625" customWidth="1"/>
    <col min="8709" max="8709" width="17.33203125" customWidth="1"/>
    <col min="8710" max="8711" width="31" customWidth="1"/>
    <col min="8712" max="8715" width="25.33203125" customWidth="1"/>
    <col min="8962" max="8962" width="10.33203125" customWidth="1"/>
    <col min="8963" max="8963" width="12" customWidth="1"/>
    <col min="8964" max="8964" width="17.6640625" customWidth="1"/>
    <col min="8965" max="8965" width="17.33203125" customWidth="1"/>
    <col min="8966" max="8967" width="31" customWidth="1"/>
    <col min="8968" max="8971" width="25.33203125" customWidth="1"/>
    <col min="9218" max="9218" width="10.33203125" customWidth="1"/>
    <col min="9219" max="9219" width="12" customWidth="1"/>
    <col min="9220" max="9220" width="17.6640625" customWidth="1"/>
    <col min="9221" max="9221" width="17.33203125" customWidth="1"/>
    <col min="9222" max="9223" width="31" customWidth="1"/>
    <col min="9224" max="9227" width="25.33203125" customWidth="1"/>
    <col min="9474" max="9474" width="10.33203125" customWidth="1"/>
    <col min="9475" max="9475" width="12" customWidth="1"/>
    <col min="9476" max="9476" width="17.6640625" customWidth="1"/>
    <col min="9477" max="9477" width="17.33203125" customWidth="1"/>
    <col min="9478" max="9479" width="31" customWidth="1"/>
    <col min="9480" max="9483" width="25.33203125" customWidth="1"/>
    <col min="9730" max="9730" width="10.33203125" customWidth="1"/>
    <col min="9731" max="9731" width="12" customWidth="1"/>
    <col min="9732" max="9732" width="17.6640625" customWidth="1"/>
    <col min="9733" max="9733" width="17.33203125" customWidth="1"/>
    <col min="9734" max="9735" width="31" customWidth="1"/>
    <col min="9736" max="9739" width="25.33203125" customWidth="1"/>
    <col min="9986" max="9986" width="10.33203125" customWidth="1"/>
    <col min="9987" max="9987" width="12" customWidth="1"/>
    <col min="9988" max="9988" width="17.6640625" customWidth="1"/>
    <col min="9989" max="9989" width="17.33203125" customWidth="1"/>
    <col min="9990" max="9991" width="31" customWidth="1"/>
    <col min="9992" max="9995" width="25.33203125" customWidth="1"/>
    <col min="10242" max="10242" width="10.33203125" customWidth="1"/>
    <col min="10243" max="10243" width="12" customWidth="1"/>
    <col min="10244" max="10244" width="17.6640625" customWidth="1"/>
    <col min="10245" max="10245" width="17.33203125" customWidth="1"/>
    <col min="10246" max="10247" width="31" customWidth="1"/>
    <col min="10248" max="10251" width="25.33203125" customWidth="1"/>
    <col min="10498" max="10498" width="10.33203125" customWidth="1"/>
    <col min="10499" max="10499" width="12" customWidth="1"/>
    <col min="10500" max="10500" width="17.6640625" customWidth="1"/>
    <col min="10501" max="10501" width="17.33203125" customWidth="1"/>
    <col min="10502" max="10503" width="31" customWidth="1"/>
    <col min="10504" max="10507" width="25.33203125" customWidth="1"/>
    <col min="10754" max="10754" width="10.33203125" customWidth="1"/>
    <col min="10755" max="10755" width="12" customWidth="1"/>
    <col min="10756" max="10756" width="17.6640625" customWidth="1"/>
    <col min="10757" max="10757" width="17.33203125" customWidth="1"/>
    <col min="10758" max="10759" width="31" customWidth="1"/>
    <col min="10760" max="10763" width="25.33203125" customWidth="1"/>
    <col min="11010" max="11010" width="10.33203125" customWidth="1"/>
    <col min="11011" max="11011" width="12" customWidth="1"/>
    <col min="11012" max="11012" width="17.6640625" customWidth="1"/>
    <col min="11013" max="11013" width="17.33203125" customWidth="1"/>
    <col min="11014" max="11015" width="31" customWidth="1"/>
    <col min="11016" max="11019" width="25.33203125" customWidth="1"/>
    <col min="11266" max="11266" width="10.33203125" customWidth="1"/>
    <col min="11267" max="11267" width="12" customWidth="1"/>
    <col min="11268" max="11268" width="17.6640625" customWidth="1"/>
    <col min="11269" max="11269" width="17.33203125" customWidth="1"/>
    <col min="11270" max="11271" width="31" customWidth="1"/>
    <col min="11272" max="11275" width="25.33203125" customWidth="1"/>
    <col min="11522" max="11522" width="10.33203125" customWidth="1"/>
    <col min="11523" max="11523" width="12" customWidth="1"/>
    <col min="11524" max="11524" width="17.6640625" customWidth="1"/>
    <col min="11525" max="11525" width="17.33203125" customWidth="1"/>
    <col min="11526" max="11527" width="31" customWidth="1"/>
    <col min="11528" max="11531" width="25.33203125" customWidth="1"/>
    <col min="11778" max="11778" width="10.33203125" customWidth="1"/>
    <col min="11779" max="11779" width="12" customWidth="1"/>
    <col min="11780" max="11780" width="17.6640625" customWidth="1"/>
    <col min="11781" max="11781" width="17.33203125" customWidth="1"/>
    <col min="11782" max="11783" width="31" customWidth="1"/>
    <col min="11784" max="11787" width="25.33203125" customWidth="1"/>
    <col min="12034" max="12034" width="10.33203125" customWidth="1"/>
    <col min="12035" max="12035" width="12" customWidth="1"/>
    <col min="12036" max="12036" width="17.6640625" customWidth="1"/>
    <col min="12037" max="12037" width="17.33203125" customWidth="1"/>
    <col min="12038" max="12039" width="31" customWidth="1"/>
    <col min="12040" max="12043" width="25.33203125" customWidth="1"/>
    <col min="12290" max="12290" width="10.33203125" customWidth="1"/>
    <col min="12291" max="12291" width="12" customWidth="1"/>
    <col min="12292" max="12292" width="17.6640625" customWidth="1"/>
    <col min="12293" max="12293" width="17.33203125" customWidth="1"/>
    <col min="12294" max="12295" width="31" customWidth="1"/>
    <col min="12296" max="12299" width="25.33203125" customWidth="1"/>
    <col min="12546" max="12546" width="10.33203125" customWidth="1"/>
    <col min="12547" max="12547" width="12" customWidth="1"/>
    <col min="12548" max="12548" width="17.6640625" customWidth="1"/>
    <col min="12549" max="12549" width="17.33203125" customWidth="1"/>
    <col min="12550" max="12551" width="31" customWidth="1"/>
    <col min="12552" max="12555" width="25.33203125" customWidth="1"/>
    <col min="12802" max="12802" width="10.33203125" customWidth="1"/>
    <col min="12803" max="12803" width="12" customWidth="1"/>
    <col min="12804" max="12804" width="17.6640625" customWidth="1"/>
    <col min="12805" max="12805" width="17.33203125" customWidth="1"/>
    <col min="12806" max="12807" width="31" customWidth="1"/>
    <col min="12808" max="12811" width="25.33203125" customWidth="1"/>
    <col min="13058" max="13058" width="10.33203125" customWidth="1"/>
    <col min="13059" max="13059" width="12" customWidth="1"/>
    <col min="13060" max="13060" width="17.6640625" customWidth="1"/>
    <col min="13061" max="13061" width="17.33203125" customWidth="1"/>
    <col min="13062" max="13063" width="31" customWidth="1"/>
    <col min="13064" max="13067" width="25.33203125" customWidth="1"/>
    <col min="13314" max="13314" width="10.33203125" customWidth="1"/>
    <col min="13315" max="13315" width="12" customWidth="1"/>
    <col min="13316" max="13316" width="17.6640625" customWidth="1"/>
    <col min="13317" max="13317" width="17.33203125" customWidth="1"/>
    <col min="13318" max="13319" width="31" customWidth="1"/>
    <col min="13320" max="13323" width="25.33203125" customWidth="1"/>
    <col min="13570" max="13570" width="10.33203125" customWidth="1"/>
    <col min="13571" max="13571" width="12" customWidth="1"/>
    <col min="13572" max="13572" width="17.6640625" customWidth="1"/>
    <col min="13573" max="13573" width="17.33203125" customWidth="1"/>
    <col min="13574" max="13575" width="31" customWidth="1"/>
    <col min="13576" max="13579" width="25.33203125" customWidth="1"/>
    <col min="13826" max="13826" width="10.33203125" customWidth="1"/>
    <col min="13827" max="13827" width="12" customWidth="1"/>
    <col min="13828" max="13828" width="17.6640625" customWidth="1"/>
    <col min="13829" max="13829" width="17.33203125" customWidth="1"/>
    <col min="13830" max="13831" width="31" customWidth="1"/>
    <col min="13832" max="13835" width="25.33203125" customWidth="1"/>
    <col min="14082" max="14082" width="10.33203125" customWidth="1"/>
    <col min="14083" max="14083" width="12" customWidth="1"/>
    <col min="14084" max="14084" width="17.6640625" customWidth="1"/>
    <col min="14085" max="14085" width="17.33203125" customWidth="1"/>
    <col min="14086" max="14087" width="31" customWidth="1"/>
    <col min="14088" max="14091" width="25.33203125" customWidth="1"/>
    <col min="14338" max="14338" width="10.33203125" customWidth="1"/>
    <col min="14339" max="14339" width="12" customWidth="1"/>
    <col min="14340" max="14340" width="17.6640625" customWidth="1"/>
    <col min="14341" max="14341" width="17.33203125" customWidth="1"/>
    <col min="14342" max="14343" width="31" customWidth="1"/>
    <col min="14344" max="14347" width="25.33203125" customWidth="1"/>
    <col min="14594" max="14594" width="10.33203125" customWidth="1"/>
    <col min="14595" max="14595" width="12" customWidth="1"/>
    <col min="14596" max="14596" width="17.6640625" customWidth="1"/>
    <col min="14597" max="14597" width="17.33203125" customWidth="1"/>
    <col min="14598" max="14599" width="31" customWidth="1"/>
    <col min="14600" max="14603" width="25.33203125" customWidth="1"/>
    <col min="14850" max="14850" width="10.33203125" customWidth="1"/>
    <col min="14851" max="14851" width="12" customWidth="1"/>
    <col min="14852" max="14852" width="17.6640625" customWidth="1"/>
    <col min="14853" max="14853" width="17.33203125" customWidth="1"/>
    <col min="14854" max="14855" width="31" customWidth="1"/>
    <col min="14856" max="14859" width="25.33203125" customWidth="1"/>
    <col min="15106" max="15106" width="10.33203125" customWidth="1"/>
    <col min="15107" max="15107" width="12" customWidth="1"/>
    <col min="15108" max="15108" width="17.6640625" customWidth="1"/>
    <col min="15109" max="15109" width="17.33203125" customWidth="1"/>
    <col min="15110" max="15111" width="31" customWidth="1"/>
    <col min="15112" max="15115" width="25.33203125" customWidth="1"/>
    <col min="15362" max="15362" width="10.33203125" customWidth="1"/>
    <col min="15363" max="15363" width="12" customWidth="1"/>
    <col min="15364" max="15364" width="17.6640625" customWidth="1"/>
    <col min="15365" max="15365" width="17.33203125" customWidth="1"/>
    <col min="15366" max="15367" width="31" customWidth="1"/>
    <col min="15368" max="15371" width="25.33203125" customWidth="1"/>
    <col min="15618" max="15618" width="10.33203125" customWidth="1"/>
    <col min="15619" max="15619" width="12" customWidth="1"/>
    <col min="15620" max="15620" width="17.6640625" customWidth="1"/>
    <col min="15621" max="15621" width="17.33203125" customWidth="1"/>
    <col min="15622" max="15623" width="31" customWidth="1"/>
    <col min="15624" max="15627" width="25.33203125" customWidth="1"/>
    <col min="15874" max="15874" width="10.33203125" customWidth="1"/>
    <col min="15875" max="15875" width="12" customWidth="1"/>
    <col min="15876" max="15876" width="17.6640625" customWidth="1"/>
    <col min="15877" max="15877" width="17.33203125" customWidth="1"/>
    <col min="15878" max="15879" width="31" customWidth="1"/>
    <col min="15880" max="15883" width="25.33203125" customWidth="1"/>
    <col min="16130" max="16130" width="10.33203125" customWidth="1"/>
    <col min="16131" max="16131" width="12" customWidth="1"/>
    <col min="16132" max="16132" width="17.6640625" customWidth="1"/>
    <col min="16133" max="16133" width="17.33203125" customWidth="1"/>
    <col min="16134" max="16135" width="31" customWidth="1"/>
    <col min="16136" max="16139" width="25.33203125" customWidth="1"/>
  </cols>
  <sheetData>
    <row r="1" spans="1:61" x14ac:dyDescent="0.25">
      <c r="A1" s="827"/>
      <c r="B1" s="827"/>
      <c r="C1" s="827"/>
      <c r="D1" s="827"/>
      <c r="E1" s="827"/>
      <c r="F1" s="827"/>
      <c r="G1" s="827"/>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row>
    <row r="2" spans="1:61" ht="21" x14ac:dyDescent="0.5">
      <c r="A2" s="827"/>
      <c r="B2" s="1091" t="s">
        <v>404</v>
      </c>
      <c r="C2" s="827"/>
      <c r="D2" s="827"/>
      <c r="E2" s="827"/>
      <c r="F2" s="827"/>
      <c r="G2" s="827"/>
      <c r="H2" s="827"/>
      <c r="I2" s="827"/>
      <c r="J2" s="827"/>
      <c r="K2" s="827"/>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row>
    <row r="3" spans="1:61" x14ac:dyDescent="0.25">
      <c r="A3" s="827"/>
      <c r="B3" s="827"/>
      <c r="C3" s="827"/>
      <c r="D3" s="827"/>
      <c r="E3" s="827"/>
      <c r="F3" s="827"/>
      <c r="G3" s="827"/>
      <c r="H3" s="827"/>
      <c r="I3" s="827"/>
      <c r="J3" s="827"/>
      <c r="K3" s="827"/>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row>
    <row r="4" spans="1:61" x14ac:dyDescent="0.25">
      <c r="A4" s="827"/>
      <c r="B4" s="827"/>
      <c r="C4" s="827"/>
      <c r="D4" s="827"/>
      <c r="E4" s="827"/>
      <c r="F4" s="827"/>
      <c r="G4" s="827"/>
      <c r="H4" s="827"/>
      <c r="I4" s="827"/>
      <c r="J4" s="827"/>
      <c r="K4" s="827"/>
      <c r="L4" s="827"/>
      <c r="M4" s="827"/>
      <c r="N4" s="827"/>
      <c r="O4" s="827"/>
      <c r="P4" s="827"/>
      <c r="Q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row>
    <row r="5" spans="1:61" x14ac:dyDescent="0.25">
      <c r="A5" s="827"/>
      <c r="B5" s="827"/>
      <c r="C5" s="827"/>
      <c r="D5" s="827"/>
      <c r="E5" s="827"/>
      <c r="F5" s="827"/>
      <c r="G5" s="827"/>
      <c r="H5" s="827"/>
      <c r="I5" s="827"/>
      <c r="J5" s="827"/>
      <c r="K5" s="827"/>
      <c r="L5" s="827"/>
      <c r="M5" s="827"/>
      <c r="N5" s="827"/>
      <c r="O5" s="827"/>
      <c r="P5" s="827"/>
      <c r="Q5" s="827"/>
      <c r="R5" s="827"/>
      <c r="S5" s="829" t="s">
        <v>1319</v>
      </c>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row>
    <row r="6" spans="1:61" x14ac:dyDescent="0.25">
      <c r="A6" s="827"/>
      <c r="B6" s="1090" t="s">
        <v>201</v>
      </c>
      <c r="C6" s="827"/>
      <c r="D6" s="827"/>
      <c r="E6" s="827"/>
      <c r="F6" s="827"/>
      <c r="G6" s="827"/>
      <c r="H6" s="827"/>
      <c r="I6" s="827"/>
      <c r="J6" s="827"/>
      <c r="K6" s="827"/>
      <c r="L6" s="827"/>
      <c r="M6" s="827"/>
      <c r="N6" s="827"/>
      <c r="P6" s="827"/>
      <c r="Q6" s="827"/>
      <c r="R6" s="827"/>
      <c r="S6" s="1417" t="s">
        <v>1320</v>
      </c>
      <c r="T6" s="1418"/>
      <c r="U6" s="1419"/>
      <c r="V6" s="1307">
        <f>+I78/(J70+J71+2*J72+3*J73+4*J74+J75+J76)</f>
        <v>1.4788272418275861</v>
      </c>
      <c r="W6" s="827"/>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row>
    <row r="7" spans="1:61" ht="13.8" x14ac:dyDescent="0.3">
      <c r="A7" s="827"/>
      <c r="B7" s="827"/>
      <c r="C7" s="827"/>
      <c r="D7" s="827"/>
      <c r="E7" s="827"/>
      <c r="F7" s="827"/>
      <c r="G7" s="827"/>
      <c r="H7" s="827"/>
      <c r="I7" s="827"/>
      <c r="J7" s="827"/>
      <c r="K7" s="827"/>
      <c r="L7" s="827"/>
      <c r="M7" s="827"/>
      <c r="N7" s="827"/>
      <c r="O7" s="827"/>
      <c r="P7" s="827"/>
      <c r="Q7" s="827"/>
      <c r="R7" s="827"/>
      <c r="S7" s="1417" t="s">
        <v>1321</v>
      </c>
      <c r="T7" s="1418"/>
      <c r="U7" s="1419"/>
      <c r="V7" s="1307">
        <f>+E80/(J70+J71+2*J72+3*J73+4*J74+J75+J76)</f>
        <v>0.64713341345132847</v>
      </c>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row>
    <row r="8" spans="1:61" ht="13.95" customHeight="1" x14ac:dyDescent="0.25">
      <c r="A8" s="827"/>
      <c r="B8" s="1089"/>
      <c r="C8" s="827"/>
      <c r="D8" s="827"/>
      <c r="E8" s="827"/>
      <c r="F8" s="827"/>
      <c r="G8" s="827"/>
      <c r="H8" s="827"/>
      <c r="I8" s="827"/>
      <c r="J8" s="827"/>
      <c r="K8" s="827"/>
      <c r="L8" s="827"/>
      <c r="M8" s="827"/>
      <c r="N8" s="827"/>
      <c r="O8" s="827"/>
      <c r="P8" s="827"/>
      <c r="Q8" s="827"/>
      <c r="R8" s="827"/>
      <c r="S8" s="1417" t="s">
        <v>1322</v>
      </c>
      <c r="T8" s="1418"/>
      <c r="U8" s="1419"/>
      <c r="V8" s="1308">
        <f>-(F70*AB70+F72*AB72+F73*AB73+F74*AB74)*1000</f>
        <v>4574937529.3439999</v>
      </c>
      <c r="W8" s="1309">
        <f>-(F70*AC70+F72*AC72+F73*AC73+F74*AC74)*1000</f>
        <v>5068731231.5999994</v>
      </c>
      <c r="X8" s="828" t="s">
        <v>1323</v>
      </c>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row>
    <row r="9" spans="1:61" x14ac:dyDescent="0.25">
      <c r="A9" s="827"/>
      <c r="B9" s="1089"/>
      <c r="C9" s="827"/>
      <c r="D9" s="827"/>
      <c r="E9" s="827"/>
      <c r="F9" s="827"/>
      <c r="G9" s="827"/>
      <c r="H9" s="827"/>
      <c r="I9" s="827"/>
      <c r="J9" s="827"/>
      <c r="K9" s="827"/>
      <c r="L9" s="827"/>
      <c r="M9" s="827"/>
      <c r="N9" s="827"/>
      <c r="O9" s="827"/>
      <c r="P9" s="827"/>
      <c r="Q9" s="827"/>
      <c r="R9" s="827"/>
      <c r="S9" s="1417" t="s">
        <v>1324</v>
      </c>
      <c r="T9" s="1418"/>
      <c r="U9" s="1419"/>
      <c r="V9" s="1308">
        <f>+V8*0.0002777778</f>
        <v>1270816.0820386116</v>
      </c>
      <c r="W9" s="1308">
        <f>+W8*0.0002777778</f>
        <v>1407981.0103051383</v>
      </c>
      <c r="X9" s="828" t="s">
        <v>1323</v>
      </c>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row>
    <row r="10" spans="1:61" x14ac:dyDescent="0.25">
      <c r="A10" s="827"/>
      <c r="B10" s="1089"/>
      <c r="C10" s="827"/>
      <c r="D10" s="827"/>
      <c r="E10" s="827"/>
      <c r="F10" s="827"/>
      <c r="G10" s="827"/>
      <c r="H10" s="827"/>
      <c r="I10" s="827"/>
      <c r="J10" s="827"/>
      <c r="K10" s="827"/>
      <c r="L10" s="827"/>
      <c r="M10" s="827"/>
      <c r="N10" s="827"/>
      <c r="O10" s="827"/>
      <c r="P10" s="827"/>
      <c r="Q10" s="827"/>
      <c r="R10" s="827"/>
      <c r="S10" s="1417" t="s">
        <v>1325</v>
      </c>
      <c r="T10" s="1418"/>
      <c r="U10" s="1419"/>
      <c r="V10" s="1308">
        <f>+V9*3412.142/1000000</f>
        <v>4336.204927799392</v>
      </c>
      <c r="W10" s="1308">
        <f>+W9*3412.142/1000000</f>
        <v>4804.2311404645952</v>
      </c>
      <c r="X10" s="828" t="s">
        <v>1323</v>
      </c>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row>
    <row r="11" spans="1:61" x14ac:dyDescent="0.25">
      <c r="A11" s="827"/>
      <c r="B11" s="1089"/>
      <c r="C11" s="827"/>
      <c r="D11" s="827"/>
      <c r="E11" s="827"/>
      <c r="F11" s="827"/>
      <c r="G11" s="827"/>
      <c r="H11" s="827"/>
      <c r="I11" s="827"/>
      <c r="J11" s="827"/>
      <c r="K11" s="827"/>
      <c r="L11" s="827"/>
      <c r="M11" s="827"/>
      <c r="N11" s="827"/>
      <c r="O11" s="827"/>
      <c r="P11" s="827"/>
      <c r="Q11" s="827"/>
      <c r="R11" s="827"/>
      <c r="S11" s="1417" t="s">
        <v>1326</v>
      </c>
      <c r="T11" s="1418"/>
      <c r="U11" s="1419"/>
      <c r="V11" s="1308">
        <f>-(R77*AB77)*1000</f>
        <v>3245525054.2077999</v>
      </c>
      <c r="W11" s="1309">
        <f>-(R77*AC77)*1000</f>
        <v>3836098791.0489998</v>
      </c>
      <c r="X11" s="828" t="s">
        <v>1323</v>
      </c>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row>
    <row r="12" spans="1:61" x14ac:dyDescent="0.25">
      <c r="A12" s="827"/>
      <c r="B12" s="1089"/>
      <c r="C12" s="827"/>
      <c r="D12" s="827"/>
      <c r="E12" s="827"/>
      <c r="F12" s="827"/>
      <c r="G12" s="827"/>
      <c r="H12" s="827"/>
      <c r="I12" s="827"/>
      <c r="J12" s="827"/>
      <c r="K12" s="827"/>
      <c r="L12" s="827"/>
      <c r="M12" s="827"/>
      <c r="N12" s="827"/>
      <c r="O12" s="827"/>
      <c r="P12" s="827"/>
      <c r="Q12" s="827"/>
      <c r="R12" s="827"/>
      <c r="S12" s="1417" t="s">
        <v>1327</v>
      </c>
      <c r="T12" s="1418"/>
      <c r="U12" s="1419"/>
      <c r="V12" s="1308">
        <f>+V11*0.0002777778</f>
        <v>901534.80940272333</v>
      </c>
      <c r="W12" s="1308">
        <f>+W11*0.0002777778</f>
        <v>1065583.0827602509</v>
      </c>
      <c r="X12" s="828" t="s">
        <v>1323</v>
      </c>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row>
    <row r="13" spans="1:61" x14ac:dyDescent="0.25">
      <c r="A13" s="827"/>
      <c r="B13" s="1089"/>
      <c r="C13" s="827"/>
      <c r="D13" s="827"/>
      <c r="E13" s="827"/>
      <c r="F13" s="827"/>
      <c r="G13" s="827"/>
      <c r="H13" s="827"/>
      <c r="I13" s="827"/>
      <c r="J13" s="827"/>
      <c r="K13" s="827"/>
      <c r="L13" s="827"/>
      <c r="M13" s="827"/>
      <c r="N13" s="827"/>
      <c r="O13" s="827"/>
      <c r="P13" s="827"/>
      <c r="Q13" s="827"/>
      <c r="R13" s="827"/>
      <c r="S13" s="1417" t="s">
        <v>1328</v>
      </c>
      <c r="T13" s="1418"/>
      <c r="U13" s="1419"/>
      <c r="V13" s="1308">
        <f>+Q48*24</f>
        <v>660000</v>
      </c>
      <c r="W13" s="1068"/>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row>
    <row r="14" spans="1:61" x14ac:dyDescent="0.25">
      <c r="A14" s="827"/>
      <c r="B14" s="1089"/>
      <c r="C14" s="827"/>
      <c r="D14" s="827"/>
      <c r="E14" s="827"/>
      <c r="F14" s="827"/>
      <c r="G14" s="827"/>
      <c r="H14" s="827"/>
      <c r="I14" s="827"/>
      <c r="J14" s="827"/>
      <c r="K14" s="827"/>
      <c r="L14" s="827"/>
      <c r="M14" s="827"/>
      <c r="N14" s="827"/>
      <c r="O14" s="827"/>
      <c r="P14" s="827"/>
      <c r="Q14" s="827"/>
      <c r="R14" s="827"/>
      <c r="S14" s="1417" t="s">
        <v>1329</v>
      </c>
      <c r="T14" s="1418"/>
      <c r="U14" s="1419"/>
      <c r="V14" s="1308">
        <f>+(F70+2*F72+3*F73+4*F74+F76)*1000</f>
        <v>5828947.9999999991</v>
      </c>
      <c r="W14" s="827"/>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row>
    <row r="15" spans="1:61" x14ac:dyDescent="0.25">
      <c r="A15" s="827"/>
      <c r="B15" s="1089"/>
      <c r="C15" s="827"/>
      <c r="D15" s="827"/>
      <c r="E15" s="827"/>
      <c r="F15" s="827"/>
      <c r="G15" s="827"/>
      <c r="H15" s="827"/>
      <c r="I15" s="827"/>
      <c r="J15" s="827"/>
      <c r="K15" s="827"/>
      <c r="L15" s="827"/>
      <c r="M15" s="827"/>
      <c r="N15" s="827"/>
      <c r="O15" s="827"/>
      <c r="P15" s="827"/>
      <c r="Q15" s="827"/>
      <c r="R15" s="827"/>
      <c r="S15" s="1417" t="s">
        <v>1330</v>
      </c>
      <c r="T15" s="1418"/>
      <c r="U15" s="1419"/>
      <c r="V15" s="1308">
        <f>+O76*1000</f>
        <v>5507245</v>
      </c>
      <c r="W15" s="827"/>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row>
    <row r="16" spans="1:61" x14ac:dyDescent="0.25">
      <c r="A16" s="827"/>
      <c r="B16" s="1089"/>
      <c r="C16" s="827"/>
      <c r="D16" s="827"/>
      <c r="E16" s="827"/>
      <c r="F16" s="827"/>
      <c r="G16" s="827"/>
      <c r="H16" s="827"/>
      <c r="I16" s="827"/>
      <c r="J16" s="827"/>
      <c r="K16" s="827"/>
      <c r="L16" s="827"/>
      <c r="M16" s="827"/>
      <c r="N16" s="827"/>
      <c r="O16" s="827"/>
      <c r="P16" s="827"/>
      <c r="Q16" s="827"/>
      <c r="R16" s="827"/>
      <c r="S16" s="1417" t="s">
        <v>1331</v>
      </c>
      <c r="T16" s="1418"/>
      <c r="U16" s="1419"/>
      <c r="V16" s="1310">
        <f>+V15/V14</f>
        <v>0.94480942358724096</v>
      </c>
      <c r="W16" s="827"/>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row>
    <row r="17" spans="1:61" x14ac:dyDescent="0.25">
      <c r="A17" s="827"/>
      <c r="B17" s="1089"/>
      <c r="C17" s="827"/>
      <c r="D17" s="827"/>
      <c r="E17" s="827"/>
      <c r="F17" s="827"/>
      <c r="G17" s="827"/>
      <c r="H17" s="827"/>
      <c r="I17" s="827"/>
      <c r="J17" s="827"/>
      <c r="K17" s="827"/>
      <c r="L17" s="827"/>
      <c r="M17" s="827"/>
      <c r="N17" s="827"/>
      <c r="O17" s="827"/>
      <c r="P17" s="827"/>
      <c r="Q17" s="827"/>
      <c r="R17" s="827"/>
      <c r="S17" s="1417" t="s">
        <v>1332</v>
      </c>
      <c r="T17" s="1418"/>
      <c r="U17" s="1419"/>
      <c r="V17" s="1310">
        <f>+(J75+J76-F76)/(F70+F71+2*F72+3*F73+4*F74)</f>
        <v>0.9964821805201034</v>
      </c>
      <c r="W17" s="827"/>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row>
    <row r="18" spans="1:61" x14ac:dyDescent="0.25">
      <c r="A18" s="827"/>
      <c r="B18" s="1089"/>
      <c r="C18" s="827"/>
      <c r="D18" s="827"/>
      <c r="E18" s="827"/>
      <c r="F18" s="827"/>
      <c r="G18" s="827"/>
      <c r="H18" s="827"/>
      <c r="I18" s="827"/>
      <c r="J18" s="827"/>
      <c r="K18" s="827"/>
      <c r="L18" s="827"/>
      <c r="M18" s="827"/>
      <c r="N18" s="827"/>
      <c r="O18" s="827"/>
      <c r="P18" s="827"/>
      <c r="Q18" s="827"/>
      <c r="R18" s="827"/>
      <c r="S18" s="1417" t="s">
        <v>1333</v>
      </c>
      <c r="T18" s="1418"/>
      <c r="U18" s="1419"/>
      <c r="V18" s="1310">
        <f>+(K75-L75)/K75</f>
        <v>0.97184115523465708</v>
      </c>
      <c r="W18" s="827"/>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row>
    <row r="19" spans="1:61" x14ac:dyDescent="0.25">
      <c r="A19" s="827"/>
      <c r="B19" s="1089"/>
      <c r="C19" s="827"/>
      <c r="D19" s="827"/>
      <c r="E19" s="827"/>
      <c r="F19" s="827"/>
      <c r="G19" s="827"/>
      <c r="H19" s="827"/>
      <c r="I19" s="827"/>
      <c r="J19" s="827"/>
      <c r="K19" s="827"/>
      <c r="L19" s="827"/>
      <c r="M19" s="827"/>
      <c r="N19" s="827"/>
      <c r="O19" s="827"/>
      <c r="P19" s="827"/>
      <c r="Q19" s="827"/>
      <c r="R19" s="827"/>
      <c r="S19" s="1417" t="s">
        <v>1334</v>
      </c>
      <c r="T19" s="1418"/>
      <c r="U19" s="1419"/>
      <c r="V19" s="1310">
        <f>+T47/S47</f>
        <v>0.31377393452748609</v>
      </c>
      <c r="W19" s="827"/>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row>
    <row r="20" spans="1:61" x14ac:dyDescent="0.25">
      <c r="A20" s="827"/>
      <c r="B20" s="1089"/>
      <c r="C20" s="827"/>
      <c r="D20" s="827"/>
      <c r="E20" s="827"/>
      <c r="F20" s="827"/>
      <c r="G20" s="827"/>
      <c r="H20" s="827"/>
      <c r="I20" s="827"/>
      <c r="J20" s="827"/>
      <c r="K20" s="827"/>
      <c r="L20" s="827"/>
      <c r="M20" s="827"/>
      <c r="N20" s="827"/>
      <c r="O20" s="827"/>
      <c r="P20" s="827"/>
      <c r="Q20" s="827"/>
      <c r="R20" s="827"/>
      <c r="S20" s="1417" t="s">
        <v>1335</v>
      </c>
      <c r="T20" s="1418"/>
      <c r="U20" s="1419"/>
      <c r="V20" s="1311">
        <f>+V10/Q48</f>
        <v>0.15768017919270516</v>
      </c>
      <c r="W20" s="827"/>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row>
    <row r="21" spans="1:61" x14ac:dyDescent="0.25">
      <c r="A21" s="827"/>
      <c r="B21" s="1089"/>
      <c r="C21" s="827"/>
      <c r="D21" s="827"/>
      <c r="E21" s="827"/>
      <c r="F21" s="827"/>
      <c r="G21" s="827"/>
      <c r="H21" s="827"/>
      <c r="I21" s="827"/>
      <c r="J21" s="827"/>
      <c r="K21" s="827"/>
      <c r="L21" s="827"/>
      <c r="M21" s="827"/>
      <c r="N21" s="827"/>
      <c r="O21" s="827"/>
      <c r="P21" s="827"/>
      <c r="Q21" s="827"/>
      <c r="R21" s="827"/>
      <c r="S21" s="1417" t="s">
        <v>1336</v>
      </c>
      <c r="T21" s="1418"/>
      <c r="U21" s="1419"/>
      <c r="V21" s="1309">
        <v>3720</v>
      </c>
      <c r="W21" s="827"/>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row>
    <row r="22" spans="1:61" ht="13.8" x14ac:dyDescent="0.3">
      <c r="A22" s="827"/>
      <c r="B22" s="1089"/>
      <c r="C22" s="827"/>
      <c r="D22" s="827"/>
      <c r="E22" s="827"/>
      <c r="F22" s="827"/>
      <c r="G22" s="827"/>
      <c r="H22" s="827"/>
      <c r="I22" s="827"/>
      <c r="J22" s="827"/>
      <c r="K22" s="827"/>
      <c r="L22" s="827"/>
      <c r="M22" s="827"/>
      <c r="N22" s="827"/>
      <c r="O22" s="827"/>
      <c r="P22" s="827"/>
      <c r="Q22" s="827"/>
      <c r="R22" s="827"/>
      <c r="S22" s="1417" t="s">
        <v>1337</v>
      </c>
      <c r="T22" s="1418"/>
      <c r="U22" s="1419"/>
      <c r="V22" s="1311">
        <f>+V21*60/Q48</f>
        <v>8.1163636363636371</v>
      </c>
      <c r="W22" s="827"/>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row>
    <row r="23" spans="1:61" x14ac:dyDescent="0.25">
      <c r="A23" s="827"/>
      <c r="B23" s="1089"/>
      <c r="C23" s="827"/>
      <c r="D23" s="827"/>
      <c r="E23" s="827"/>
      <c r="F23" s="827"/>
      <c r="G23" s="827"/>
      <c r="H23" s="827"/>
      <c r="I23" s="827"/>
      <c r="J23" s="827"/>
      <c r="K23" s="827"/>
      <c r="L23" s="827"/>
      <c r="M23" s="827"/>
      <c r="N23" s="827"/>
      <c r="O23" s="827"/>
      <c r="P23" s="827"/>
      <c r="Q23" s="827"/>
      <c r="R23" s="827"/>
      <c r="S23" s="1417" t="s">
        <v>1338</v>
      </c>
      <c r="T23" s="1418"/>
      <c r="U23" s="1419"/>
      <c r="V23" s="1308">
        <f>+D106</f>
        <v>96110</v>
      </c>
      <c r="W23" s="827"/>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row>
    <row r="24" spans="1:61" ht="13.8" x14ac:dyDescent="0.3">
      <c r="A24" s="827"/>
      <c r="B24" s="1089"/>
      <c r="C24" s="827"/>
      <c r="D24" s="827"/>
      <c r="E24" s="827"/>
      <c r="F24" s="827"/>
      <c r="G24" s="827"/>
      <c r="H24" s="827"/>
      <c r="I24" s="827"/>
      <c r="J24" s="827"/>
      <c r="K24" s="827"/>
      <c r="L24" s="827"/>
      <c r="M24" s="827"/>
      <c r="N24" s="827"/>
      <c r="O24" s="827"/>
      <c r="P24" s="827"/>
      <c r="Q24" s="827"/>
      <c r="R24" s="827"/>
      <c r="S24" s="1312" t="s">
        <v>1339</v>
      </c>
      <c r="T24" s="1313"/>
      <c r="U24" s="1314"/>
      <c r="V24" s="1311">
        <f>+V23/Q48</f>
        <v>3.4949090909090907</v>
      </c>
      <c r="W24" s="827"/>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row>
    <row r="25" spans="1:61" x14ac:dyDescent="0.25">
      <c r="A25" s="827"/>
      <c r="B25" s="1089"/>
      <c r="C25" s="827"/>
      <c r="D25" s="827"/>
      <c r="E25" s="827"/>
      <c r="F25" s="827"/>
      <c r="G25" s="827"/>
      <c r="H25" s="827"/>
      <c r="I25" s="827"/>
      <c r="J25" s="827"/>
      <c r="K25" s="827"/>
      <c r="L25" s="827"/>
      <c r="M25" s="827"/>
      <c r="N25" s="827"/>
      <c r="O25" s="827"/>
      <c r="P25" s="827"/>
      <c r="Q25" s="827"/>
      <c r="R25" s="827"/>
      <c r="S25" s="827"/>
      <c r="T25" s="827"/>
      <c r="U25" s="827"/>
      <c r="V25" s="827"/>
      <c r="W25" s="827"/>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row>
    <row r="26" spans="1:61" x14ac:dyDescent="0.25">
      <c r="A26" s="827"/>
      <c r="B26" s="1089"/>
      <c r="C26" s="827"/>
      <c r="D26" s="827"/>
      <c r="E26" s="827"/>
      <c r="F26" s="827"/>
      <c r="G26" s="827"/>
      <c r="H26" s="827"/>
      <c r="I26" s="827"/>
      <c r="J26" s="827"/>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row>
    <row r="27" spans="1:61" x14ac:dyDescent="0.25">
      <c r="A27" s="827"/>
      <c r="B27" s="1089"/>
      <c r="C27" s="827"/>
      <c r="D27" s="827"/>
      <c r="E27" s="827"/>
      <c r="F27" s="827"/>
      <c r="G27" s="827"/>
      <c r="H27" s="827"/>
      <c r="I27" s="827"/>
      <c r="J27" s="827"/>
      <c r="K27" s="827"/>
      <c r="L27" s="827"/>
      <c r="M27" s="827"/>
      <c r="N27" s="827"/>
      <c r="O27" s="827"/>
      <c r="P27" s="827"/>
      <c r="Q27" s="827"/>
      <c r="R27" s="827"/>
      <c r="S27" s="827"/>
      <c r="T27" s="827"/>
      <c r="U27" s="827"/>
      <c r="V27" s="827"/>
      <c r="W27" s="827"/>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row>
    <row r="28" spans="1:61" x14ac:dyDescent="0.25">
      <c r="A28" s="827"/>
      <c r="B28" s="1089"/>
      <c r="C28" s="827"/>
      <c r="D28" s="827"/>
      <c r="E28" s="827"/>
      <c r="F28" s="827"/>
      <c r="G28" s="827"/>
      <c r="H28" s="827"/>
      <c r="I28" s="827"/>
      <c r="J28" s="827"/>
      <c r="K28" s="827"/>
      <c r="L28" s="827"/>
      <c r="M28" s="827"/>
      <c r="N28" s="827"/>
      <c r="O28" s="827"/>
      <c r="P28" s="827"/>
      <c r="Q28" s="827"/>
      <c r="R28" s="827"/>
      <c r="S28" s="827"/>
      <c r="T28" s="827"/>
      <c r="U28" s="827"/>
      <c r="V28" s="827"/>
      <c r="W28" s="827"/>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row>
    <row r="29" spans="1:61" ht="13.8" thickBot="1" x14ac:dyDescent="0.3">
      <c r="A29" s="827"/>
      <c r="B29" s="1090" t="s">
        <v>202</v>
      </c>
      <c r="C29" s="827"/>
      <c r="D29" s="827"/>
      <c r="E29" s="827"/>
      <c r="F29" s="827"/>
      <c r="G29" s="827"/>
      <c r="H29" s="827"/>
      <c r="I29" s="827"/>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row>
    <row r="30" spans="1:61" ht="13.8" thickBot="1" x14ac:dyDescent="0.3">
      <c r="A30" s="827"/>
      <c r="B30" s="1315"/>
      <c r="C30" s="1316">
        <v>1</v>
      </c>
      <c r="D30" s="1316">
        <v>2</v>
      </c>
      <c r="E30" s="1316">
        <v>3</v>
      </c>
      <c r="F30" s="1316">
        <v>4</v>
      </c>
      <c r="G30" s="1316">
        <v>5</v>
      </c>
      <c r="H30" s="1316">
        <v>6</v>
      </c>
      <c r="I30" s="1316">
        <v>7</v>
      </c>
      <c r="J30" s="1316">
        <v>8</v>
      </c>
      <c r="K30" s="1316">
        <v>9</v>
      </c>
      <c r="L30" s="1316">
        <v>10</v>
      </c>
      <c r="M30" s="1316">
        <v>11</v>
      </c>
      <c r="N30" s="1317">
        <v>12</v>
      </c>
      <c r="O30" s="1316">
        <v>13</v>
      </c>
      <c r="P30" s="1316">
        <v>14</v>
      </c>
      <c r="Q30" s="1316">
        <v>15</v>
      </c>
      <c r="R30" s="1316">
        <v>16</v>
      </c>
      <c r="S30" s="1316">
        <v>17</v>
      </c>
      <c r="T30" s="1316">
        <v>18</v>
      </c>
      <c r="U30" s="1316">
        <v>19</v>
      </c>
      <c r="V30" s="1316">
        <v>20</v>
      </c>
      <c r="W30" s="1316">
        <v>21</v>
      </c>
      <c r="X30" s="1316">
        <v>22</v>
      </c>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row>
    <row r="31" spans="1:61" ht="13.8" thickBot="1" x14ac:dyDescent="0.3">
      <c r="A31" s="827"/>
      <c r="B31" s="1318" t="s">
        <v>1257</v>
      </c>
      <c r="C31" s="1319"/>
      <c r="D31" s="1319"/>
      <c r="E31" s="1319"/>
      <c r="F31" s="1319"/>
      <c r="G31" s="1319"/>
      <c r="H31" s="1319"/>
      <c r="I31" s="1319"/>
      <c r="J31" s="1319"/>
      <c r="K31" s="1319"/>
      <c r="L31" s="1319"/>
      <c r="M31" s="1319"/>
      <c r="N31" s="1320"/>
      <c r="O31" s="1319"/>
      <c r="P31" s="1319"/>
      <c r="Q31" s="1319"/>
      <c r="R31" s="1319"/>
      <c r="S31" s="1319"/>
      <c r="T31" s="1319"/>
      <c r="U31" s="1319"/>
      <c r="V31" s="1319"/>
      <c r="W31" s="1319"/>
      <c r="X31" s="1319"/>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row>
    <row r="32" spans="1:61" ht="13.8" thickBot="1" x14ac:dyDescent="0.3">
      <c r="A32" s="827"/>
      <c r="B32" s="1321" t="s">
        <v>1258</v>
      </c>
      <c r="C32" s="1319">
        <v>9.1999999999999998E-3</v>
      </c>
      <c r="D32" s="1319">
        <v>2.3999999999999998E-3</v>
      </c>
      <c r="E32" s="1319">
        <v>3.4299999999999997E-2</v>
      </c>
      <c r="F32" s="1319">
        <v>0</v>
      </c>
      <c r="G32" s="1319">
        <v>0</v>
      </c>
      <c r="H32" s="1319">
        <v>0</v>
      </c>
      <c r="I32" s="1319">
        <v>0</v>
      </c>
      <c r="J32" s="1319">
        <v>5.1000000000000004E-3</v>
      </c>
      <c r="K32" s="1319">
        <v>5.1000000000000004E-3</v>
      </c>
      <c r="L32" s="1319">
        <v>5.1000000000000004E-3</v>
      </c>
      <c r="M32" s="1319">
        <v>7.1000000000000004E-3</v>
      </c>
      <c r="N32" s="1320">
        <v>0</v>
      </c>
      <c r="O32" s="1319">
        <v>0</v>
      </c>
      <c r="P32" s="1319">
        <v>1.1599999999999999E-2</v>
      </c>
      <c r="Q32" s="1319">
        <v>6.9999999999999999E-4</v>
      </c>
      <c r="R32" s="1319">
        <v>6.9999999999999999E-4</v>
      </c>
      <c r="S32" s="1319">
        <v>5.6899999999999999E-2</v>
      </c>
      <c r="T32" s="1319">
        <v>5.6899999999999999E-2</v>
      </c>
      <c r="U32" s="1319">
        <v>5.6899999999999999E-2</v>
      </c>
      <c r="V32" s="1319">
        <v>5.6899999999999999E-2</v>
      </c>
      <c r="W32" s="1319">
        <v>9.1999999999999998E-3</v>
      </c>
      <c r="X32" s="1319">
        <v>2.7799999999999998E-2</v>
      </c>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row>
    <row r="33" spans="1:61" ht="13.8" thickBot="1" x14ac:dyDescent="0.3">
      <c r="A33" s="827"/>
      <c r="B33" s="1321" t="s">
        <v>1340</v>
      </c>
      <c r="C33" s="1319">
        <v>0</v>
      </c>
      <c r="D33" s="1319">
        <v>0</v>
      </c>
      <c r="E33" s="1319">
        <v>0</v>
      </c>
      <c r="F33" s="1319">
        <v>0.93100000000000005</v>
      </c>
      <c r="G33" s="1319">
        <v>0.93100000000000005</v>
      </c>
      <c r="H33" s="1319">
        <v>0</v>
      </c>
      <c r="I33" s="1319">
        <v>0.36030000000000001</v>
      </c>
      <c r="J33" s="1319">
        <v>6.9999999999999999E-4</v>
      </c>
      <c r="K33" s="1319">
        <v>6.9999999999999999E-4</v>
      </c>
      <c r="L33" s="1319">
        <v>6.9999999999999999E-4</v>
      </c>
      <c r="M33" s="1319">
        <v>1E-3</v>
      </c>
      <c r="N33" s="1320">
        <v>0</v>
      </c>
      <c r="O33" s="1319">
        <v>0</v>
      </c>
      <c r="P33" s="1319">
        <v>1.6000000000000001E-3</v>
      </c>
      <c r="Q33" s="1319">
        <v>0</v>
      </c>
      <c r="R33" s="1319">
        <v>0</v>
      </c>
      <c r="S33" s="1319">
        <v>8.2000000000000007E-3</v>
      </c>
      <c r="T33" s="1319">
        <v>8.2000000000000007E-3</v>
      </c>
      <c r="U33" s="1319">
        <v>8.2000000000000007E-3</v>
      </c>
      <c r="V33" s="1319">
        <v>8.2000000000000007E-3</v>
      </c>
      <c r="W33" s="1319">
        <v>0</v>
      </c>
      <c r="X33" s="1319">
        <v>0</v>
      </c>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row>
    <row r="34" spans="1:61" ht="13.8" thickBot="1" x14ac:dyDescent="0.3">
      <c r="A34" s="827"/>
      <c r="B34" s="1321" t="s">
        <v>1341</v>
      </c>
      <c r="C34" s="1319">
        <v>0</v>
      </c>
      <c r="D34" s="1319">
        <v>0</v>
      </c>
      <c r="E34" s="1319">
        <v>0</v>
      </c>
      <c r="F34" s="1319">
        <v>0</v>
      </c>
      <c r="G34" s="1319">
        <v>0</v>
      </c>
      <c r="H34" s="1319">
        <v>0</v>
      </c>
      <c r="I34" s="1319">
        <v>0</v>
      </c>
      <c r="J34" s="1319">
        <v>0</v>
      </c>
      <c r="K34" s="1319">
        <v>0</v>
      </c>
      <c r="L34" s="1319">
        <v>0</v>
      </c>
      <c r="M34" s="1319">
        <v>0</v>
      </c>
      <c r="N34" s="1320">
        <v>0</v>
      </c>
      <c r="O34" s="1319">
        <v>0</v>
      </c>
      <c r="P34" s="1319">
        <v>0</v>
      </c>
      <c r="Q34" s="1319">
        <v>0</v>
      </c>
      <c r="R34" s="1319">
        <v>0</v>
      </c>
      <c r="S34" s="1319">
        <v>0</v>
      </c>
      <c r="T34" s="1319">
        <v>0</v>
      </c>
      <c r="U34" s="1319">
        <v>0</v>
      </c>
      <c r="V34" s="1319">
        <v>0</v>
      </c>
      <c r="W34" s="1319">
        <v>0</v>
      </c>
      <c r="X34" s="1319">
        <v>0</v>
      </c>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row>
    <row r="35" spans="1:61" ht="13.8" thickBot="1" x14ac:dyDescent="0.3">
      <c r="A35" s="827"/>
      <c r="B35" s="1321" t="s">
        <v>1342</v>
      </c>
      <c r="C35" s="1319">
        <v>0</v>
      </c>
      <c r="D35" s="1319">
        <v>0</v>
      </c>
      <c r="E35" s="1319">
        <v>0</v>
      </c>
      <c r="F35" s="1319">
        <v>3.2000000000000001E-2</v>
      </c>
      <c r="G35" s="1319">
        <v>3.2000000000000001E-2</v>
      </c>
      <c r="H35" s="1319">
        <v>0</v>
      </c>
      <c r="I35" s="1319">
        <v>0</v>
      </c>
      <c r="J35" s="1319">
        <v>0</v>
      </c>
      <c r="K35" s="1319">
        <v>0</v>
      </c>
      <c r="L35" s="1319">
        <v>0</v>
      </c>
      <c r="M35" s="1319">
        <v>0</v>
      </c>
      <c r="N35" s="1320">
        <v>0</v>
      </c>
      <c r="O35" s="1319">
        <v>0</v>
      </c>
      <c r="P35" s="1319">
        <v>0</v>
      </c>
      <c r="Q35" s="1319">
        <v>0</v>
      </c>
      <c r="R35" s="1319">
        <v>0</v>
      </c>
      <c r="S35" s="1319">
        <v>0</v>
      </c>
      <c r="T35" s="1319">
        <v>0</v>
      </c>
      <c r="U35" s="1319">
        <v>0</v>
      </c>
      <c r="V35" s="1319">
        <v>0</v>
      </c>
      <c r="W35" s="1319">
        <v>0</v>
      </c>
      <c r="X35" s="1319">
        <v>0</v>
      </c>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row>
    <row r="36" spans="1:61" ht="13.8" thickBot="1" x14ac:dyDescent="0.3">
      <c r="A36" s="827"/>
      <c r="B36" s="1321" t="s">
        <v>1343</v>
      </c>
      <c r="C36" s="1319">
        <v>0</v>
      </c>
      <c r="D36" s="1319">
        <v>0</v>
      </c>
      <c r="E36" s="1319">
        <v>0</v>
      </c>
      <c r="F36" s="1319">
        <v>7.0000000000000001E-3</v>
      </c>
      <c r="G36" s="1319">
        <v>7.0000000000000001E-3</v>
      </c>
      <c r="H36" s="1319">
        <v>0</v>
      </c>
      <c r="I36" s="1319">
        <v>0</v>
      </c>
      <c r="J36" s="1319">
        <v>0</v>
      </c>
      <c r="K36" s="1319">
        <v>0</v>
      </c>
      <c r="L36" s="1319">
        <v>0</v>
      </c>
      <c r="M36" s="1319">
        <v>0</v>
      </c>
      <c r="N36" s="1320">
        <v>0</v>
      </c>
      <c r="O36" s="1319">
        <v>0</v>
      </c>
      <c r="P36" s="1319">
        <v>0</v>
      </c>
      <c r="Q36" s="1319">
        <v>0</v>
      </c>
      <c r="R36" s="1319">
        <v>0</v>
      </c>
      <c r="S36" s="1319">
        <v>0</v>
      </c>
      <c r="T36" s="1319">
        <v>0</v>
      </c>
      <c r="U36" s="1319">
        <v>0</v>
      </c>
      <c r="V36" s="1319">
        <v>0</v>
      </c>
      <c r="W36" s="1319">
        <v>0</v>
      </c>
      <c r="X36" s="1319">
        <v>0</v>
      </c>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row>
    <row r="37" spans="1:61" ht="13.8" thickBot="1" x14ac:dyDescent="0.3">
      <c r="A37" s="827"/>
      <c r="B37" s="1321" t="s">
        <v>1344</v>
      </c>
      <c r="C37" s="1319">
        <v>0</v>
      </c>
      <c r="D37" s="1319">
        <v>0</v>
      </c>
      <c r="E37" s="1319">
        <v>0</v>
      </c>
      <c r="F37" s="1319">
        <v>4.0000000000000001E-3</v>
      </c>
      <c r="G37" s="1319">
        <v>4.0000000000000001E-3</v>
      </c>
      <c r="H37" s="1319">
        <v>0</v>
      </c>
      <c r="I37" s="1319">
        <v>0</v>
      </c>
      <c r="J37" s="1319">
        <v>0</v>
      </c>
      <c r="K37" s="1319">
        <v>0</v>
      </c>
      <c r="L37" s="1319">
        <v>0</v>
      </c>
      <c r="M37" s="1319">
        <v>0</v>
      </c>
      <c r="N37" s="1320">
        <v>0</v>
      </c>
      <c r="O37" s="1319">
        <v>0</v>
      </c>
      <c r="P37" s="1319">
        <v>0</v>
      </c>
      <c r="Q37" s="1319">
        <v>0</v>
      </c>
      <c r="R37" s="1319">
        <v>0</v>
      </c>
      <c r="S37" s="1319">
        <v>0</v>
      </c>
      <c r="T37" s="1319">
        <v>0</v>
      </c>
      <c r="U37" s="1319">
        <v>0</v>
      </c>
      <c r="V37" s="1319">
        <v>0</v>
      </c>
      <c r="W37" s="1319">
        <v>0</v>
      </c>
      <c r="X37" s="1319">
        <v>0</v>
      </c>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row>
    <row r="38" spans="1:61" ht="13.8" thickBot="1" x14ac:dyDescent="0.3">
      <c r="A38" s="827"/>
      <c r="B38" s="1321" t="s">
        <v>1259</v>
      </c>
      <c r="C38" s="1319">
        <v>0</v>
      </c>
      <c r="D38" s="1319">
        <v>0</v>
      </c>
      <c r="E38" s="1319">
        <v>0</v>
      </c>
      <c r="F38" s="1319">
        <v>0</v>
      </c>
      <c r="G38" s="1319">
        <v>0</v>
      </c>
      <c r="H38" s="1319">
        <v>0</v>
      </c>
      <c r="I38" s="1319">
        <v>2.0000000000000001E-4</v>
      </c>
      <c r="J38" s="1319">
        <v>0.13850000000000001</v>
      </c>
      <c r="K38" s="1319">
        <v>0.13850000000000001</v>
      </c>
      <c r="L38" s="1319">
        <v>3.8999999999999998E-3</v>
      </c>
      <c r="M38" s="1319">
        <v>5.4999999999999997E-3</v>
      </c>
      <c r="N38" s="1320">
        <v>0</v>
      </c>
      <c r="O38" s="1319">
        <v>0</v>
      </c>
      <c r="P38" s="1319">
        <v>9.1000000000000004E-3</v>
      </c>
      <c r="Q38" s="1319">
        <v>0</v>
      </c>
      <c r="R38" s="1319">
        <v>0</v>
      </c>
      <c r="S38" s="1319">
        <v>4.6600000000000003E-2</v>
      </c>
      <c r="T38" s="1319">
        <v>4.6600000000000003E-2</v>
      </c>
      <c r="U38" s="1319">
        <v>4.6600000000000003E-2</v>
      </c>
      <c r="V38" s="1319">
        <v>4.6600000000000003E-2</v>
      </c>
      <c r="W38" s="1319">
        <v>0</v>
      </c>
      <c r="X38" s="1319">
        <v>0</v>
      </c>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row>
    <row r="39" spans="1:61" ht="13.8" thickBot="1" x14ac:dyDescent="0.3">
      <c r="A39" s="827"/>
      <c r="B39" s="1321" t="s">
        <v>1345</v>
      </c>
      <c r="C39" s="1319">
        <v>2.9999999999999997E-4</v>
      </c>
      <c r="D39" s="1319">
        <v>4.0000000000000002E-4</v>
      </c>
      <c r="E39" s="1319">
        <v>0</v>
      </c>
      <c r="F39" s="1319">
        <v>0.01</v>
      </c>
      <c r="G39" s="1319">
        <v>0.01</v>
      </c>
      <c r="H39" s="1319">
        <v>0</v>
      </c>
      <c r="I39" s="1319">
        <v>2.1000000000000001E-2</v>
      </c>
      <c r="J39" s="1319">
        <v>8.1100000000000005E-2</v>
      </c>
      <c r="K39" s="1319">
        <v>8.1100000000000005E-2</v>
      </c>
      <c r="L39" s="1319">
        <v>0.2157</v>
      </c>
      <c r="M39" s="1319">
        <v>0.21110000000000001</v>
      </c>
      <c r="N39" s="1320">
        <v>0.98109999999999997</v>
      </c>
      <c r="O39" s="1319">
        <v>0.99950000000000006</v>
      </c>
      <c r="P39" s="1319">
        <v>1.7399999999999999E-2</v>
      </c>
      <c r="Q39" s="1319">
        <v>0</v>
      </c>
      <c r="R39" s="1319">
        <v>0</v>
      </c>
      <c r="S39" s="1319">
        <v>8.9499999999999996E-2</v>
      </c>
      <c r="T39" s="1319">
        <v>8.9499999999999996E-2</v>
      </c>
      <c r="U39" s="1319">
        <v>8.9499999999999996E-2</v>
      </c>
      <c r="V39" s="1319">
        <v>8.9499999999999996E-2</v>
      </c>
      <c r="W39" s="1319">
        <v>2.9999999999999997E-4</v>
      </c>
      <c r="X39" s="1319">
        <v>5.2499999999999998E-2</v>
      </c>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row>
    <row r="40" spans="1:61" ht="13.8" thickBot="1" x14ac:dyDescent="0.3">
      <c r="A40" s="827"/>
      <c r="B40" s="1321" t="s">
        <v>1346</v>
      </c>
      <c r="C40" s="1319">
        <v>0</v>
      </c>
      <c r="D40" s="1319">
        <v>0</v>
      </c>
      <c r="E40" s="1319">
        <v>0</v>
      </c>
      <c r="F40" s="1319">
        <v>0</v>
      </c>
      <c r="G40" s="1319">
        <v>0</v>
      </c>
      <c r="H40" s="1319">
        <v>0</v>
      </c>
      <c r="I40" s="1319">
        <v>4.8599999999999997E-2</v>
      </c>
      <c r="J40" s="1319">
        <v>0.43419999999999997</v>
      </c>
      <c r="K40" s="1319">
        <v>0.43419999999999997</v>
      </c>
      <c r="L40" s="1319">
        <v>0.56889999999999996</v>
      </c>
      <c r="M40" s="1319">
        <v>0.57489999999999997</v>
      </c>
      <c r="N40" s="1320">
        <v>1E-4</v>
      </c>
      <c r="O40" s="1319">
        <v>0</v>
      </c>
      <c r="P40" s="1319">
        <v>0.94710000000000005</v>
      </c>
      <c r="Q40" s="1319">
        <v>0.99909999999999999</v>
      </c>
      <c r="R40" s="1319">
        <v>0.99909999999999999</v>
      </c>
      <c r="S40" s="1319">
        <v>0.73129999999999995</v>
      </c>
      <c r="T40" s="1319">
        <v>0.73129999999999995</v>
      </c>
      <c r="U40" s="1319">
        <v>0.73129999999999995</v>
      </c>
      <c r="V40" s="1319">
        <v>0.73129999999999995</v>
      </c>
      <c r="W40" s="1319">
        <v>0</v>
      </c>
      <c r="X40" s="1319">
        <v>0</v>
      </c>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row>
    <row r="41" spans="1:61" ht="13.8" thickBot="1" x14ac:dyDescent="0.3">
      <c r="A41" s="827"/>
      <c r="B41" s="1321" t="s">
        <v>1347</v>
      </c>
      <c r="C41" s="1319">
        <v>9.9000000000000008E-3</v>
      </c>
      <c r="D41" s="1319">
        <v>8.6E-3</v>
      </c>
      <c r="E41" s="1319">
        <v>0</v>
      </c>
      <c r="F41" s="1319">
        <v>0</v>
      </c>
      <c r="G41" s="1319">
        <v>0</v>
      </c>
      <c r="H41" s="1319">
        <v>1</v>
      </c>
      <c r="I41" s="1319">
        <v>0.56399999999999995</v>
      </c>
      <c r="J41" s="1319">
        <v>0.33450000000000002</v>
      </c>
      <c r="K41" s="1319">
        <v>0.33450000000000002</v>
      </c>
      <c r="L41" s="1319">
        <v>0.19989999999999999</v>
      </c>
      <c r="M41" s="1319">
        <v>0.1925</v>
      </c>
      <c r="N41" s="1320">
        <v>1.8800000000000001E-2</v>
      </c>
      <c r="O41" s="1319">
        <v>5.0000000000000001E-4</v>
      </c>
      <c r="P41" s="1319">
        <v>0</v>
      </c>
      <c r="Q41" s="1319">
        <v>0</v>
      </c>
      <c r="R41" s="1319">
        <v>0</v>
      </c>
      <c r="S41" s="1319">
        <v>0</v>
      </c>
      <c r="T41" s="1319">
        <v>0</v>
      </c>
      <c r="U41" s="1319">
        <v>0</v>
      </c>
      <c r="V41" s="1319">
        <v>0</v>
      </c>
      <c r="W41" s="1319">
        <v>9.9000000000000008E-3</v>
      </c>
      <c r="X41" s="1319">
        <v>0.27850000000000003</v>
      </c>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row>
    <row r="42" spans="1:61" ht="13.8" thickBot="1" x14ac:dyDescent="0.3">
      <c r="A42" s="827"/>
      <c r="B42" s="1321" t="s">
        <v>1348</v>
      </c>
      <c r="C42" s="1319">
        <v>0.7732</v>
      </c>
      <c r="D42" s="1319">
        <v>0.98499999999999999</v>
      </c>
      <c r="E42" s="1319">
        <v>1.5699999999999999E-2</v>
      </c>
      <c r="F42" s="1319">
        <v>1.6E-2</v>
      </c>
      <c r="G42" s="1319">
        <v>1.6E-2</v>
      </c>
      <c r="H42" s="1319">
        <v>0</v>
      </c>
      <c r="I42" s="1319">
        <v>5.8999999999999999E-3</v>
      </c>
      <c r="J42" s="1319">
        <v>5.7000000000000002E-3</v>
      </c>
      <c r="K42" s="1319">
        <v>5.7000000000000002E-3</v>
      </c>
      <c r="L42" s="1319">
        <v>5.7000000000000002E-3</v>
      </c>
      <c r="M42" s="1319">
        <v>8.0000000000000002E-3</v>
      </c>
      <c r="N42" s="1320">
        <v>0</v>
      </c>
      <c r="O42" s="1319">
        <v>0</v>
      </c>
      <c r="P42" s="1319">
        <v>1.32E-2</v>
      </c>
      <c r="Q42" s="1319">
        <v>1E-4</v>
      </c>
      <c r="R42" s="1319">
        <v>1E-4</v>
      </c>
      <c r="S42" s="1319">
        <v>6.7400000000000002E-2</v>
      </c>
      <c r="T42" s="1319">
        <v>6.7400000000000002E-2</v>
      </c>
      <c r="U42" s="1319">
        <v>6.7400000000000002E-2</v>
      </c>
      <c r="V42" s="1319">
        <v>6.7400000000000002E-2</v>
      </c>
      <c r="W42" s="1319">
        <v>0.7732</v>
      </c>
      <c r="X42" s="1319">
        <v>0.62649999999999995</v>
      </c>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row>
    <row r="43" spans="1:61" ht="13.8" thickBot="1" x14ac:dyDescent="0.3">
      <c r="A43" s="827"/>
      <c r="B43" s="1321" t="s">
        <v>1349</v>
      </c>
      <c r="C43" s="1319">
        <v>0.2074</v>
      </c>
      <c r="D43" s="1319">
        <v>3.5000000000000001E-3</v>
      </c>
      <c r="E43" s="1319">
        <v>0.95009999999999994</v>
      </c>
      <c r="F43" s="1319">
        <v>0</v>
      </c>
      <c r="G43" s="1319">
        <v>0</v>
      </c>
      <c r="H43" s="1319">
        <v>0</v>
      </c>
      <c r="I43" s="1319">
        <v>0</v>
      </c>
      <c r="J43" s="1319">
        <v>0</v>
      </c>
      <c r="K43" s="1319">
        <v>0</v>
      </c>
      <c r="L43" s="1319">
        <v>0</v>
      </c>
      <c r="M43" s="1319">
        <v>0</v>
      </c>
      <c r="N43" s="1320">
        <v>0</v>
      </c>
      <c r="O43" s="1319">
        <v>0</v>
      </c>
      <c r="P43" s="1319">
        <v>0</v>
      </c>
      <c r="Q43" s="1319">
        <v>0</v>
      </c>
      <c r="R43" s="1319">
        <v>0</v>
      </c>
      <c r="S43" s="1319">
        <v>0</v>
      </c>
      <c r="T43" s="1319">
        <v>0</v>
      </c>
      <c r="U43" s="1319">
        <v>0</v>
      </c>
      <c r="V43" s="1319">
        <v>0</v>
      </c>
      <c r="W43" s="1319">
        <v>0.2074</v>
      </c>
      <c r="X43" s="1319">
        <v>1.47E-2</v>
      </c>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row>
    <row r="44" spans="1:61" ht="13.8" thickBot="1" x14ac:dyDescent="0.3">
      <c r="A44" s="827"/>
      <c r="B44" s="1321" t="s">
        <v>1350</v>
      </c>
      <c r="C44" s="1319">
        <v>0</v>
      </c>
      <c r="D44" s="1319">
        <v>0</v>
      </c>
      <c r="E44" s="1319">
        <v>0</v>
      </c>
      <c r="F44" s="1319">
        <v>0</v>
      </c>
      <c r="G44" s="1319">
        <v>0</v>
      </c>
      <c r="H44" s="1319">
        <v>0</v>
      </c>
      <c r="I44" s="1319">
        <v>0</v>
      </c>
      <c r="J44" s="1319">
        <v>0</v>
      </c>
      <c r="K44" s="1319">
        <v>0</v>
      </c>
      <c r="L44" s="1319">
        <v>0</v>
      </c>
      <c r="M44" s="1319">
        <v>0</v>
      </c>
      <c r="N44" s="1320">
        <v>0</v>
      </c>
      <c r="O44" s="1319">
        <v>0</v>
      </c>
      <c r="P44" s="1319">
        <v>0</v>
      </c>
      <c r="Q44" s="1319">
        <v>0</v>
      </c>
      <c r="R44" s="1319">
        <v>0</v>
      </c>
      <c r="S44" s="1319">
        <v>0</v>
      </c>
      <c r="T44" s="1319">
        <v>0</v>
      </c>
      <c r="U44" s="1319">
        <v>0</v>
      </c>
      <c r="V44" s="1319">
        <v>0</v>
      </c>
      <c r="W44" s="1319">
        <v>0</v>
      </c>
      <c r="X44" s="1319">
        <v>0</v>
      </c>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row>
    <row r="45" spans="1:61" ht="13.8" thickBot="1" x14ac:dyDescent="0.3">
      <c r="A45" s="827"/>
      <c r="B45" s="1321" t="s">
        <v>55</v>
      </c>
      <c r="C45" s="1319">
        <v>1</v>
      </c>
      <c r="D45" s="1319">
        <v>1</v>
      </c>
      <c r="E45" s="1319">
        <v>1</v>
      </c>
      <c r="F45" s="1319">
        <v>1</v>
      </c>
      <c r="G45" s="1319">
        <v>1</v>
      </c>
      <c r="H45" s="1319">
        <v>1</v>
      </c>
      <c r="I45" s="1319">
        <v>1</v>
      </c>
      <c r="J45" s="1319">
        <v>1</v>
      </c>
      <c r="K45" s="1319">
        <v>1</v>
      </c>
      <c r="L45" s="1319">
        <v>1</v>
      </c>
      <c r="M45" s="1319">
        <v>1</v>
      </c>
      <c r="N45" s="1320">
        <v>1</v>
      </c>
      <c r="O45" s="1319">
        <v>1</v>
      </c>
      <c r="P45" s="1319">
        <v>1</v>
      </c>
      <c r="Q45" s="1319">
        <v>1</v>
      </c>
      <c r="R45" s="1319">
        <v>1</v>
      </c>
      <c r="S45" s="1319">
        <v>1</v>
      </c>
      <c r="T45" s="1319">
        <v>1</v>
      </c>
      <c r="U45" s="1319">
        <v>1</v>
      </c>
      <c r="V45" s="1319">
        <v>1</v>
      </c>
      <c r="W45" s="1319">
        <v>1</v>
      </c>
      <c r="X45" s="1319">
        <v>1</v>
      </c>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row>
    <row r="46" spans="1:61" ht="13.8" thickBot="1" x14ac:dyDescent="0.3">
      <c r="A46" s="827"/>
      <c r="B46" s="1322"/>
      <c r="C46" s="1319"/>
      <c r="D46" s="1319"/>
      <c r="E46" s="1319"/>
      <c r="F46" s="1319"/>
      <c r="G46" s="1319"/>
      <c r="H46" s="1319"/>
      <c r="I46" s="1319"/>
      <c r="J46" s="1319"/>
      <c r="K46" s="1319"/>
      <c r="L46" s="1319"/>
      <c r="M46" s="1319"/>
      <c r="N46" s="1320"/>
      <c r="O46" s="1319"/>
      <c r="P46" s="1319"/>
      <c r="Q46" s="1319"/>
      <c r="R46" s="1319"/>
      <c r="S46" s="1319"/>
      <c r="T46" s="1319"/>
      <c r="U46" s="1319"/>
      <c r="V46" s="1319"/>
      <c r="W46" s="1319"/>
      <c r="X46" s="1319"/>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row>
    <row r="47" spans="1:61" ht="13.8" thickBot="1" x14ac:dyDescent="0.3">
      <c r="A47" s="827"/>
      <c r="B47" s="1318" t="s">
        <v>1351</v>
      </c>
      <c r="C47" s="1323">
        <v>18428</v>
      </c>
      <c r="D47" s="1323">
        <v>14401</v>
      </c>
      <c r="E47" s="1323">
        <v>3969</v>
      </c>
      <c r="F47" s="1323">
        <v>5594</v>
      </c>
      <c r="G47" s="1323">
        <v>5594</v>
      </c>
      <c r="H47" s="1323">
        <v>9150</v>
      </c>
      <c r="I47" s="1323">
        <v>15279</v>
      </c>
      <c r="J47" s="1323">
        <v>26451</v>
      </c>
      <c r="K47" s="1323">
        <v>26451</v>
      </c>
      <c r="L47" s="1323">
        <v>26451</v>
      </c>
      <c r="M47" s="1323">
        <v>27467</v>
      </c>
      <c r="N47" s="1324">
        <v>5614</v>
      </c>
      <c r="O47" s="1323">
        <v>5510</v>
      </c>
      <c r="P47" s="1323">
        <v>16671</v>
      </c>
      <c r="Q47" s="1323">
        <v>13433</v>
      </c>
      <c r="R47" s="1323">
        <v>13433</v>
      </c>
      <c r="S47" s="1323">
        <v>3238</v>
      </c>
      <c r="T47" s="1323">
        <v>1016</v>
      </c>
      <c r="U47" s="1323">
        <v>1016</v>
      </c>
      <c r="V47" s="1323">
        <v>2222</v>
      </c>
      <c r="W47" s="1323">
        <v>4780</v>
      </c>
      <c r="X47" s="1323">
        <v>6138</v>
      </c>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row>
    <row r="48" spans="1:61" ht="13.8" thickBot="1" x14ac:dyDescent="0.3">
      <c r="A48" s="827"/>
      <c r="B48" s="1318" t="s">
        <v>1260</v>
      </c>
      <c r="C48" s="1323">
        <v>531787</v>
      </c>
      <c r="D48" s="1323">
        <v>402901</v>
      </c>
      <c r="E48" s="1323">
        <v>127850</v>
      </c>
      <c r="F48" s="1323">
        <v>96930</v>
      </c>
      <c r="G48" s="1323">
        <v>96929</v>
      </c>
      <c r="H48" s="1323">
        <v>164844</v>
      </c>
      <c r="I48" s="1323">
        <v>261772</v>
      </c>
      <c r="J48" s="1323">
        <v>389623</v>
      </c>
      <c r="K48" s="1323">
        <v>389623</v>
      </c>
      <c r="L48" s="1323">
        <v>389623</v>
      </c>
      <c r="M48" s="1323">
        <v>400813</v>
      </c>
      <c r="N48" s="1324">
        <v>244297</v>
      </c>
      <c r="O48" s="1323">
        <v>242411</v>
      </c>
      <c r="P48" s="1323">
        <v>63164</v>
      </c>
      <c r="Q48" s="1323">
        <v>27500</v>
      </c>
      <c r="R48" s="1323">
        <v>27500</v>
      </c>
      <c r="S48" s="1323">
        <v>35664</v>
      </c>
      <c r="T48" s="1323">
        <v>11190</v>
      </c>
      <c r="U48" s="1323">
        <v>11191</v>
      </c>
      <c r="V48" s="1323">
        <v>24473</v>
      </c>
      <c r="W48" s="1323">
        <v>137947</v>
      </c>
      <c r="X48" s="1323">
        <v>162420</v>
      </c>
      <c r="Y48" s="827"/>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row>
    <row r="49" spans="1:61" ht="13.8" thickBot="1" x14ac:dyDescent="0.3">
      <c r="A49" s="827"/>
      <c r="B49" s="1318" t="s">
        <v>1261</v>
      </c>
      <c r="C49" s="1319">
        <v>0</v>
      </c>
      <c r="D49" s="1319">
        <v>0</v>
      </c>
      <c r="E49" s="1319">
        <v>0</v>
      </c>
      <c r="F49" s="1319">
        <v>0</v>
      </c>
      <c r="G49" s="1319">
        <v>0</v>
      </c>
      <c r="H49" s="1319">
        <v>0</v>
      </c>
      <c r="I49" s="1319">
        <v>0</v>
      </c>
      <c r="J49" s="1319">
        <v>0</v>
      </c>
      <c r="K49" s="1319">
        <v>0</v>
      </c>
      <c r="L49" s="1319">
        <v>0</v>
      </c>
      <c r="M49" s="1319">
        <v>0</v>
      </c>
      <c r="N49" s="1320">
        <v>0</v>
      </c>
      <c r="O49" s="1319">
        <v>0</v>
      </c>
      <c r="P49" s="1319">
        <v>0</v>
      </c>
      <c r="Q49" s="1319">
        <v>0</v>
      </c>
      <c r="R49" s="1319">
        <v>0</v>
      </c>
      <c r="S49" s="1319">
        <v>0</v>
      </c>
      <c r="T49" s="1319">
        <v>0</v>
      </c>
      <c r="U49" s="1319">
        <v>0</v>
      </c>
      <c r="V49" s="1319">
        <v>0</v>
      </c>
      <c r="W49" s="1319">
        <v>0</v>
      </c>
      <c r="X49" s="1319">
        <v>0</v>
      </c>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row>
    <row r="50" spans="1:61" ht="13.8" thickBot="1" x14ac:dyDescent="0.3">
      <c r="A50" s="827"/>
      <c r="B50" s="1318"/>
      <c r="C50" s="1319"/>
      <c r="D50" s="1319"/>
      <c r="E50" s="1319"/>
      <c r="F50" s="1319"/>
      <c r="G50" s="1319"/>
      <c r="H50" s="1319"/>
      <c r="I50" s="1319"/>
      <c r="J50" s="1319"/>
      <c r="K50" s="1319"/>
      <c r="L50" s="1319"/>
      <c r="M50" s="1319"/>
      <c r="N50" s="1320"/>
      <c r="O50" s="1319"/>
      <c r="P50" s="1319"/>
      <c r="Q50" s="1319"/>
      <c r="R50" s="1319"/>
      <c r="S50" s="1319"/>
      <c r="T50" s="1319"/>
      <c r="U50" s="1319"/>
      <c r="V50" s="1319"/>
      <c r="W50" s="1319"/>
      <c r="X50" s="1319"/>
      <c r="Y50" s="827"/>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row>
    <row r="51" spans="1:61" ht="13.8" thickBot="1" x14ac:dyDescent="0.3">
      <c r="A51" s="827"/>
      <c r="B51" s="1318" t="s">
        <v>1262</v>
      </c>
      <c r="C51" s="1319">
        <v>15</v>
      </c>
      <c r="D51" s="1319">
        <v>21</v>
      </c>
      <c r="E51" s="1319">
        <v>27</v>
      </c>
      <c r="F51" s="1319">
        <v>15</v>
      </c>
      <c r="G51" s="1319">
        <v>370</v>
      </c>
      <c r="H51" s="1319">
        <v>399</v>
      </c>
      <c r="I51" s="1319">
        <v>407</v>
      </c>
      <c r="J51" s="1319">
        <v>1093</v>
      </c>
      <c r="K51" s="1319">
        <v>204</v>
      </c>
      <c r="L51" s="1319">
        <v>38</v>
      </c>
      <c r="M51" s="1319">
        <v>38</v>
      </c>
      <c r="N51" s="1320">
        <v>49</v>
      </c>
      <c r="O51" s="1319">
        <v>30</v>
      </c>
      <c r="P51" s="1319">
        <v>38</v>
      </c>
      <c r="Q51" s="1319">
        <v>38</v>
      </c>
      <c r="R51" s="1319">
        <v>30</v>
      </c>
      <c r="S51" s="1319">
        <v>38</v>
      </c>
      <c r="T51" s="1319">
        <v>38</v>
      </c>
      <c r="U51" s="1319">
        <v>38</v>
      </c>
      <c r="V51" s="1319">
        <v>38</v>
      </c>
      <c r="W51" s="1319">
        <v>15</v>
      </c>
      <c r="X51" s="1319">
        <v>121</v>
      </c>
      <c r="Y51" s="827"/>
      <c r="Z51" s="827"/>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row>
    <row r="52" spans="1:61" ht="13.8" thickBot="1" x14ac:dyDescent="0.3">
      <c r="A52" s="827"/>
      <c r="B52" s="1318" t="s">
        <v>1263</v>
      </c>
      <c r="C52" s="1319">
        <v>0.1</v>
      </c>
      <c r="D52" s="1319">
        <v>0.45</v>
      </c>
      <c r="E52" s="1319">
        <v>3.31</v>
      </c>
      <c r="F52" s="1319">
        <v>3.1</v>
      </c>
      <c r="G52" s="1319">
        <v>3</v>
      </c>
      <c r="H52" s="1319">
        <v>3.1</v>
      </c>
      <c r="I52" s="1319">
        <v>2.9</v>
      </c>
      <c r="J52" s="1319">
        <v>2.83</v>
      </c>
      <c r="K52" s="1319">
        <v>2.8</v>
      </c>
      <c r="L52" s="1319">
        <v>2.4500000000000002</v>
      </c>
      <c r="M52" s="1319">
        <v>2.4500000000000002</v>
      </c>
      <c r="N52" s="1320">
        <v>0.14000000000000001</v>
      </c>
      <c r="O52" s="1319">
        <v>15.27</v>
      </c>
      <c r="P52" s="1319">
        <v>2.35</v>
      </c>
      <c r="Q52" s="1319">
        <v>2.2799999999999998</v>
      </c>
      <c r="R52" s="1319">
        <v>6.48</v>
      </c>
      <c r="S52" s="1319">
        <v>0.14000000000000001</v>
      </c>
      <c r="T52" s="1319">
        <v>0.14000000000000001</v>
      </c>
      <c r="U52" s="1319">
        <v>2.76</v>
      </c>
      <c r="V52" s="1319">
        <v>0.14000000000000001</v>
      </c>
      <c r="W52" s="1319">
        <v>0.1</v>
      </c>
      <c r="X52" s="1319">
        <v>0.1</v>
      </c>
      <c r="Y52" s="827"/>
      <c r="Z52" s="827"/>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row>
    <row r="53" spans="1:61" ht="13.8" thickBot="1" x14ac:dyDescent="0.3">
      <c r="A53" s="827"/>
      <c r="B53" s="1318" t="s">
        <v>1352</v>
      </c>
      <c r="C53" s="1319">
        <v>30.23</v>
      </c>
      <c r="D53" s="1319">
        <v>28.12</v>
      </c>
      <c r="E53" s="1319">
        <v>14.67</v>
      </c>
      <c r="F53" s="1319">
        <v>-6.77</v>
      </c>
      <c r="G53" s="1319">
        <v>969.07</v>
      </c>
      <c r="H53" s="1319">
        <v>3226.4</v>
      </c>
      <c r="I53" s="1319">
        <v>2378.9</v>
      </c>
      <c r="J53" s="1319">
        <v>3617.35</v>
      </c>
      <c r="K53" s="1319">
        <v>1446.86</v>
      </c>
      <c r="L53" s="1319">
        <v>78.31</v>
      </c>
      <c r="M53" s="1319">
        <v>78.8</v>
      </c>
      <c r="N53" s="1320">
        <v>61.61</v>
      </c>
      <c r="O53" s="1319">
        <v>-231.09</v>
      </c>
      <c r="P53" s="1319">
        <v>289.27999999999997</v>
      </c>
      <c r="Q53" s="1319">
        <v>537.24</v>
      </c>
      <c r="R53" s="1319">
        <v>440.76</v>
      </c>
      <c r="S53" s="1319">
        <v>99.65</v>
      </c>
      <c r="T53" s="1319">
        <v>99.65</v>
      </c>
      <c r="U53" s="1319">
        <v>96.04</v>
      </c>
      <c r="V53" s="1319">
        <v>99.65</v>
      </c>
      <c r="W53" s="1319">
        <v>30.23</v>
      </c>
      <c r="X53" s="1319">
        <v>614.39</v>
      </c>
      <c r="Y53" s="827"/>
      <c r="Z53" s="827"/>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row>
    <row r="54" spans="1:61" ht="13.8" thickBot="1" x14ac:dyDescent="0.3">
      <c r="A54" s="827"/>
      <c r="B54" s="1318" t="s">
        <v>1353</v>
      </c>
      <c r="C54" s="1319">
        <v>-97.58</v>
      </c>
      <c r="D54" s="1319">
        <v>-92.37</v>
      </c>
      <c r="E54" s="1319">
        <v>-7.83</v>
      </c>
      <c r="F54" s="1319">
        <v>-4516</v>
      </c>
      <c r="G54" s="1319">
        <v>-3540.22</v>
      </c>
      <c r="H54" s="1319">
        <v>-12753.9</v>
      </c>
      <c r="I54" s="1319">
        <v>-9165.98</v>
      </c>
      <c r="J54" s="1319">
        <v>-6160.81</v>
      </c>
      <c r="K54" s="1319">
        <v>-8331.31</v>
      </c>
      <c r="L54" s="1325">
        <v>-9664.7199999999993</v>
      </c>
      <c r="M54" s="1325">
        <v>-9497.9699999999993</v>
      </c>
      <c r="N54" s="1326">
        <v>-8956.76</v>
      </c>
      <c r="O54" s="1325">
        <v>-9194.65</v>
      </c>
      <c r="P54" s="1325">
        <v>-2002.4</v>
      </c>
      <c r="Q54" s="1325">
        <v>186.44</v>
      </c>
      <c r="R54" s="1325">
        <v>89.95</v>
      </c>
      <c r="S54" s="1325">
        <v>-3688.61</v>
      </c>
      <c r="T54" s="1325">
        <v>-3688.61</v>
      </c>
      <c r="U54" s="1325">
        <v>-3692.21</v>
      </c>
      <c r="V54" s="1325">
        <v>-3688.61</v>
      </c>
      <c r="W54" s="1325">
        <v>-97.58</v>
      </c>
      <c r="X54" s="1325">
        <v>-3215.03</v>
      </c>
      <c r="Y54" s="827"/>
      <c r="Z54" s="827"/>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row>
    <row r="55" spans="1:61" ht="13.8" thickBot="1" x14ac:dyDescent="0.3">
      <c r="A55" s="827"/>
      <c r="B55" s="1318" t="s">
        <v>1354</v>
      </c>
      <c r="C55" s="1319">
        <v>1.2</v>
      </c>
      <c r="D55" s="1319">
        <v>5.2</v>
      </c>
      <c r="E55" s="1319">
        <v>43.9</v>
      </c>
      <c r="F55" s="1319">
        <v>24.4</v>
      </c>
      <c r="G55" s="1319">
        <v>9.6999999999999993</v>
      </c>
      <c r="H55" s="1319">
        <v>10.4</v>
      </c>
      <c r="I55" s="1319">
        <v>8.9</v>
      </c>
      <c r="J55" s="1319">
        <v>3.7</v>
      </c>
      <c r="K55" s="1319">
        <v>10.5</v>
      </c>
      <c r="L55" s="1319">
        <v>17.399999999999999</v>
      </c>
      <c r="M55" s="1319">
        <v>17.100000000000001</v>
      </c>
      <c r="N55" s="1320">
        <v>2.2999999999999998</v>
      </c>
      <c r="O55" s="1319">
        <v>630.1</v>
      </c>
      <c r="P55" s="1319">
        <v>3.4</v>
      </c>
      <c r="Q55" s="1319">
        <v>1.8</v>
      </c>
      <c r="R55" s="1319">
        <v>5.0999999999999996</v>
      </c>
      <c r="S55" s="1319">
        <v>0.6</v>
      </c>
      <c r="T55" s="1319">
        <v>0.6</v>
      </c>
      <c r="U55" s="1319">
        <v>11.7</v>
      </c>
      <c r="V55" s="1319">
        <v>0.6</v>
      </c>
      <c r="W55" s="1319">
        <v>1.2</v>
      </c>
      <c r="X55" s="1319">
        <v>0.8</v>
      </c>
      <c r="Y55" s="827"/>
      <c r="Z55" s="827"/>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row>
    <row r="56" spans="1:61" ht="13.8" thickBot="1" x14ac:dyDescent="0.3">
      <c r="A56" s="827"/>
      <c r="B56" s="1318" t="s">
        <v>1264</v>
      </c>
      <c r="C56" s="1319">
        <v>28.856999999999999</v>
      </c>
      <c r="D56" s="1319">
        <v>27.975999999999999</v>
      </c>
      <c r="E56" s="1319">
        <v>32.209000000000003</v>
      </c>
      <c r="F56" s="1319">
        <v>17.327999999999999</v>
      </c>
      <c r="G56" s="1319">
        <v>17.327999999999999</v>
      </c>
      <c r="H56" s="1319">
        <v>18.015000000000001</v>
      </c>
      <c r="I56" s="1319">
        <v>17.132999999999999</v>
      </c>
      <c r="J56" s="1319">
        <v>14.73</v>
      </c>
      <c r="K56" s="1319">
        <v>14.73</v>
      </c>
      <c r="L56" s="1319">
        <v>14.73</v>
      </c>
      <c r="M56" s="1319">
        <v>14.593</v>
      </c>
      <c r="N56" s="1320">
        <v>43.515999999999998</v>
      </c>
      <c r="O56" s="1319">
        <v>43.997</v>
      </c>
      <c r="P56" s="1319">
        <v>3.7890000000000001</v>
      </c>
      <c r="Q56" s="1319">
        <v>2.0470000000000002</v>
      </c>
      <c r="R56" s="1319">
        <v>2.0470000000000002</v>
      </c>
      <c r="S56" s="1319">
        <v>11.013</v>
      </c>
      <c r="T56" s="1319">
        <v>11.013</v>
      </c>
      <c r="U56" s="1319">
        <v>11.013</v>
      </c>
      <c r="V56" s="1319">
        <v>11.013</v>
      </c>
      <c r="W56" s="1319">
        <v>28.856999999999999</v>
      </c>
      <c r="X56" s="1319">
        <v>26.46</v>
      </c>
      <c r="Y56" s="827"/>
      <c r="Z56" s="827"/>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row>
    <row r="57" spans="1:61" ht="13.8" thickBot="1" x14ac:dyDescent="0.3">
      <c r="A57" s="827"/>
      <c r="B57" s="1318"/>
      <c r="C57" s="1319"/>
      <c r="D57" s="1319"/>
      <c r="E57" s="1319"/>
      <c r="F57" s="1319"/>
      <c r="G57" s="1319"/>
      <c r="H57" s="1319"/>
      <c r="I57" s="1319"/>
      <c r="J57" s="1319"/>
      <c r="K57" s="1319"/>
      <c r="L57" s="1319"/>
      <c r="M57" s="1319"/>
      <c r="N57" s="1320"/>
      <c r="O57" s="1319"/>
      <c r="P57" s="1319"/>
      <c r="Q57" s="1319"/>
      <c r="R57" s="1319"/>
      <c r="S57" s="1319"/>
      <c r="T57" s="1319"/>
      <c r="U57" s="1319"/>
      <c r="V57" s="1319"/>
      <c r="W57" s="1319"/>
      <c r="X57" s="1319"/>
      <c r="Y57" s="827"/>
      <c r="Z57" s="827"/>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row>
    <row r="58" spans="1:61" ht="13.8" thickBot="1" x14ac:dyDescent="0.3">
      <c r="A58" s="827"/>
      <c r="B58" s="1318" t="s">
        <v>1355</v>
      </c>
      <c r="C58" s="1323">
        <v>40628</v>
      </c>
      <c r="D58" s="1323">
        <v>31750</v>
      </c>
      <c r="E58" s="1323">
        <v>8751</v>
      </c>
      <c r="F58" s="1323">
        <v>12333</v>
      </c>
      <c r="G58" s="1323">
        <v>12332</v>
      </c>
      <c r="H58" s="1323">
        <v>20173</v>
      </c>
      <c r="I58" s="1323">
        <v>33685</v>
      </c>
      <c r="J58" s="1323">
        <v>58314</v>
      </c>
      <c r="K58" s="1323">
        <v>58314</v>
      </c>
      <c r="L58" s="1323">
        <v>58314</v>
      </c>
      <c r="M58" s="1323">
        <v>60554</v>
      </c>
      <c r="N58" s="1324">
        <v>12377</v>
      </c>
      <c r="O58" s="1323">
        <v>12147</v>
      </c>
      <c r="P58" s="1323">
        <v>36754</v>
      </c>
      <c r="Q58" s="1323">
        <v>29614</v>
      </c>
      <c r="R58" s="1323">
        <v>29614</v>
      </c>
      <c r="S58" s="1323">
        <v>7140</v>
      </c>
      <c r="T58" s="1323">
        <v>2240</v>
      </c>
      <c r="U58" s="1323">
        <v>2240</v>
      </c>
      <c r="V58" s="1323">
        <v>4899</v>
      </c>
      <c r="W58" s="1323">
        <v>10539</v>
      </c>
      <c r="X58" s="1323">
        <v>13533</v>
      </c>
      <c r="Y58" s="827"/>
      <c r="Z58" s="827"/>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row>
    <row r="59" spans="1:61" ht="13.8" thickBot="1" x14ac:dyDescent="0.3">
      <c r="A59" s="827"/>
      <c r="B59" s="1318" t="s">
        <v>1265</v>
      </c>
      <c r="C59" s="1323">
        <v>1172390</v>
      </c>
      <c r="D59" s="1323">
        <v>888245</v>
      </c>
      <c r="E59" s="1323">
        <v>281862</v>
      </c>
      <c r="F59" s="1323">
        <v>213694</v>
      </c>
      <c r="G59" s="1323">
        <v>213691</v>
      </c>
      <c r="H59" s="1323">
        <v>363418</v>
      </c>
      <c r="I59" s="1323">
        <v>577109</v>
      </c>
      <c r="J59" s="1323">
        <v>858971</v>
      </c>
      <c r="K59" s="1323">
        <v>858971</v>
      </c>
      <c r="L59" s="1323">
        <v>858971</v>
      </c>
      <c r="M59" s="1323">
        <v>883642</v>
      </c>
      <c r="N59" s="1324">
        <v>538583</v>
      </c>
      <c r="O59" s="1323">
        <v>534424</v>
      </c>
      <c r="P59" s="1323">
        <v>139252</v>
      </c>
      <c r="Q59" s="1323">
        <v>60627</v>
      </c>
      <c r="R59" s="1323">
        <v>60627</v>
      </c>
      <c r="S59" s="1323">
        <v>78625</v>
      </c>
      <c r="T59" s="1323">
        <v>24671</v>
      </c>
      <c r="U59" s="1323">
        <v>24671</v>
      </c>
      <c r="V59" s="1323">
        <v>53954</v>
      </c>
      <c r="W59" s="1323">
        <v>304121</v>
      </c>
      <c r="X59" s="1323">
        <v>358075</v>
      </c>
      <c r="Y59" s="827"/>
      <c r="Z59" s="827"/>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row>
    <row r="60" spans="1:61" ht="13.8" thickBot="1" x14ac:dyDescent="0.3">
      <c r="A60" s="827"/>
      <c r="B60" s="1318" t="s">
        <v>1266</v>
      </c>
      <c r="C60" s="1319">
        <v>0</v>
      </c>
      <c r="D60" s="1319">
        <v>0</v>
      </c>
      <c r="E60" s="1319">
        <v>0</v>
      </c>
      <c r="F60" s="1319">
        <v>0</v>
      </c>
      <c r="G60" s="1319">
        <v>0</v>
      </c>
      <c r="H60" s="1319">
        <v>0</v>
      </c>
      <c r="I60" s="1319">
        <v>0</v>
      </c>
      <c r="J60" s="1319">
        <v>0</v>
      </c>
      <c r="K60" s="1319">
        <v>0</v>
      </c>
      <c r="L60" s="1319">
        <v>0</v>
      </c>
      <c r="M60" s="1319">
        <v>0</v>
      </c>
      <c r="N60" s="1320">
        <v>0</v>
      </c>
      <c r="O60" s="1319">
        <v>0</v>
      </c>
      <c r="P60" s="1319">
        <v>0</v>
      </c>
      <c r="Q60" s="1319">
        <v>0</v>
      </c>
      <c r="R60" s="1319">
        <v>0</v>
      </c>
      <c r="S60" s="1319">
        <v>0</v>
      </c>
      <c r="T60" s="1319">
        <v>0</v>
      </c>
      <c r="U60" s="1319">
        <v>0</v>
      </c>
      <c r="V60" s="1319">
        <v>0</v>
      </c>
      <c r="W60" s="1319">
        <v>0</v>
      </c>
      <c r="X60" s="1319">
        <v>0</v>
      </c>
      <c r="Y60" s="827"/>
      <c r="Z60" s="827"/>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row>
    <row r="61" spans="1:61" ht="13.8" thickBot="1" x14ac:dyDescent="0.3">
      <c r="A61" s="827"/>
      <c r="B61" s="1318"/>
      <c r="C61" s="1319"/>
      <c r="D61" s="1319"/>
      <c r="E61" s="1319"/>
      <c r="F61" s="1319"/>
      <c r="G61" s="1319"/>
      <c r="H61" s="1319"/>
      <c r="I61" s="1319"/>
      <c r="J61" s="1319"/>
      <c r="K61" s="1319"/>
      <c r="L61" s="1319"/>
      <c r="M61" s="1319"/>
      <c r="N61" s="1320"/>
      <c r="O61" s="1319"/>
      <c r="P61" s="1319"/>
      <c r="Q61" s="1319"/>
      <c r="R61" s="1319"/>
      <c r="S61" s="1319"/>
      <c r="T61" s="1319"/>
      <c r="U61" s="1319"/>
      <c r="V61" s="1319"/>
      <c r="W61" s="1319"/>
      <c r="X61" s="1319"/>
      <c r="Y61" s="827"/>
      <c r="Z61" s="827"/>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row>
    <row r="62" spans="1:61" ht="13.8" thickBot="1" x14ac:dyDescent="0.3">
      <c r="A62" s="827"/>
      <c r="B62" s="1318" t="s">
        <v>1249</v>
      </c>
      <c r="C62" s="1319">
        <v>59</v>
      </c>
      <c r="D62" s="1319">
        <v>70</v>
      </c>
      <c r="E62" s="1319">
        <v>80</v>
      </c>
      <c r="F62" s="1319">
        <v>59</v>
      </c>
      <c r="G62" s="1319">
        <v>698</v>
      </c>
      <c r="H62" s="1319">
        <v>750</v>
      </c>
      <c r="I62" s="1319">
        <v>765</v>
      </c>
      <c r="J62" s="1323">
        <v>2000</v>
      </c>
      <c r="K62" s="1319">
        <v>400</v>
      </c>
      <c r="L62" s="1319">
        <v>100</v>
      </c>
      <c r="M62" s="1319">
        <v>100</v>
      </c>
      <c r="N62" s="1320">
        <v>120</v>
      </c>
      <c r="O62" s="1319">
        <v>86</v>
      </c>
      <c r="P62" s="1319">
        <v>100</v>
      </c>
      <c r="Q62" s="1319">
        <v>100</v>
      </c>
      <c r="R62" s="1319">
        <v>86</v>
      </c>
      <c r="S62" s="1319">
        <v>100</v>
      </c>
      <c r="T62" s="1319">
        <v>100</v>
      </c>
      <c r="U62" s="1319">
        <v>100</v>
      </c>
      <c r="V62" s="1319">
        <v>100</v>
      </c>
      <c r="W62" s="1319">
        <v>59</v>
      </c>
      <c r="X62" s="1319">
        <v>250</v>
      </c>
      <c r="Y62" s="827"/>
      <c r="Z62" s="827"/>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row>
    <row r="63" spans="1:61" ht="13.8" thickBot="1" x14ac:dyDescent="0.3">
      <c r="A63" s="827"/>
      <c r="B63" s="1318" t="s">
        <v>1250</v>
      </c>
      <c r="C63" s="1319">
        <v>14.7</v>
      </c>
      <c r="D63" s="1319">
        <v>65</v>
      </c>
      <c r="E63" s="1319">
        <v>480</v>
      </c>
      <c r="F63" s="1319">
        <v>450</v>
      </c>
      <c r="G63" s="1319">
        <v>435.3</v>
      </c>
      <c r="H63" s="1319">
        <v>450</v>
      </c>
      <c r="I63" s="1319">
        <v>421</v>
      </c>
      <c r="J63" s="1319">
        <v>411</v>
      </c>
      <c r="K63" s="1319">
        <v>406</v>
      </c>
      <c r="L63" s="1319">
        <v>356</v>
      </c>
      <c r="M63" s="1319">
        <v>356</v>
      </c>
      <c r="N63" s="1320">
        <v>20</v>
      </c>
      <c r="O63" s="1325">
        <v>2214.6999999999998</v>
      </c>
      <c r="P63" s="1319">
        <v>341</v>
      </c>
      <c r="Q63" s="1319">
        <v>331</v>
      </c>
      <c r="R63" s="1319">
        <v>939.7</v>
      </c>
      <c r="S63" s="1319">
        <v>20</v>
      </c>
      <c r="T63" s="1319">
        <v>20</v>
      </c>
      <c r="U63" s="1319">
        <v>400</v>
      </c>
      <c r="V63" s="1319">
        <v>20</v>
      </c>
      <c r="W63" s="1319">
        <v>14.7</v>
      </c>
      <c r="X63" s="1319">
        <v>14.7</v>
      </c>
      <c r="Y63" s="827"/>
      <c r="Z63" s="827"/>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row>
    <row r="64" spans="1:61" ht="13.8" thickBot="1" x14ac:dyDescent="0.3">
      <c r="A64" s="827"/>
      <c r="B64" s="1318" t="s">
        <v>1356</v>
      </c>
      <c r="C64" s="1319">
        <v>13</v>
      </c>
      <c r="D64" s="1319">
        <v>12.1</v>
      </c>
      <c r="E64" s="1319">
        <v>6.3</v>
      </c>
      <c r="F64" s="1319">
        <v>-2.9</v>
      </c>
      <c r="G64" s="1319">
        <v>416.6</v>
      </c>
      <c r="H64" s="1325">
        <v>1387.1</v>
      </c>
      <c r="I64" s="1325">
        <v>1022.7</v>
      </c>
      <c r="J64" s="1325">
        <v>1555.2</v>
      </c>
      <c r="K64" s="1319">
        <v>622</v>
      </c>
      <c r="L64" s="1319">
        <v>33.700000000000003</v>
      </c>
      <c r="M64" s="1319">
        <v>33.9</v>
      </c>
      <c r="N64" s="1320">
        <v>26.5</v>
      </c>
      <c r="O64" s="1319">
        <v>-99.4</v>
      </c>
      <c r="P64" s="1319">
        <v>124.4</v>
      </c>
      <c r="Q64" s="1319">
        <v>231</v>
      </c>
      <c r="R64" s="1319">
        <v>189.5</v>
      </c>
      <c r="S64" s="1319">
        <v>42.8</v>
      </c>
      <c r="T64" s="1319">
        <v>42.8</v>
      </c>
      <c r="U64" s="1319">
        <v>41.3</v>
      </c>
      <c r="V64" s="1319">
        <v>42.8</v>
      </c>
      <c r="W64" s="1319">
        <v>13</v>
      </c>
      <c r="X64" s="1319">
        <v>264.10000000000002</v>
      </c>
      <c r="Y64" s="827"/>
      <c r="Z64" s="827"/>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row>
    <row r="65" spans="1:61" ht="13.8" thickBot="1" x14ac:dyDescent="0.3">
      <c r="A65" s="827"/>
      <c r="B65" s="1318" t="s">
        <v>1357</v>
      </c>
      <c r="C65" s="1319">
        <v>-42</v>
      </c>
      <c r="D65" s="1319">
        <v>-39.700000000000003</v>
      </c>
      <c r="E65" s="1319">
        <v>-3.4</v>
      </c>
      <c r="F65" s="1325">
        <v>-1941.5</v>
      </c>
      <c r="G65" s="1325">
        <v>-1522</v>
      </c>
      <c r="H65" s="1325">
        <v>-5483.2</v>
      </c>
      <c r="I65" s="1325">
        <v>-3940.7</v>
      </c>
      <c r="J65" s="1325">
        <v>-2648.7</v>
      </c>
      <c r="K65" s="1325">
        <v>-3581.8</v>
      </c>
      <c r="L65" s="1325">
        <v>-4155.1000000000004</v>
      </c>
      <c r="M65" s="1325">
        <v>-4083.4</v>
      </c>
      <c r="N65" s="1326">
        <v>-3850.7</v>
      </c>
      <c r="O65" s="1325">
        <v>-3953</v>
      </c>
      <c r="P65" s="1319">
        <v>-860.9</v>
      </c>
      <c r="Q65" s="1319">
        <v>80.2</v>
      </c>
      <c r="R65" s="1319">
        <v>38.700000000000003</v>
      </c>
      <c r="S65" s="1319">
        <v>-1585.8</v>
      </c>
      <c r="T65" s="1319">
        <v>-1585.8</v>
      </c>
      <c r="U65" s="1319">
        <v>-1587.4</v>
      </c>
      <c r="V65" s="1319">
        <v>-1585.8</v>
      </c>
      <c r="W65" s="1319">
        <v>-42</v>
      </c>
      <c r="X65" s="1319">
        <v>-1382.2</v>
      </c>
      <c r="Y65" s="827"/>
      <c r="Z65" s="827"/>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row>
    <row r="66" spans="1:61" ht="13.8" thickBot="1" x14ac:dyDescent="0.3">
      <c r="A66" s="827"/>
      <c r="B66" s="1318" t="s">
        <v>1358</v>
      </c>
      <c r="C66" s="1319">
        <v>7.5999999999999998E-2</v>
      </c>
      <c r="D66" s="1319">
        <v>0.32200000000000001</v>
      </c>
      <c r="E66" s="1319">
        <v>2.7429999999999999</v>
      </c>
      <c r="F66" s="1319">
        <v>1.5249999999999999</v>
      </c>
      <c r="G66" s="1319">
        <v>0.60499999999999998</v>
      </c>
      <c r="H66" s="1319">
        <v>0.65200000000000002</v>
      </c>
      <c r="I66" s="1319">
        <v>0.55800000000000005</v>
      </c>
      <c r="J66" s="1319">
        <v>0.22800000000000001</v>
      </c>
      <c r="K66" s="1319">
        <v>0.65600000000000003</v>
      </c>
      <c r="L66" s="1319">
        <v>1.0860000000000001</v>
      </c>
      <c r="M66" s="1319">
        <v>1.0660000000000001</v>
      </c>
      <c r="N66" s="1320">
        <v>0.14099999999999999</v>
      </c>
      <c r="O66" s="1319">
        <v>39.338000000000001</v>
      </c>
      <c r="P66" s="1319">
        <v>0.21299999999999999</v>
      </c>
      <c r="Q66" s="1319">
        <v>0.112</v>
      </c>
      <c r="R66" s="1319">
        <v>0.318</v>
      </c>
      <c r="S66" s="1319">
        <v>3.6999999999999998E-2</v>
      </c>
      <c r="T66" s="1319">
        <v>3.6999999999999998E-2</v>
      </c>
      <c r="U66" s="1319">
        <v>0.72799999999999998</v>
      </c>
      <c r="V66" s="1319">
        <v>3.6999999999999998E-2</v>
      </c>
      <c r="W66" s="1319">
        <v>7.5999999999999998E-2</v>
      </c>
      <c r="X66" s="1319">
        <v>5.0999999999999997E-2</v>
      </c>
      <c r="Y66" s="827"/>
      <c r="Z66" s="827"/>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row>
    <row r="67" spans="1:61" x14ac:dyDescent="0.25">
      <c r="A67" s="827"/>
      <c r="B67" s="827"/>
      <c r="C67" s="827"/>
      <c r="D67" s="827"/>
      <c r="E67" s="827"/>
      <c r="F67" s="827"/>
      <c r="G67" s="827"/>
      <c r="H67" s="827"/>
      <c r="I67" s="827"/>
      <c r="J67" s="827"/>
      <c r="K67" s="827"/>
      <c r="L67" s="827"/>
      <c r="M67" s="827"/>
      <c r="N67" s="827"/>
      <c r="O67" s="827"/>
      <c r="P67" s="827"/>
      <c r="Q67" s="827"/>
      <c r="R67" s="827"/>
      <c r="S67" s="827"/>
      <c r="T67" s="827"/>
      <c r="U67" s="827"/>
      <c r="V67" s="827"/>
      <c r="W67" s="827"/>
      <c r="X67" s="827"/>
      <c r="Y67" s="827"/>
      <c r="Z67" s="827"/>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row>
    <row r="68" spans="1:61" x14ac:dyDescent="0.25">
      <c r="A68" s="827"/>
      <c r="B68" s="1090" t="s">
        <v>1267</v>
      </c>
      <c r="C68" s="827"/>
      <c r="D68" s="827"/>
      <c r="E68" s="827"/>
      <c r="F68" s="827"/>
      <c r="G68" s="827"/>
      <c r="H68" s="827"/>
      <c r="I68" s="827"/>
      <c r="J68" s="827"/>
      <c r="K68" s="827"/>
      <c r="L68" s="827"/>
      <c r="M68" s="827"/>
      <c r="N68" s="827"/>
      <c r="O68" s="827"/>
      <c r="P68" s="827"/>
      <c r="Q68" s="827"/>
      <c r="R68" s="827"/>
      <c r="S68" s="827"/>
      <c r="T68" s="827"/>
      <c r="U68" s="827"/>
      <c r="V68" s="827"/>
      <c r="W68" s="827"/>
      <c r="X68" s="827"/>
      <c r="Y68" s="827"/>
      <c r="Z68" s="828" t="s">
        <v>1270</v>
      </c>
      <c r="AA68" s="828" t="s">
        <v>1271</v>
      </c>
      <c r="AB68" s="828" t="s">
        <v>1268</v>
      </c>
      <c r="AC68" s="828" t="s">
        <v>1269</v>
      </c>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row>
    <row r="69" spans="1:61" x14ac:dyDescent="0.25">
      <c r="A69" s="827"/>
      <c r="B69" s="1327" t="s">
        <v>1258</v>
      </c>
      <c r="C69" s="1327">
        <f>+C32*C$47</f>
        <v>169.5376</v>
      </c>
      <c r="D69" s="1327">
        <f t="shared" ref="D69:X82" si="0">+D32*D$47</f>
        <v>34.562399999999997</v>
      </c>
      <c r="E69" s="1327">
        <f t="shared" si="0"/>
        <v>136.13669999999999</v>
      </c>
      <c r="F69" s="1327">
        <f t="shared" si="0"/>
        <v>0</v>
      </c>
      <c r="G69" s="1327">
        <f t="shared" si="0"/>
        <v>0</v>
      </c>
      <c r="H69" s="1327">
        <f t="shared" si="0"/>
        <v>0</v>
      </c>
      <c r="I69" s="1327">
        <f t="shared" si="0"/>
        <v>0</v>
      </c>
      <c r="J69" s="1327">
        <f t="shared" si="0"/>
        <v>134.90010000000001</v>
      </c>
      <c r="K69" s="1327">
        <f t="shared" si="0"/>
        <v>134.90010000000001</v>
      </c>
      <c r="L69" s="1327">
        <f t="shared" si="0"/>
        <v>134.90010000000001</v>
      </c>
      <c r="M69" s="1327">
        <f t="shared" si="0"/>
        <v>195.01570000000001</v>
      </c>
      <c r="N69" s="1327">
        <f t="shared" si="0"/>
        <v>0</v>
      </c>
      <c r="O69" s="1327">
        <f t="shared" si="0"/>
        <v>0</v>
      </c>
      <c r="P69" s="1327">
        <f t="shared" si="0"/>
        <v>193.38359999999997</v>
      </c>
      <c r="Q69" s="1327">
        <f t="shared" si="0"/>
        <v>9.4031000000000002</v>
      </c>
      <c r="R69" s="1327">
        <f t="shared" si="0"/>
        <v>9.4031000000000002</v>
      </c>
      <c r="S69" s="1327">
        <f t="shared" si="0"/>
        <v>184.2422</v>
      </c>
      <c r="T69" s="1327">
        <f t="shared" si="0"/>
        <v>57.810400000000001</v>
      </c>
      <c r="U69" s="1327">
        <f t="shared" si="0"/>
        <v>57.810400000000001</v>
      </c>
      <c r="V69" s="1327">
        <f t="shared" si="0"/>
        <v>126.4318</v>
      </c>
      <c r="W69" s="1327">
        <f t="shared" si="0"/>
        <v>43.975999999999999</v>
      </c>
      <c r="X69" s="1327">
        <f t="shared" si="0"/>
        <v>170.63639999999998</v>
      </c>
      <c r="Y69" s="827"/>
      <c r="Z69" s="1111">
        <v>0</v>
      </c>
      <c r="AA69" s="948"/>
      <c r="AB69" s="949"/>
      <c r="AC69" s="949"/>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row>
    <row r="70" spans="1:61" x14ac:dyDescent="0.25">
      <c r="A70" s="827"/>
      <c r="B70" s="1327" t="s">
        <v>1340</v>
      </c>
      <c r="C70" s="1327">
        <f t="shared" ref="C70:R82" si="1">+C33*C$47</f>
        <v>0</v>
      </c>
      <c r="D70" s="1327">
        <f t="shared" si="1"/>
        <v>0</v>
      </c>
      <c r="E70" s="1327">
        <f t="shared" si="1"/>
        <v>0</v>
      </c>
      <c r="F70" s="1327">
        <f t="shared" si="1"/>
        <v>5208.0140000000001</v>
      </c>
      <c r="G70" s="1327">
        <f t="shared" si="1"/>
        <v>5208.0140000000001</v>
      </c>
      <c r="H70" s="1327">
        <f t="shared" si="1"/>
        <v>0</v>
      </c>
      <c r="I70" s="1327">
        <f t="shared" si="1"/>
        <v>5505.0236999999997</v>
      </c>
      <c r="J70" s="1327">
        <f t="shared" si="1"/>
        <v>18.515699999999999</v>
      </c>
      <c r="K70" s="1327">
        <f t="shared" si="1"/>
        <v>18.515699999999999</v>
      </c>
      <c r="L70" s="1327">
        <f t="shared" si="1"/>
        <v>18.515699999999999</v>
      </c>
      <c r="M70" s="1327">
        <f t="shared" si="1"/>
        <v>27.467000000000002</v>
      </c>
      <c r="N70" s="1327">
        <f t="shared" si="1"/>
        <v>0</v>
      </c>
      <c r="O70" s="1327">
        <f t="shared" si="1"/>
        <v>0</v>
      </c>
      <c r="P70" s="1327">
        <f t="shared" si="1"/>
        <v>26.6736</v>
      </c>
      <c r="Q70" s="1327">
        <f t="shared" si="1"/>
        <v>0</v>
      </c>
      <c r="R70" s="1327">
        <f t="shared" si="1"/>
        <v>0</v>
      </c>
      <c r="S70" s="1327">
        <f t="shared" si="0"/>
        <v>26.551600000000001</v>
      </c>
      <c r="T70" s="1327">
        <f t="shared" si="0"/>
        <v>8.3312000000000008</v>
      </c>
      <c r="U70" s="1327">
        <f t="shared" si="0"/>
        <v>8.3312000000000008</v>
      </c>
      <c r="V70" s="1327">
        <f t="shared" si="0"/>
        <v>18.220400000000001</v>
      </c>
      <c r="W70" s="1327">
        <f t="shared" si="0"/>
        <v>0</v>
      </c>
      <c r="X70" s="1327">
        <f t="shared" si="0"/>
        <v>0</v>
      </c>
      <c r="Y70" s="827"/>
      <c r="Z70" s="1111">
        <v>-74.599999999999994</v>
      </c>
      <c r="AA70" s="948"/>
      <c r="AB70" s="1094">
        <f>2*Z78+Z76-Z70</f>
        <v>-802.56200000000001</v>
      </c>
      <c r="AC70" s="1094">
        <f>2*AA78+Z76-Z70</f>
        <v>-890.56999999999994</v>
      </c>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row>
    <row r="71" spans="1:61" x14ac:dyDescent="0.25">
      <c r="A71" s="827"/>
      <c r="B71" s="1327" t="s">
        <v>1341</v>
      </c>
      <c r="C71" s="1327">
        <f t="shared" si="1"/>
        <v>0</v>
      </c>
      <c r="D71" s="1327">
        <f t="shared" si="1"/>
        <v>0</v>
      </c>
      <c r="E71" s="1327">
        <f t="shared" si="1"/>
        <v>0</v>
      </c>
      <c r="F71" s="1327">
        <f t="shared" si="1"/>
        <v>0</v>
      </c>
      <c r="G71" s="1327">
        <f t="shared" si="1"/>
        <v>0</v>
      </c>
      <c r="H71" s="1327">
        <f t="shared" si="1"/>
        <v>0</v>
      </c>
      <c r="I71" s="1327">
        <f t="shared" si="1"/>
        <v>0</v>
      </c>
      <c r="J71" s="1327">
        <f t="shared" si="1"/>
        <v>0</v>
      </c>
      <c r="K71" s="1327">
        <f t="shared" si="1"/>
        <v>0</v>
      </c>
      <c r="L71" s="1327">
        <f t="shared" si="1"/>
        <v>0</v>
      </c>
      <c r="M71" s="1327">
        <f t="shared" si="1"/>
        <v>0</v>
      </c>
      <c r="N71" s="1327">
        <f t="shared" si="1"/>
        <v>0</v>
      </c>
      <c r="O71" s="1327">
        <f t="shared" si="1"/>
        <v>0</v>
      </c>
      <c r="P71" s="1327">
        <f t="shared" si="1"/>
        <v>0</v>
      </c>
      <c r="Q71" s="1327">
        <f t="shared" si="1"/>
        <v>0</v>
      </c>
      <c r="R71" s="1327">
        <f t="shared" si="1"/>
        <v>0</v>
      </c>
      <c r="S71" s="1327">
        <f t="shared" si="0"/>
        <v>0</v>
      </c>
      <c r="T71" s="1327">
        <f t="shared" si="0"/>
        <v>0</v>
      </c>
      <c r="U71" s="1327">
        <f t="shared" si="0"/>
        <v>0</v>
      </c>
      <c r="V71" s="1327">
        <f t="shared" si="0"/>
        <v>0</v>
      </c>
      <c r="W71" s="1327">
        <f t="shared" si="0"/>
        <v>0</v>
      </c>
      <c r="X71" s="1327">
        <f t="shared" si="0"/>
        <v>0</v>
      </c>
      <c r="Y71" s="827"/>
      <c r="Z71" s="1111">
        <v>-22.8</v>
      </c>
      <c r="AA71" s="1328"/>
      <c r="AB71" s="1093"/>
      <c r="AC71" s="1093"/>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row>
    <row r="72" spans="1:61" x14ac:dyDescent="0.25">
      <c r="A72" s="827"/>
      <c r="B72" s="1327" t="s">
        <v>1342</v>
      </c>
      <c r="C72" s="1327">
        <f t="shared" si="1"/>
        <v>0</v>
      </c>
      <c r="D72" s="1327">
        <f t="shared" si="1"/>
        <v>0</v>
      </c>
      <c r="E72" s="1327">
        <f t="shared" si="1"/>
        <v>0</v>
      </c>
      <c r="F72" s="1327">
        <f t="shared" si="1"/>
        <v>179.00800000000001</v>
      </c>
      <c r="G72" s="1327">
        <f t="shared" si="1"/>
        <v>179.00800000000001</v>
      </c>
      <c r="H72" s="1327">
        <f t="shared" si="1"/>
        <v>0</v>
      </c>
      <c r="I72" s="1327">
        <f t="shared" si="1"/>
        <v>0</v>
      </c>
      <c r="J72" s="1327">
        <f t="shared" si="1"/>
        <v>0</v>
      </c>
      <c r="K72" s="1327">
        <f t="shared" si="1"/>
        <v>0</v>
      </c>
      <c r="L72" s="1327">
        <f t="shared" si="1"/>
        <v>0</v>
      </c>
      <c r="M72" s="1327">
        <f t="shared" si="1"/>
        <v>0</v>
      </c>
      <c r="N72" s="1327">
        <f t="shared" si="1"/>
        <v>0</v>
      </c>
      <c r="O72" s="1327">
        <f t="shared" si="1"/>
        <v>0</v>
      </c>
      <c r="P72" s="1327">
        <f t="shared" si="1"/>
        <v>0</v>
      </c>
      <c r="Q72" s="1327">
        <f t="shared" si="1"/>
        <v>0</v>
      </c>
      <c r="R72" s="1327">
        <f t="shared" si="1"/>
        <v>0</v>
      </c>
      <c r="S72" s="1327">
        <f t="shared" si="0"/>
        <v>0</v>
      </c>
      <c r="T72" s="1327">
        <f t="shared" si="0"/>
        <v>0</v>
      </c>
      <c r="U72" s="1327">
        <f t="shared" si="0"/>
        <v>0</v>
      </c>
      <c r="V72" s="1327">
        <f t="shared" si="0"/>
        <v>0</v>
      </c>
      <c r="W72" s="1327">
        <f t="shared" si="0"/>
        <v>0</v>
      </c>
      <c r="X72" s="1327">
        <f t="shared" si="0"/>
        <v>0</v>
      </c>
      <c r="Y72" s="827"/>
      <c r="Z72" s="1111">
        <v>-84</v>
      </c>
      <c r="AA72" s="948"/>
      <c r="AB72" s="1094">
        <f>+(6*Z78+4*Z76-2*Z72)/2</f>
        <v>-1428.498</v>
      </c>
      <c r="AC72" s="1094">
        <f>+(6*AA78+4*Z76-2*Z72)/2</f>
        <v>-1560.51</v>
      </c>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row>
    <row r="73" spans="1:61" x14ac:dyDescent="0.25">
      <c r="A73" s="827"/>
      <c r="B73" s="1327" t="s">
        <v>1343</v>
      </c>
      <c r="C73" s="1327">
        <f t="shared" si="1"/>
        <v>0</v>
      </c>
      <c r="D73" s="1327">
        <f t="shared" si="1"/>
        <v>0</v>
      </c>
      <c r="E73" s="1327">
        <f t="shared" si="1"/>
        <v>0</v>
      </c>
      <c r="F73" s="1327">
        <f t="shared" si="1"/>
        <v>39.158000000000001</v>
      </c>
      <c r="G73" s="1327">
        <f t="shared" si="1"/>
        <v>39.158000000000001</v>
      </c>
      <c r="H73" s="1327">
        <f t="shared" si="1"/>
        <v>0</v>
      </c>
      <c r="I73" s="1327">
        <f t="shared" si="1"/>
        <v>0</v>
      </c>
      <c r="J73" s="1327">
        <f t="shared" si="1"/>
        <v>0</v>
      </c>
      <c r="K73" s="1327">
        <f t="shared" si="1"/>
        <v>0</v>
      </c>
      <c r="L73" s="1327">
        <f t="shared" si="1"/>
        <v>0</v>
      </c>
      <c r="M73" s="1327">
        <f t="shared" si="1"/>
        <v>0</v>
      </c>
      <c r="N73" s="1327">
        <f t="shared" si="1"/>
        <v>0</v>
      </c>
      <c r="O73" s="1327">
        <f t="shared" si="1"/>
        <v>0</v>
      </c>
      <c r="P73" s="1327">
        <f t="shared" si="1"/>
        <v>0</v>
      </c>
      <c r="Q73" s="1327">
        <f t="shared" si="1"/>
        <v>0</v>
      </c>
      <c r="R73" s="1327">
        <f t="shared" si="1"/>
        <v>0</v>
      </c>
      <c r="S73" s="1327">
        <f t="shared" si="0"/>
        <v>0</v>
      </c>
      <c r="T73" s="1327">
        <f t="shared" si="0"/>
        <v>0</v>
      </c>
      <c r="U73" s="1327">
        <f t="shared" si="0"/>
        <v>0</v>
      </c>
      <c r="V73" s="1327">
        <f t="shared" si="0"/>
        <v>0</v>
      </c>
      <c r="W73" s="1327">
        <f t="shared" si="0"/>
        <v>0</v>
      </c>
      <c r="X73" s="1327">
        <f t="shared" si="0"/>
        <v>0</v>
      </c>
      <c r="Y73" s="827"/>
      <c r="Z73" s="1111">
        <v>-104.7</v>
      </c>
      <c r="AA73" s="948"/>
      <c r="AB73" s="1094">
        <f>3*Z76+4*Z78-Z73</f>
        <v>-2043.1339999999998</v>
      </c>
      <c r="AC73" s="1094">
        <f>3*Z76+4*AA78-Z73</f>
        <v>-2219.15</v>
      </c>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row>
    <row r="74" spans="1:61" x14ac:dyDescent="0.25">
      <c r="A74" s="827"/>
      <c r="B74" s="1327" t="s">
        <v>1344</v>
      </c>
      <c r="C74" s="1327">
        <f t="shared" si="1"/>
        <v>0</v>
      </c>
      <c r="D74" s="1327">
        <f t="shared" si="1"/>
        <v>0</v>
      </c>
      <c r="E74" s="1327">
        <f t="shared" si="1"/>
        <v>0</v>
      </c>
      <c r="F74" s="1327">
        <f t="shared" si="1"/>
        <v>22.376000000000001</v>
      </c>
      <c r="G74" s="1327">
        <f t="shared" si="1"/>
        <v>22.376000000000001</v>
      </c>
      <c r="H74" s="1327">
        <f t="shared" si="1"/>
        <v>0</v>
      </c>
      <c r="I74" s="1327">
        <f t="shared" si="1"/>
        <v>0</v>
      </c>
      <c r="J74" s="1327">
        <f t="shared" si="1"/>
        <v>0</v>
      </c>
      <c r="K74" s="1327">
        <f t="shared" si="1"/>
        <v>0</v>
      </c>
      <c r="L74" s="1327">
        <f t="shared" si="1"/>
        <v>0</v>
      </c>
      <c r="M74" s="1327">
        <f t="shared" si="1"/>
        <v>0</v>
      </c>
      <c r="N74" s="1327">
        <f t="shared" si="1"/>
        <v>0</v>
      </c>
      <c r="O74" s="1327">
        <f t="shared" si="1"/>
        <v>0</v>
      </c>
      <c r="P74" s="1327">
        <f t="shared" si="1"/>
        <v>0</v>
      </c>
      <c r="Q74" s="1327">
        <f t="shared" si="1"/>
        <v>0</v>
      </c>
      <c r="R74" s="1327">
        <f t="shared" si="1"/>
        <v>0</v>
      </c>
      <c r="S74" s="1327">
        <f t="shared" si="0"/>
        <v>0</v>
      </c>
      <c r="T74" s="1327">
        <f t="shared" si="0"/>
        <v>0</v>
      </c>
      <c r="U74" s="1327">
        <f t="shared" si="0"/>
        <v>0</v>
      </c>
      <c r="V74" s="1327">
        <f t="shared" si="0"/>
        <v>0</v>
      </c>
      <c r="W74" s="1327">
        <f t="shared" si="0"/>
        <v>0</v>
      </c>
      <c r="X74" s="1327">
        <f t="shared" si="0"/>
        <v>0</v>
      </c>
      <c r="Y74" s="827"/>
      <c r="Z74" s="1111">
        <v>-125.6</v>
      </c>
      <c r="AA74" s="948"/>
      <c r="AB74" s="1094">
        <f>4*Z76+5*Z78-Z74</f>
        <v>-2657.57</v>
      </c>
      <c r="AC74" s="1094">
        <f>4*Z76+5*AA78-Z74</f>
        <v>-2877.5899999999997</v>
      </c>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row>
    <row r="75" spans="1:61" x14ac:dyDescent="0.25">
      <c r="A75" s="827"/>
      <c r="B75" s="1327" t="s">
        <v>1259</v>
      </c>
      <c r="C75" s="1327">
        <f t="shared" si="1"/>
        <v>0</v>
      </c>
      <c r="D75" s="1327">
        <f t="shared" si="1"/>
        <v>0</v>
      </c>
      <c r="E75" s="1327">
        <f t="shared" si="1"/>
        <v>0</v>
      </c>
      <c r="F75" s="1327">
        <f t="shared" si="1"/>
        <v>0</v>
      </c>
      <c r="G75" s="1327">
        <f t="shared" si="1"/>
        <v>0</v>
      </c>
      <c r="H75" s="1327">
        <f t="shared" si="1"/>
        <v>0</v>
      </c>
      <c r="I75" s="1327">
        <f t="shared" si="1"/>
        <v>3.0558000000000001</v>
      </c>
      <c r="J75" s="1327">
        <f t="shared" si="1"/>
        <v>3663.4635000000003</v>
      </c>
      <c r="K75" s="1327">
        <f t="shared" si="1"/>
        <v>3663.4635000000003</v>
      </c>
      <c r="L75" s="1327">
        <f t="shared" si="1"/>
        <v>103.15889999999999</v>
      </c>
      <c r="M75" s="1327">
        <f t="shared" si="1"/>
        <v>151.0685</v>
      </c>
      <c r="N75" s="1327">
        <f t="shared" si="1"/>
        <v>0</v>
      </c>
      <c r="O75" s="1327">
        <f t="shared" si="1"/>
        <v>0</v>
      </c>
      <c r="P75" s="1327">
        <f t="shared" si="1"/>
        <v>151.70610000000002</v>
      </c>
      <c r="Q75" s="1327">
        <f t="shared" si="1"/>
        <v>0</v>
      </c>
      <c r="R75" s="1327">
        <f t="shared" si="1"/>
        <v>0</v>
      </c>
      <c r="S75" s="1327">
        <f t="shared" si="0"/>
        <v>150.89080000000001</v>
      </c>
      <c r="T75" s="1327">
        <f t="shared" si="0"/>
        <v>47.345600000000005</v>
      </c>
      <c r="U75" s="1327">
        <f t="shared" si="0"/>
        <v>47.345600000000005</v>
      </c>
      <c r="V75" s="1327">
        <f t="shared" si="0"/>
        <v>103.54520000000001</v>
      </c>
      <c r="W75" s="1327">
        <f t="shared" si="0"/>
        <v>0</v>
      </c>
      <c r="X75" s="1327">
        <f t="shared" si="0"/>
        <v>0</v>
      </c>
      <c r="Y75" s="827"/>
      <c r="Z75" s="1111">
        <v>-110.53</v>
      </c>
      <c r="AA75" s="948"/>
      <c r="AB75" s="1093"/>
      <c r="AC75" s="1093"/>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row>
    <row r="76" spans="1:61" x14ac:dyDescent="0.25">
      <c r="A76" s="827"/>
      <c r="B76" s="1327" t="s">
        <v>1345</v>
      </c>
      <c r="C76" s="1327">
        <f t="shared" si="1"/>
        <v>5.5283999999999995</v>
      </c>
      <c r="D76" s="1327">
        <f t="shared" si="1"/>
        <v>5.7604000000000006</v>
      </c>
      <c r="E76" s="1327">
        <f t="shared" si="1"/>
        <v>0</v>
      </c>
      <c r="F76" s="1327">
        <f t="shared" si="1"/>
        <v>55.94</v>
      </c>
      <c r="G76" s="1327">
        <f t="shared" si="1"/>
        <v>55.94</v>
      </c>
      <c r="H76" s="1327">
        <f t="shared" si="1"/>
        <v>0</v>
      </c>
      <c r="I76" s="1327">
        <f t="shared" si="1"/>
        <v>320.85900000000004</v>
      </c>
      <c r="J76" s="1327">
        <f t="shared" si="1"/>
        <v>2145.1761000000001</v>
      </c>
      <c r="K76" s="1327">
        <f t="shared" si="1"/>
        <v>2145.1761000000001</v>
      </c>
      <c r="L76" s="1327">
        <f t="shared" si="1"/>
        <v>5705.4807000000001</v>
      </c>
      <c r="M76" s="1327">
        <f t="shared" si="1"/>
        <v>5798.2837</v>
      </c>
      <c r="N76" s="1327">
        <f t="shared" si="1"/>
        <v>5507.8953999999994</v>
      </c>
      <c r="O76" s="1327">
        <f t="shared" si="1"/>
        <v>5507.2449999999999</v>
      </c>
      <c r="P76" s="1327">
        <f t="shared" si="1"/>
        <v>290.0754</v>
      </c>
      <c r="Q76" s="1327">
        <f t="shared" si="1"/>
        <v>0</v>
      </c>
      <c r="R76" s="1327">
        <f t="shared" si="1"/>
        <v>0</v>
      </c>
      <c r="S76" s="1327">
        <f t="shared" si="0"/>
        <v>289.80099999999999</v>
      </c>
      <c r="T76" s="1327">
        <f t="shared" si="0"/>
        <v>90.932000000000002</v>
      </c>
      <c r="U76" s="1327">
        <f t="shared" si="0"/>
        <v>90.932000000000002</v>
      </c>
      <c r="V76" s="1327">
        <f t="shared" si="0"/>
        <v>198.869</v>
      </c>
      <c r="W76" s="1327">
        <f t="shared" si="0"/>
        <v>1.4339999999999999</v>
      </c>
      <c r="X76" s="1327">
        <f t="shared" si="0"/>
        <v>322.245</v>
      </c>
      <c r="Y76" s="827"/>
      <c r="Z76" s="1111">
        <v>-393.51</v>
      </c>
      <c r="AA76" s="948"/>
      <c r="AB76" s="1093"/>
      <c r="AC76" s="1093"/>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row>
    <row r="77" spans="1:61" x14ac:dyDescent="0.25">
      <c r="A77" s="827"/>
      <c r="B77" s="1327" t="s">
        <v>1346</v>
      </c>
      <c r="C77" s="1327">
        <f t="shared" si="1"/>
        <v>0</v>
      </c>
      <c r="D77" s="1327">
        <f t="shared" si="1"/>
        <v>0</v>
      </c>
      <c r="E77" s="1327">
        <f t="shared" si="1"/>
        <v>0</v>
      </c>
      <c r="F77" s="1327">
        <f t="shared" si="1"/>
        <v>0</v>
      </c>
      <c r="G77" s="1327">
        <f t="shared" si="1"/>
        <v>0</v>
      </c>
      <c r="H77" s="1327">
        <f t="shared" si="1"/>
        <v>0</v>
      </c>
      <c r="I77" s="1327">
        <f t="shared" si="1"/>
        <v>742.55939999999998</v>
      </c>
      <c r="J77" s="1327">
        <f t="shared" si="1"/>
        <v>11485.0242</v>
      </c>
      <c r="K77" s="1327">
        <f t="shared" si="1"/>
        <v>11485.0242</v>
      </c>
      <c r="L77" s="1327">
        <f t="shared" si="1"/>
        <v>15047.973899999999</v>
      </c>
      <c r="M77" s="1327">
        <f t="shared" si="1"/>
        <v>15790.7783</v>
      </c>
      <c r="N77" s="1327">
        <f t="shared" si="1"/>
        <v>0.56140000000000001</v>
      </c>
      <c r="O77" s="1327">
        <f t="shared" si="1"/>
        <v>0</v>
      </c>
      <c r="P77" s="1327">
        <f t="shared" si="1"/>
        <v>15789.1041</v>
      </c>
      <c r="Q77" s="1327">
        <f t="shared" si="1"/>
        <v>13420.9103</v>
      </c>
      <c r="R77" s="1327">
        <f t="shared" si="1"/>
        <v>13420.9103</v>
      </c>
      <c r="S77" s="1327">
        <f t="shared" si="0"/>
        <v>2367.9494</v>
      </c>
      <c r="T77" s="1327">
        <f t="shared" si="0"/>
        <v>743.00079999999991</v>
      </c>
      <c r="U77" s="1327">
        <f t="shared" si="0"/>
        <v>743.00079999999991</v>
      </c>
      <c r="V77" s="1327">
        <f t="shared" si="0"/>
        <v>1624.9485999999999</v>
      </c>
      <c r="W77" s="1327">
        <f t="shared" si="0"/>
        <v>0</v>
      </c>
      <c r="X77" s="1327">
        <f t="shared" si="0"/>
        <v>0</v>
      </c>
      <c r="Y77" s="827"/>
      <c r="Z77" s="1111">
        <v>0</v>
      </c>
      <c r="AA77" s="948"/>
      <c r="AB77" s="1094">
        <f>Z78</f>
        <v>-241.82599999999999</v>
      </c>
      <c r="AC77" s="1094">
        <f>+AA78</f>
        <v>-285.83</v>
      </c>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row>
    <row r="78" spans="1:61" x14ac:dyDescent="0.25">
      <c r="A78" s="827"/>
      <c r="B78" s="1327" t="s">
        <v>1347</v>
      </c>
      <c r="C78" s="1327">
        <f t="shared" si="1"/>
        <v>182.43720000000002</v>
      </c>
      <c r="D78" s="1327">
        <f t="shared" si="1"/>
        <v>123.8486</v>
      </c>
      <c r="E78" s="1327">
        <f t="shared" si="1"/>
        <v>0</v>
      </c>
      <c r="F78" s="1327">
        <f t="shared" si="1"/>
        <v>0</v>
      </c>
      <c r="G78" s="1327">
        <f t="shared" si="1"/>
        <v>0</v>
      </c>
      <c r="H78" s="1327">
        <f t="shared" si="1"/>
        <v>9150</v>
      </c>
      <c r="I78" s="1327">
        <f t="shared" si="1"/>
        <v>8617.3559999999998</v>
      </c>
      <c r="J78" s="1327">
        <f t="shared" si="1"/>
        <v>8847.8595000000005</v>
      </c>
      <c r="K78" s="1327">
        <f t="shared" si="1"/>
        <v>8847.8595000000005</v>
      </c>
      <c r="L78" s="1327">
        <f t="shared" si="1"/>
        <v>5287.5549000000001</v>
      </c>
      <c r="M78" s="1327">
        <f t="shared" si="1"/>
        <v>5287.3975</v>
      </c>
      <c r="N78" s="1327">
        <f t="shared" si="1"/>
        <v>105.5432</v>
      </c>
      <c r="O78" s="1327">
        <f t="shared" si="1"/>
        <v>2.7549999999999999</v>
      </c>
      <c r="P78" s="1327">
        <f t="shared" si="1"/>
        <v>0</v>
      </c>
      <c r="Q78" s="1327">
        <f t="shared" si="1"/>
        <v>0</v>
      </c>
      <c r="R78" s="1327">
        <f t="shared" si="1"/>
        <v>0</v>
      </c>
      <c r="S78" s="1327">
        <f t="shared" si="0"/>
        <v>0</v>
      </c>
      <c r="T78" s="1327">
        <f t="shared" si="0"/>
        <v>0</v>
      </c>
      <c r="U78" s="1327">
        <f t="shared" si="0"/>
        <v>0</v>
      </c>
      <c r="V78" s="1327">
        <f t="shared" si="0"/>
        <v>0</v>
      </c>
      <c r="W78" s="1327">
        <f t="shared" si="0"/>
        <v>47.322000000000003</v>
      </c>
      <c r="X78" s="1327">
        <f t="shared" si="0"/>
        <v>1709.4330000000002</v>
      </c>
      <c r="Y78" s="827"/>
      <c r="Z78" s="1111">
        <v>-241.82599999999999</v>
      </c>
      <c r="AA78" s="1111">
        <v>-285.83</v>
      </c>
      <c r="AB78" s="1092"/>
      <c r="AC78" s="1092"/>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row>
    <row r="79" spans="1:61" x14ac:dyDescent="0.25">
      <c r="A79" s="827"/>
      <c r="B79" s="1327" t="s">
        <v>1348</v>
      </c>
      <c r="C79" s="1327">
        <f t="shared" si="1"/>
        <v>14248.5296</v>
      </c>
      <c r="D79" s="1327">
        <f t="shared" si="1"/>
        <v>14184.985000000001</v>
      </c>
      <c r="E79" s="1327">
        <f t="shared" si="1"/>
        <v>62.313299999999998</v>
      </c>
      <c r="F79" s="1327">
        <f t="shared" si="1"/>
        <v>89.504000000000005</v>
      </c>
      <c r="G79" s="1327">
        <f t="shared" si="1"/>
        <v>89.504000000000005</v>
      </c>
      <c r="H79" s="1327">
        <f t="shared" si="1"/>
        <v>0</v>
      </c>
      <c r="I79" s="1327">
        <f t="shared" si="1"/>
        <v>90.146100000000004</v>
      </c>
      <c r="J79" s="1327">
        <f t="shared" si="1"/>
        <v>150.77070000000001</v>
      </c>
      <c r="K79" s="1327">
        <f t="shared" si="1"/>
        <v>150.77070000000001</v>
      </c>
      <c r="L79" s="1327">
        <f t="shared" si="1"/>
        <v>150.77070000000001</v>
      </c>
      <c r="M79" s="1327">
        <f t="shared" si="1"/>
        <v>219.73600000000002</v>
      </c>
      <c r="N79" s="1327">
        <f t="shared" si="1"/>
        <v>0</v>
      </c>
      <c r="O79" s="1327">
        <f t="shared" si="1"/>
        <v>0</v>
      </c>
      <c r="P79" s="1327">
        <f t="shared" si="1"/>
        <v>220.05719999999999</v>
      </c>
      <c r="Q79" s="1327">
        <f t="shared" si="1"/>
        <v>1.3433000000000002</v>
      </c>
      <c r="R79" s="1327">
        <f t="shared" si="1"/>
        <v>1.3433000000000002</v>
      </c>
      <c r="S79" s="1327">
        <f t="shared" si="0"/>
        <v>218.24119999999999</v>
      </c>
      <c r="T79" s="1327">
        <f t="shared" si="0"/>
        <v>68.478400000000008</v>
      </c>
      <c r="U79" s="1327">
        <f t="shared" si="0"/>
        <v>68.478400000000008</v>
      </c>
      <c r="V79" s="1327">
        <f t="shared" si="0"/>
        <v>149.7628</v>
      </c>
      <c r="W79" s="1327">
        <f t="shared" si="0"/>
        <v>3695.8960000000002</v>
      </c>
      <c r="X79" s="1327">
        <f t="shared" si="0"/>
        <v>3845.4569999999999</v>
      </c>
      <c r="Y79" s="827"/>
      <c r="Z79" s="1111">
        <v>0</v>
      </c>
      <c r="AA79" s="948"/>
      <c r="AB79" s="1092"/>
      <c r="AC79" s="1092"/>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row>
    <row r="80" spans="1:61" x14ac:dyDescent="0.25">
      <c r="A80" s="827"/>
      <c r="B80" s="1327" t="s">
        <v>1349</v>
      </c>
      <c r="C80" s="1327">
        <f t="shared" si="1"/>
        <v>3821.9672</v>
      </c>
      <c r="D80" s="1327">
        <f t="shared" si="1"/>
        <v>50.403500000000001</v>
      </c>
      <c r="E80" s="1327">
        <f t="shared" si="1"/>
        <v>3770.9468999999999</v>
      </c>
      <c r="F80" s="1327">
        <f t="shared" si="1"/>
        <v>0</v>
      </c>
      <c r="G80" s="1327">
        <f t="shared" si="1"/>
        <v>0</v>
      </c>
      <c r="H80" s="1327">
        <f t="shared" si="1"/>
        <v>0</v>
      </c>
      <c r="I80" s="1327">
        <f t="shared" si="1"/>
        <v>0</v>
      </c>
      <c r="J80" s="1327">
        <f t="shared" si="1"/>
        <v>0</v>
      </c>
      <c r="K80" s="1327">
        <f t="shared" si="1"/>
        <v>0</v>
      </c>
      <c r="L80" s="1327">
        <f t="shared" si="1"/>
        <v>0</v>
      </c>
      <c r="M80" s="1327">
        <f t="shared" si="1"/>
        <v>0</v>
      </c>
      <c r="N80" s="1327">
        <f t="shared" si="1"/>
        <v>0</v>
      </c>
      <c r="O80" s="1327">
        <f t="shared" si="1"/>
        <v>0</v>
      </c>
      <c r="P80" s="1327">
        <f t="shared" si="1"/>
        <v>0</v>
      </c>
      <c r="Q80" s="1327">
        <f t="shared" si="1"/>
        <v>0</v>
      </c>
      <c r="R80" s="1327">
        <f t="shared" si="1"/>
        <v>0</v>
      </c>
      <c r="S80" s="1327">
        <f t="shared" si="0"/>
        <v>0</v>
      </c>
      <c r="T80" s="1327">
        <f t="shared" si="0"/>
        <v>0</v>
      </c>
      <c r="U80" s="1327">
        <f t="shared" si="0"/>
        <v>0</v>
      </c>
      <c r="V80" s="1327">
        <f t="shared" si="0"/>
        <v>0</v>
      </c>
      <c r="W80" s="1327">
        <f t="shared" si="0"/>
        <v>991.37199999999996</v>
      </c>
      <c r="X80" s="1327">
        <f t="shared" si="0"/>
        <v>90.2286</v>
      </c>
      <c r="Y80" s="827"/>
      <c r="Z80" s="1111">
        <v>0</v>
      </c>
      <c r="AA80" s="948"/>
      <c r="AB80" s="1092"/>
      <c r="AC80" s="1092"/>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row>
    <row r="81" spans="1:61" x14ac:dyDescent="0.25">
      <c r="A81" s="827"/>
      <c r="B81" s="1327" t="s">
        <v>1350</v>
      </c>
      <c r="C81" s="1327">
        <f t="shared" si="1"/>
        <v>0</v>
      </c>
      <c r="D81" s="1327">
        <f t="shared" si="1"/>
        <v>0</v>
      </c>
      <c r="E81" s="1327">
        <f t="shared" si="1"/>
        <v>0</v>
      </c>
      <c r="F81" s="1327">
        <f t="shared" si="1"/>
        <v>0</v>
      </c>
      <c r="G81" s="1327">
        <f t="shared" si="1"/>
        <v>0</v>
      </c>
      <c r="H81" s="1327">
        <f t="shared" si="1"/>
        <v>0</v>
      </c>
      <c r="I81" s="1327">
        <f t="shared" si="1"/>
        <v>0</v>
      </c>
      <c r="J81" s="1327">
        <f t="shared" si="1"/>
        <v>0</v>
      </c>
      <c r="K81" s="1327">
        <f t="shared" si="1"/>
        <v>0</v>
      </c>
      <c r="L81" s="1327">
        <f t="shared" si="1"/>
        <v>0</v>
      </c>
      <c r="M81" s="1327">
        <f t="shared" si="1"/>
        <v>0</v>
      </c>
      <c r="N81" s="1327">
        <f t="shared" si="1"/>
        <v>0</v>
      </c>
      <c r="O81" s="1327">
        <f t="shared" si="1"/>
        <v>0</v>
      </c>
      <c r="P81" s="1327">
        <f t="shared" si="1"/>
        <v>0</v>
      </c>
      <c r="Q81" s="1327">
        <f t="shared" si="1"/>
        <v>0</v>
      </c>
      <c r="R81" s="1327">
        <f t="shared" si="1"/>
        <v>0</v>
      </c>
      <c r="S81" s="1327">
        <f t="shared" si="0"/>
        <v>0</v>
      </c>
      <c r="T81" s="1327">
        <f t="shared" si="0"/>
        <v>0</v>
      </c>
      <c r="U81" s="1327">
        <f t="shared" si="0"/>
        <v>0</v>
      </c>
      <c r="V81" s="1327">
        <f t="shared" si="0"/>
        <v>0</v>
      </c>
      <c r="W81" s="1327">
        <f t="shared" si="0"/>
        <v>0</v>
      </c>
      <c r="X81" s="1327">
        <f t="shared" si="0"/>
        <v>0</v>
      </c>
      <c r="Y81" s="827"/>
      <c r="Z81" s="1111">
        <v>-296.81</v>
      </c>
      <c r="AA81" s="948"/>
      <c r="AB81" s="1092"/>
      <c r="AC81" s="1092"/>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row>
    <row r="82" spans="1:61" x14ac:dyDescent="0.25">
      <c r="A82" s="827"/>
      <c r="B82" s="1327" t="s">
        <v>55</v>
      </c>
      <c r="C82" s="1327">
        <f t="shared" si="1"/>
        <v>18428</v>
      </c>
      <c r="D82" s="1327">
        <f t="shared" si="1"/>
        <v>14401</v>
      </c>
      <c r="E82" s="1327">
        <f t="shared" si="1"/>
        <v>3969</v>
      </c>
      <c r="F82" s="1327">
        <f t="shared" si="1"/>
        <v>5594</v>
      </c>
      <c r="G82" s="1327">
        <f t="shared" si="1"/>
        <v>5594</v>
      </c>
      <c r="H82" s="1327">
        <f t="shared" si="1"/>
        <v>9150</v>
      </c>
      <c r="I82" s="1327">
        <f t="shared" si="1"/>
        <v>15279</v>
      </c>
      <c r="J82" s="1327">
        <f t="shared" si="1"/>
        <v>26451</v>
      </c>
      <c r="K82" s="1327">
        <f t="shared" si="1"/>
        <v>26451</v>
      </c>
      <c r="L82" s="1327">
        <f t="shared" si="1"/>
        <v>26451</v>
      </c>
      <c r="M82" s="1327">
        <f t="shared" si="1"/>
        <v>27467</v>
      </c>
      <c r="N82" s="1327">
        <f t="shared" si="1"/>
        <v>5614</v>
      </c>
      <c r="O82" s="1327">
        <f t="shared" si="1"/>
        <v>5510</v>
      </c>
      <c r="P82" s="1327">
        <f t="shared" si="1"/>
        <v>16671</v>
      </c>
      <c r="Q82" s="1327">
        <f t="shared" si="1"/>
        <v>13433</v>
      </c>
      <c r="R82" s="1327">
        <f t="shared" si="1"/>
        <v>13433</v>
      </c>
      <c r="S82" s="1327">
        <f t="shared" si="0"/>
        <v>3238</v>
      </c>
      <c r="T82" s="1327">
        <f t="shared" si="0"/>
        <v>1016</v>
      </c>
      <c r="U82" s="1327">
        <f t="shared" si="0"/>
        <v>1016</v>
      </c>
      <c r="V82" s="1327">
        <f t="shared" si="0"/>
        <v>2222</v>
      </c>
      <c r="W82" s="1327">
        <f t="shared" si="0"/>
        <v>4780</v>
      </c>
      <c r="X82" s="1327">
        <f t="shared" si="0"/>
        <v>6138</v>
      </c>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row>
    <row r="83" spans="1:61" x14ac:dyDescent="0.25">
      <c r="A83" s="827"/>
      <c r="B83" s="827"/>
      <c r="C83" s="827"/>
      <c r="D83" s="827"/>
      <c r="E83" s="827"/>
      <c r="F83" s="827"/>
      <c r="G83" s="827"/>
      <c r="H83" s="827"/>
      <c r="I83" s="827"/>
      <c r="J83" s="827"/>
      <c r="K83" s="827"/>
      <c r="L83" s="827"/>
      <c r="M83" s="827"/>
      <c r="N83" s="827"/>
      <c r="O83" s="827"/>
      <c r="P83" s="827"/>
      <c r="Q83" s="827"/>
      <c r="R83" s="827"/>
      <c r="S83" s="827"/>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row>
    <row r="84" spans="1:61" x14ac:dyDescent="0.25">
      <c r="A84" s="827"/>
      <c r="B84" s="827"/>
      <c r="C84" s="827"/>
      <c r="D84" s="827"/>
      <c r="E84" s="827"/>
      <c r="F84" s="827"/>
      <c r="G84" s="827"/>
      <c r="H84" s="827"/>
      <c r="I84" s="827"/>
      <c r="J84" s="827"/>
      <c r="K84" s="827"/>
      <c r="L84" s="827"/>
      <c r="M84" s="827"/>
      <c r="N84" s="827"/>
      <c r="O84" s="827"/>
      <c r="P84" s="827"/>
      <c r="Q84" s="827"/>
      <c r="R84" s="827"/>
      <c r="S84" s="827"/>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row>
    <row r="85" spans="1:61" x14ac:dyDescent="0.25">
      <c r="A85" s="827"/>
      <c r="B85" s="827"/>
      <c r="C85" s="827"/>
      <c r="D85" s="827"/>
      <c r="E85" s="827"/>
      <c r="F85" s="827"/>
      <c r="G85" s="827"/>
      <c r="H85" s="827"/>
      <c r="I85" s="827"/>
      <c r="J85" s="827"/>
      <c r="K85" s="827"/>
      <c r="L85" s="827"/>
      <c r="M85" s="827"/>
      <c r="N85" s="827"/>
      <c r="O85" s="827"/>
      <c r="P85" s="827"/>
      <c r="Q85" s="827"/>
      <c r="R85" s="827"/>
      <c r="S85" s="827"/>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row>
    <row r="86" spans="1:61" x14ac:dyDescent="0.25">
      <c r="A86" s="827"/>
      <c r="B86" s="827"/>
      <c r="C86" s="827"/>
      <c r="D86" s="827"/>
      <c r="E86" s="827"/>
      <c r="F86" s="827"/>
      <c r="G86" s="827"/>
      <c r="H86" s="827"/>
      <c r="I86" s="827"/>
      <c r="J86" s="827"/>
      <c r="K86" s="827"/>
      <c r="L86" s="827"/>
      <c r="M86" s="827"/>
      <c r="N86" s="827"/>
      <c r="O86" s="827"/>
      <c r="P86" s="827"/>
      <c r="Q86" s="827"/>
      <c r="R86" s="827"/>
      <c r="S86" s="827"/>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row>
    <row r="87" spans="1:61" x14ac:dyDescent="0.25">
      <c r="A87" s="827"/>
      <c r="B87" s="827"/>
      <c r="C87" s="827"/>
      <c r="D87" s="827"/>
      <c r="E87" s="827"/>
      <c r="F87" s="827"/>
      <c r="G87" s="827"/>
      <c r="H87" s="827"/>
      <c r="I87" s="827"/>
      <c r="J87" s="827"/>
      <c r="K87" s="827"/>
      <c r="L87" s="827"/>
      <c r="M87" s="827"/>
      <c r="N87" s="827"/>
      <c r="O87" s="827"/>
      <c r="P87" s="827"/>
      <c r="Q87" s="827"/>
      <c r="R87" s="827"/>
      <c r="S87" s="827"/>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row>
    <row r="88" spans="1:61" ht="13.8" thickBot="1" x14ac:dyDescent="0.3">
      <c r="A88" s="827"/>
      <c r="B88" s="827"/>
      <c r="C88" s="827"/>
      <c r="D88" s="827"/>
      <c r="E88" s="827"/>
      <c r="F88" s="827"/>
      <c r="G88" s="827"/>
      <c r="H88" s="827"/>
      <c r="I88" s="827"/>
      <c r="J88" s="827"/>
      <c r="K88" s="827"/>
      <c r="L88" s="827"/>
      <c r="M88" s="827"/>
      <c r="N88" s="827"/>
      <c r="O88" s="827"/>
      <c r="P88" s="827"/>
      <c r="Q88" s="827"/>
      <c r="R88" s="827"/>
      <c r="S88" s="827"/>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row>
    <row r="89" spans="1:61" ht="14.4" thickBot="1" x14ac:dyDescent="0.3">
      <c r="A89" s="827"/>
      <c r="B89" s="1420" t="s">
        <v>1274</v>
      </c>
      <c r="C89" s="1421"/>
      <c r="D89" s="827"/>
      <c r="E89" s="827"/>
      <c r="F89" s="827"/>
      <c r="G89" s="827"/>
      <c r="H89" s="827"/>
      <c r="I89" s="827"/>
      <c r="J89" s="827"/>
      <c r="K89" s="827"/>
      <c r="L89" s="827"/>
      <c r="M89" s="827"/>
      <c r="N89" s="827"/>
      <c r="O89" s="827"/>
      <c r="P89" s="827"/>
      <c r="Q89" s="827"/>
      <c r="R89" s="827"/>
      <c r="S89" s="827"/>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row>
    <row r="90" spans="1:61" ht="14.4" thickBot="1" x14ac:dyDescent="0.3">
      <c r="A90" s="827"/>
      <c r="B90" s="1414" t="s">
        <v>1275</v>
      </c>
      <c r="C90" s="1416"/>
      <c r="D90" s="828" t="s">
        <v>1359</v>
      </c>
      <c r="E90" s="827"/>
      <c r="F90" s="827"/>
      <c r="G90" s="827"/>
      <c r="H90" s="827"/>
      <c r="I90" s="827"/>
      <c r="J90" s="827"/>
      <c r="K90" s="827"/>
      <c r="L90" s="827"/>
      <c r="M90" s="827"/>
      <c r="N90" s="827"/>
      <c r="O90" s="827"/>
      <c r="P90" s="827"/>
      <c r="Q90" s="827"/>
      <c r="R90" s="827"/>
      <c r="S90" s="827"/>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row>
    <row r="91" spans="1:61" ht="14.4" thickBot="1" x14ac:dyDescent="0.3">
      <c r="A91" s="827"/>
      <c r="B91" s="1228" t="s">
        <v>1276</v>
      </c>
      <c r="C91" s="1329">
        <v>390</v>
      </c>
      <c r="D91" s="1327">
        <f>+C91</f>
        <v>390</v>
      </c>
      <c r="E91" s="827"/>
      <c r="F91" s="827"/>
      <c r="G91" s="827"/>
      <c r="H91" s="827"/>
      <c r="I91" s="827"/>
      <c r="J91" s="827"/>
      <c r="K91" s="827"/>
      <c r="L91" s="827"/>
      <c r="M91" s="827"/>
      <c r="N91" s="827"/>
      <c r="O91" s="827"/>
      <c r="P91" s="827"/>
      <c r="Q91" s="827"/>
      <c r="R91" s="827"/>
      <c r="S91" s="827"/>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row>
    <row r="92" spans="1:61" ht="14.4" thickBot="1" x14ac:dyDescent="0.3">
      <c r="A92" s="827"/>
      <c r="B92" s="1228" t="s">
        <v>1304</v>
      </c>
      <c r="C92" s="1329">
        <v>780</v>
      </c>
      <c r="D92" s="1327">
        <f t="shared" ref="D92:D105" si="2">+C92</f>
        <v>780</v>
      </c>
      <c r="E92" s="827"/>
      <c r="F92" s="827"/>
      <c r="G92" s="827"/>
      <c r="H92" s="827"/>
      <c r="I92" s="827"/>
      <c r="J92" s="827"/>
      <c r="K92" s="827"/>
      <c r="L92" s="827"/>
      <c r="M92" s="827"/>
      <c r="N92" s="827"/>
      <c r="O92" s="827"/>
      <c r="P92" s="827"/>
      <c r="Q92" s="827"/>
      <c r="R92" s="827"/>
      <c r="S92" s="827"/>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row>
    <row r="93" spans="1:61" ht="14.4" thickBot="1" x14ac:dyDescent="0.3">
      <c r="A93" s="827"/>
      <c r="B93" s="1228" t="s">
        <v>1305</v>
      </c>
      <c r="C93" s="1330">
        <v>51070</v>
      </c>
      <c r="D93" s="1327">
        <f t="shared" si="2"/>
        <v>51070</v>
      </c>
      <c r="E93" s="827"/>
      <c r="F93" s="827"/>
      <c r="G93" s="827"/>
      <c r="H93" s="827"/>
      <c r="I93" s="827"/>
      <c r="J93" s="827"/>
      <c r="K93" s="827"/>
      <c r="L93" s="827"/>
      <c r="M93" s="827"/>
      <c r="N93" s="827"/>
      <c r="O93" s="827"/>
      <c r="P93" s="827"/>
      <c r="Q93" s="827"/>
      <c r="R93" s="827"/>
      <c r="S93" s="827"/>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row>
    <row r="94" spans="1:61" ht="14.4" thickBot="1" x14ac:dyDescent="0.3">
      <c r="A94" s="827"/>
      <c r="B94" s="1228" t="s">
        <v>1306</v>
      </c>
      <c r="C94" s="1330">
        <v>4020</v>
      </c>
      <c r="D94" s="1327">
        <f t="shared" si="2"/>
        <v>4020</v>
      </c>
      <c r="E94" s="827"/>
      <c r="F94" s="827"/>
      <c r="G94" s="827"/>
      <c r="H94" s="827"/>
      <c r="I94" s="827"/>
      <c r="J94" s="827"/>
      <c r="K94" s="827"/>
      <c r="L94" s="827"/>
      <c r="M94" s="827"/>
      <c r="N94" s="827"/>
      <c r="O94" s="827"/>
      <c r="P94" s="827"/>
      <c r="Q94" s="827"/>
      <c r="R94" s="827"/>
      <c r="S94" s="827"/>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row>
    <row r="95" spans="1:61" ht="14.4" thickBot="1" x14ac:dyDescent="0.3">
      <c r="A95" s="827"/>
      <c r="B95" s="1228" t="s">
        <v>1277</v>
      </c>
      <c r="C95" s="1330">
        <v>3310</v>
      </c>
      <c r="D95" s="1327">
        <f t="shared" si="2"/>
        <v>3310</v>
      </c>
      <c r="E95" s="827"/>
      <c r="F95" s="827"/>
      <c r="G95" s="827"/>
      <c r="H95" s="827"/>
      <c r="I95" s="827"/>
      <c r="J95" s="827"/>
      <c r="K95" s="827"/>
      <c r="L95" s="827"/>
      <c r="M95" s="827"/>
      <c r="N95" s="827"/>
      <c r="O95" s="827"/>
      <c r="P95" s="827"/>
      <c r="Q95" s="827"/>
      <c r="R95" s="827"/>
      <c r="S95" s="827"/>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row>
    <row r="96" spans="1:61" ht="14.4" thickBot="1" x14ac:dyDescent="0.3">
      <c r="A96" s="827"/>
      <c r="B96" s="1228" t="s">
        <v>1278</v>
      </c>
      <c r="C96" s="1330">
        <v>1710</v>
      </c>
      <c r="D96" s="1327">
        <f t="shared" si="2"/>
        <v>1710</v>
      </c>
      <c r="E96" s="827"/>
      <c r="F96" s="827"/>
      <c r="G96" s="827"/>
      <c r="H96" s="827"/>
      <c r="I96" s="827"/>
      <c r="J96" s="827"/>
      <c r="K96" s="827"/>
      <c r="L96" s="827"/>
      <c r="M96" s="827"/>
      <c r="N96" s="827"/>
      <c r="O96" s="827"/>
      <c r="P96" s="827"/>
      <c r="Q96" s="827"/>
      <c r="R96" s="827"/>
      <c r="S96" s="827"/>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row>
    <row r="97" spans="1:61" ht="15.6" thickBot="1" x14ac:dyDescent="0.3">
      <c r="A97" s="827"/>
      <c r="B97" s="1228" t="s">
        <v>1360</v>
      </c>
      <c r="C97" s="1330">
        <v>6680</v>
      </c>
      <c r="D97" s="1327">
        <f t="shared" si="2"/>
        <v>6680</v>
      </c>
      <c r="E97" s="827"/>
      <c r="F97" s="827"/>
      <c r="G97" s="827"/>
      <c r="H97" s="827"/>
      <c r="I97" s="827"/>
      <c r="J97" s="827"/>
      <c r="K97" s="827"/>
      <c r="L97" s="827"/>
      <c r="M97" s="827"/>
      <c r="N97" s="827"/>
      <c r="O97" s="827"/>
      <c r="P97" s="827"/>
      <c r="Q97" s="827"/>
      <c r="R97" s="827"/>
      <c r="S97" s="827"/>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row>
    <row r="98" spans="1:61" ht="15.6" thickBot="1" x14ac:dyDescent="0.3">
      <c r="A98" s="827"/>
      <c r="B98" s="1228" t="s">
        <v>1307</v>
      </c>
      <c r="C98" s="1330">
        <v>20810</v>
      </c>
      <c r="D98" s="1327">
        <f t="shared" si="2"/>
        <v>20810</v>
      </c>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row>
    <row r="99" spans="1:61" ht="14.4" thickBot="1" x14ac:dyDescent="0.3">
      <c r="A99" s="827"/>
      <c r="B99" s="1228" t="s">
        <v>1279</v>
      </c>
      <c r="C99" s="1329">
        <v>120</v>
      </c>
      <c r="D99" s="1327">
        <f t="shared" si="2"/>
        <v>120</v>
      </c>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row>
    <row r="100" spans="1:61" ht="14.4" thickBot="1" x14ac:dyDescent="0.3">
      <c r="A100" s="827"/>
      <c r="B100" s="1228" t="s">
        <v>1361</v>
      </c>
      <c r="C100" s="1330">
        <v>3530</v>
      </c>
      <c r="D100" s="1327">
        <f t="shared" si="2"/>
        <v>3530</v>
      </c>
      <c r="E100" s="827"/>
      <c r="F100" s="827"/>
      <c r="G100" s="827"/>
      <c r="H100" s="827"/>
      <c r="I100" s="827"/>
      <c r="J100" s="827"/>
      <c r="K100" s="827"/>
      <c r="L100" s="827"/>
      <c r="M100" s="827"/>
      <c r="N100" s="827"/>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row>
    <row r="101" spans="1:61" ht="14.4" thickBot="1" x14ac:dyDescent="0.3">
      <c r="A101" s="827"/>
      <c r="B101" s="1228" t="s">
        <v>1280</v>
      </c>
      <c r="C101" s="1330">
        <f>340</f>
        <v>340</v>
      </c>
      <c r="D101" s="1327">
        <f t="shared" si="2"/>
        <v>340</v>
      </c>
      <c r="E101" s="1353"/>
      <c r="F101" s="827"/>
      <c r="G101" s="827"/>
      <c r="H101" s="827"/>
      <c r="I101" s="827"/>
      <c r="J101" s="827"/>
      <c r="K101" s="827"/>
      <c r="L101" s="827"/>
      <c r="M101" s="827"/>
      <c r="N101" s="827"/>
      <c r="O101" s="827"/>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row>
    <row r="102" spans="1:61" ht="14.4" thickBot="1" x14ac:dyDescent="0.3">
      <c r="A102" s="827"/>
      <c r="B102" s="1228" t="s">
        <v>1281</v>
      </c>
      <c r="C102" s="1330">
        <v>14070</v>
      </c>
      <c r="D102" s="1331"/>
      <c r="E102" s="828" t="s">
        <v>1362</v>
      </c>
      <c r="F102" s="827"/>
      <c r="G102" s="827"/>
      <c r="H102" s="827"/>
      <c r="I102" s="827"/>
      <c r="J102" s="827"/>
      <c r="K102" s="827"/>
      <c r="L102" s="827"/>
      <c r="M102" s="827"/>
      <c r="N102" s="827"/>
      <c r="O102" s="827"/>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row>
    <row r="103" spans="1:61" ht="15.6" thickBot="1" x14ac:dyDescent="0.3">
      <c r="A103" s="827"/>
      <c r="B103" s="1228" t="s">
        <v>1303</v>
      </c>
      <c r="C103" s="1330">
        <v>2550</v>
      </c>
      <c r="D103" s="1327">
        <f t="shared" si="2"/>
        <v>2550</v>
      </c>
      <c r="E103" s="827"/>
      <c r="F103" s="827"/>
      <c r="G103" s="827"/>
      <c r="H103" s="827"/>
      <c r="I103" s="827"/>
      <c r="J103" s="827"/>
      <c r="K103" s="827"/>
      <c r="L103" s="827"/>
      <c r="M103" s="827"/>
      <c r="N103" s="827"/>
      <c r="O103" s="827"/>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row>
    <row r="104" spans="1:61" ht="14.4" thickBot="1" x14ac:dyDescent="0.3">
      <c r="A104" s="827"/>
      <c r="B104" s="1228" t="s">
        <v>1363</v>
      </c>
      <c r="C104" s="1329">
        <v>150</v>
      </c>
      <c r="D104" s="1327">
        <f t="shared" si="2"/>
        <v>150</v>
      </c>
      <c r="E104" s="827"/>
      <c r="F104" s="827"/>
      <c r="G104" s="827"/>
      <c r="H104" s="827"/>
      <c r="I104" s="827"/>
      <c r="J104" s="827"/>
      <c r="K104" s="827"/>
      <c r="L104" s="827"/>
      <c r="M104" s="827"/>
      <c r="N104" s="827"/>
      <c r="O104" s="827"/>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row>
    <row r="105" spans="1:61" ht="14.4" thickBot="1" x14ac:dyDescent="0.3">
      <c r="A105" s="827"/>
      <c r="B105" s="1228" t="s">
        <v>1282</v>
      </c>
      <c r="C105" s="1329">
        <v>650</v>
      </c>
      <c r="D105" s="1327">
        <f t="shared" si="2"/>
        <v>650</v>
      </c>
      <c r="E105" s="827"/>
      <c r="F105" s="827"/>
      <c r="G105" s="827"/>
      <c r="H105" s="827"/>
      <c r="I105" s="827"/>
      <c r="J105" s="827"/>
      <c r="K105" s="827"/>
      <c r="L105" s="827"/>
      <c r="M105" s="827"/>
      <c r="N105" s="827"/>
      <c r="O105" s="827"/>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row>
    <row r="106" spans="1:61" ht="14.4" thickBot="1" x14ac:dyDescent="0.3">
      <c r="A106" s="827"/>
      <c r="B106" s="1229" t="s">
        <v>1364</v>
      </c>
      <c r="C106" s="1332">
        <f>+SUM(C91:C105)</f>
        <v>110180</v>
      </c>
      <c r="D106" s="1308">
        <f>+SUM(D91:D105)</f>
        <v>96110</v>
      </c>
      <c r="E106" s="827"/>
      <c r="F106" s="827"/>
      <c r="G106" s="827"/>
      <c r="H106" s="827"/>
      <c r="I106" s="827"/>
      <c r="J106" s="827"/>
      <c r="K106" s="827"/>
      <c r="L106" s="827"/>
      <c r="M106" s="827"/>
      <c r="N106" s="827"/>
      <c r="O106" s="827"/>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row>
    <row r="107" spans="1:61" x14ac:dyDescent="0.25">
      <c r="A107" s="827"/>
      <c r="B107" s="827"/>
      <c r="C107" s="827"/>
      <c r="D107" s="827"/>
      <c r="E107" s="827"/>
      <c r="F107" s="827"/>
      <c r="G107" s="827"/>
      <c r="H107" s="827"/>
      <c r="I107" s="827"/>
      <c r="J107" s="827"/>
      <c r="K107" s="827"/>
      <c r="L107" s="827"/>
      <c r="M107" s="827"/>
      <c r="N107" s="827"/>
      <c r="O107" s="827"/>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row>
    <row r="108" spans="1:61" ht="14.4" customHeight="1" x14ac:dyDescent="0.25">
      <c r="A108" s="827"/>
      <c r="B108" s="827"/>
      <c r="C108" s="827"/>
      <c r="D108" s="827"/>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row>
    <row r="109" spans="1:61" ht="13.8" thickBot="1" x14ac:dyDescent="0.3">
      <c r="A109" s="827"/>
      <c r="B109" s="827"/>
      <c r="C109" s="827"/>
      <c r="D109" s="827"/>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row>
    <row r="110" spans="1:61" ht="29.4" thickBot="1" x14ac:dyDescent="0.3">
      <c r="A110" s="827"/>
      <c r="B110" s="1347" t="s">
        <v>125</v>
      </c>
      <c r="C110" s="1346" t="s">
        <v>1374</v>
      </c>
      <c r="D110" s="1346" t="s">
        <v>1375</v>
      </c>
      <c r="E110" s="827"/>
      <c r="F110" s="827"/>
      <c r="G110" s="827"/>
      <c r="H110" s="827"/>
      <c r="I110" s="827"/>
      <c r="J110" s="827"/>
      <c r="K110" s="827"/>
      <c r="L110" s="827"/>
      <c r="M110" s="827"/>
      <c r="N110" s="827"/>
      <c r="O110" s="827"/>
      <c r="P110" s="827"/>
      <c r="Q110" s="827"/>
      <c r="R110" s="827"/>
      <c r="S110" s="827"/>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row>
    <row r="111" spans="1:61" ht="14.4" thickBot="1" x14ac:dyDescent="0.3">
      <c r="A111" s="827"/>
      <c r="B111" s="1414" t="s">
        <v>1376</v>
      </c>
      <c r="C111" s="1415"/>
      <c r="D111" s="1416"/>
      <c r="E111" s="827"/>
      <c r="F111" s="827"/>
      <c r="G111" s="827"/>
      <c r="H111" s="827"/>
      <c r="I111" s="827"/>
      <c r="J111" s="827"/>
      <c r="K111" s="827"/>
      <c r="L111" s="827"/>
      <c r="M111" s="827"/>
      <c r="N111" s="827"/>
      <c r="O111" s="827"/>
      <c r="P111" s="827"/>
      <c r="Q111" s="827"/>
      <c r="R111" s="827"/>
      <c r="S111" s="827"/>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row>
    <row r="112" spans="1:61" ht="14.4" thickBot="1" x14ac:dyDescent="0.3">
      <c r="A112" s="827"/>
      <c r="B112" s="1348" t="s">
        <v>1377</v>
      </c>
      <c r="C112" s="1349">
        <v>5065</v>
      </c>
      <c r="D112" s="1349">
        <v>8</v>
      </c>
      <c r="E112" s="827"/>
      <c r="F112" s="827"/>
      <c r="G112" s="827"/>
      <c r="H112" s="827"/>
      <c r="I112" s="827"/>
      <c r="J112" s="827"/>
      <c r="K112" s="827"/>
      <c r="L112" s="827"/>
      <c r="M112" s="827"/>
      <c r="N112" s="827"/>
      <c r="O112" s="827"/>
      <c r="P112" s="827"/>
      <c r="Q112" s="827"/>
      <c r="R112" s="827"/>
      <c r="S112" s="827"/>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row>
    <row r="113" spans="1:61" ht="14.4" thickBot="1" x14ac:dyDescent="0.3">
      <c r="A113" s="827"/>
      <c r="B113" s="1348" t="s">
        <v>1378</v>
      </c>
      <c r="C113" s="1349">
        <v>740</v>
      </c>
      <c r="D113" s="1349">
        <v>1</v>
      </c>
      <c r="E113" s="827"/>
      <c r="F113" s="827"/>
      <c r="G113" s="827"/>
      <c r="H113" s="827"/>
      <c r="I113" s="827"/>
      <c r="J113" s="827"/>
      <c r="K113" s="827"/>
      <c r="L113" s="827"/>
      <c r="M113" s="827"/>
      <c r="N113" s="827"/>
      <c r="O113" s="827"/>
      <c r="P113" s="827"/>
      <c r="Q113" s="827"/>
      <c r="R113" s="827"/>
      <c r="S113" s="827"/>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row>
    <row r="114" spans="1:61" ht="14.4" thickBot="1" x14ac:dyDescent="0.3">
      <c r="A114" s="827"/>
      <c r="B114" s="1348" t="s">
        <v>1379</v>
      </c>
      <c r="C114" s="1349">
        <v>6430</v>
      </c>
      <c r="D114" s="1349">
        <v>10</v>
      </c>
      <c r="E114" s="827"/>
      <c r="F114" s="827"/>
      <c r="G114" s="827"/>
      <c r="H114" s="827"/>
      <c r="I114" s="827"/>
      <c r="J114" s="827"/>
      <c r="K114" s="827"/>
      <c r="L114" s="827"/>
      <c r="M114" s="827"/>
      <c r="N114" s="827"/>
      <c r="O114" s="827"/>
      <c r="P114" s="827"/>
      <c r="Q114" s="827"/>
      <c r="R114" s="827"/>
      <c r="S114" s="827"/>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row>
    <row r="115" spans="1:61" ht="14.4" thickBot="1" x14ac:dyDescent="0.3">
      <c r="A115" s="827"/>
      <c r="B115" s="1348" t="s">
        <v>1380</v>
      </c>
      <c r="C115" s="1349">
        <v>9</v>
      </c>
      <c r="D115" s="1349">
        <v>0</v>
      </c>
      <c r="E115" s="827"/>
      <c r="F115" s="827"/>
      <c r="G115" s="827"/>
      <c r="H115" s="827"/>
      <c r="I115" s="827"/>
      <c r="J115" s="827"/>
      <c r="K115" s="827"/>
      <c r="L115" s="827"/>
      <c r="M115" s="827"/>
      <c r="N115" s="827"/>
      <c r="O115" s="827"/>
      <c r="P115" s="827"/>
      <c r="Q115" s="827"/>
      <c r="R115" s="827"/>
      <c r="S115" s="827"/>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row>
    <row r="116" spans="1:61" ht="14.4" customHeight="1" thickBot="1" x14ac:dyDescent="0.3">
      <c r="A116" s="827"/>
      <c r="B116" s="1348" t="s">
        <v>1381</v>
      </c>
      <c r="C116" s="1349">
        <v>3876</v>
      </c>
      <c r="D116" s="1349">
        <v>6</v>
      </c>
      <c r="E116" s="827"/>
      <c r="F116" s="827"/>
      <c r="G116" s="827"/>
      <c r="H116" s="827"/>
      <c r="I116" s="827"/>
      <c r="J116" s="827"/>
      <c r="K116" s="827"/>
      <c r="L116" s="827"/>
      <c r="M116" s="827"/>
      <c r="N116" s="827"/>
      <c r="O116" s="827"/>
      <c r="P116" s="827"/>
      <c r="Q116" s="827"/>
      <c r="R116" s="827"/>
      <c r="S116" s="827"/>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row>
    <row r="117" spans="1:61" ht="14.4" thickBot="1" x14ac:dyDescent="0.3">
      <c r="A117" s="827"/>
      <c r="B117" s="1348" t="s">
        <v>1382</v>
      </c>
      <c r="C117" s="1349">
        <v>14021</v>
      </c>
      <c r="D117" s="1349">
        <v>21</v>
      </c>
      <c r="E117" s="827"/>
      <c r="F117" s="827"/>
      <c r="G117" s="827"/>
      <c r="H117" s="827"/>
      <c r="I117" s="827"/>
      <c r="J117" s="827"/>
      <c r="K117" s="827"/>
      <c r="L117" s="827"/>
      <c r="M117" s="827"/>
      <c r="N117" s="827"/>
      <c r="O117" s="827"/>
      <c r="P117" s="827"/>
      <c r="Q117" s="827"/>
      <c r="R117" s="827"/>
      <c r="S117" s="827"/>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row>
    <row r="118" spans="1:61" ht="14.4" thickBot="1" x14ac:dyDescent="0.3">
      <c r="A118" s="827"/>
      <c r="B118" s="1350" t="s">
        <v>55</v>
      </c>
      <c r="C118" s="1351">
        <v>30141</v>
      </c>
      <c r="D118" s="1351">
        <v>46</v>
      </c>
      <c r="E118" s="827"/>
      <c r="F118" s="827"/>
      <c r="G118" s="827"/>
      <c r="H118" s="827"/>
      <c r="I118" s="827"/>
      <c r="J118" s="827"/>
      <c r="K118" s="827"/>
      <c r="L118" s="827"/>
      <c r="M118" s="827"/>
      <c r="N118" s="827"/>
      <c r="O118" s="827"/>
      <c r="P118" s="827"/>
      <c r="Q118" s="827"/>
      <c r="R118" s="827"/>
      <c r="S118" s="827"/>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row>
    <row r="119" spans="1:61" ht="14.4" thickBot="1" x14ac:dyDescent="0.3">
      <c r="A119" s="827"/>
      <c r="B119" s="1414" t="s">
        <v>1383</v>
      </c>
      <c r="C119" s="1415"/>
      <c r="D119" s="1416"/>
      <c r="E119" s="827"/>
      <c r="F119" s="827"/>
      <c r="G119" s="827"/>
      <c r="H119" s="827"/>
      <c r="I119" s="827"/>
      <c r="J119" s="827"/>
      <c r="K119" s="827"/>
      <c r="L119" s="827"/>
      <c r="M119" s="827"/>
      <c r="N119" s="827"/>
      <c r="O119" s="827"/>
      <c r="P119" s="827"/>
      <c r="Q119" s="827"/>
      <c r="R119" s="827"/>
      <c r="S119" s="827"/>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row>
    <row r="120" spans="1:61" ht="15.6" customHeight="1" thickBot="1" x14ac:dyDescent="0.3">
      <c r="A120" s="827"/>
      <c r="B120" s="1348" t="s">
        <v>1384</v>
      </c>
      <c r="C120" s="1349">
        <v>1017</v>
      </c>
      <c r="D120" s="1349">
        <v>2</v>
      </c>
      <c r="E120" s="827"/>
      <c r="F120" s="827"/>
      <c r="G120" s="827"/>
      <c r="H120" s="827"/>
      <c r="I120" s="827"/>
      <c r="J120" s="827"/>
      <c r="K120" s="827"/>
      <c r="L120" s="827"/>
      <c r="M120" s="827"/>
      <c r="N120" s="827"/>
      <c r="O120" s="827"/>
      <c r="P120" s="827"/>
      <c r="Q120" s="827"/>
      <c r="R120" s="827"/>
      <c r="S120" s="827"/>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row>
    <row r="121" spans="1:61" ht="14.4" thickBot="1" x14ac:dyDescent="0.3">
      <c r="A121" s="827"/>
      <c r="B121" s="1348" t="s">
        <v>1385</v>
      </c>
      <c r="C121" s="1349">
        <v>3505</v>
      </c>
      <c r="D121" s="1349">
        <v>5</v>
      </c>
      <c r="E121" s="827"/>
      <c r="F121" s="827"/>
      <c r="G121" s="827"/>
      <c r="H121" s="827"/>
      <c r="I121" s="827"/>
      <c r="J121" s="827"/>
      <c r="K121" s="827"/>
      <c r="L121" s="827"/>
      <c r="M121" s="827"/>
      <c r="N121" s="827"/>
      <c r="O121" s="827"/>
      <c r="P121" s="827"/>
      <c r="Q121" s="827"/>
      <c r="R121" s="827"/>
      <c r="S121" s="827"/>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row>
    <row r="122" spans="1:61" ht="14.4" thickBot="1" x14ac:dyDescent="0.3">
      <c r="A122" s="827"/>
      <c r="B122" s="1350" t="s">
        <v>55</v>
      </c>
      <c r="C122" s="1351">
        <v>4522</v>
      </c>
      <c r="D122" s="1351">
        <v>7</v>
      </c>
      <c r="E122" s="827"/>
      <c r="F122" s="827"/>
      <c r="G122" s="827"/>
      <c r="H122" s="827"/>
      <c r="I122" s="827"/>
      <c r="J122" s="827"/>
      <c r="K122" s="827"/>
      <c r="L122" s="827"/>
      <c r="M122" s="827"/>
      <c r="N122" s="827"/>
      <c r="O122" s="827"/>
      <c r="P122" s="827"/>
      <c r="Q122" s="827"/>
      <c r="R122" s="827"/>
      <c r="S122" s="827"/>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row>
    <row r="123" spans="1:61" ht="14.4" thickBot="1" x14ac:dyDescent="0.3">
      <c r="A123" s="827"/>
      <c r="B123" s="1414" t="s">
        <v>1386</v>
      </c>
      <c r="C123" s="1415"/>
      <c r="D123" s="1416"/>
      <c r="E123" s="827"/>
      <c r="F123" s="827"/>
      <c r="G123" s="827"/>
      <c r="H123" s="827"/>
      <c r="I123" s="827"/>
      <c r="J123" s="827"/>
      <c r="K123" s="827"/>
      <c r="L123" s="827"/>
      <c r="M123" s="827"/>
      <c r="N123" s="827"/>
      <c r="O123" s="827"/>
      <c r="P123" s="827"/>
      <c r="Q123" s="827"/>
      <c r="R123" s="827"/>
      <c r="S123" s="827"/>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row>
    <row r="124" spans="1:61" ht="14.4" thickBot="1" x14ac:dyDescent="0.3">
      <c r="A124" s="827"/>
      <c r="B124" s="1348" t="s">
        <v>1387</v>
      </c>
      <c r="C124" s="1349">
        <v>21445</v>
      </c>
      <c r="D124" s="1349">
        <v>32</v>
      </c>
      <c r="E124" s="827"/>
      <c r="F124" s="827"/>
      <c r="G124" s="827"/>
      <c r="H124" s="827"/>
      <c r="I124" s="827"/>
      <c r="J124" s="827"/>
      <c r="K124" s="827"/>
      <c r="L124" s="827"/>
      <c r="M124" s="827"/>
      <c r="N124" s="827"/>
      <c r="O124" s="827"/>
      <c r="P124" s="827"/>
      <c r="Q124" s="827"/>
      <c r="R124" s="827"/>
      <c r="S124" s="827"/>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row>
    <row r="125" spans="1:61" ht="14.4" thickBot="1" x14ac:dyDescent="0.3">
      <c r="A125" s="827"/>
      <c r="B125" s="1348" t="s">
        <v>1388</v>
      </c>
      <c r="C125" s="1349">
        <v>300</v>
      </c>
      <c r="D125" s="1349">
        <v>0</v>
      </c>
      <c r="E125" s="827"/>
      <c r="F125" s="827"/>
      <c r="G125" s="827"/>
      <c r="H125" s="827"/>
      <c r="I125" s="827"/>
      <c r="J125" s="827"/>
      <c r="K125" s="827"/>
      <c r="L125" s="827"/>
      <c r="M125" s="827"/>
      <c r="N125" s="827"/>
      <c r="O125" s="827"/>
      <c r="P125" s="827"/>
      <c r="Q125" s="827"/>
      <c r="R125" s="827"/>
      <c r="S125" s="827"/>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row>
    <row r="126" spans="1:61" ht="14.4" thickBot="1" x14ac:dyDescent="0.3">
      <c r="A126" s="827"/>
      <c r="B126" s="1348" t="s">
        <v>1389</v>
      </c>
      <c r="C126" s="1349">
        <v>105157</v>
      </c>
      <c r="D126" s="1349">
        <v>159</v>
      </c>
      <c r="E126" s="827"/>
      <c r="F126" s="827"/>
      <c r="G126" s="827"/>
      <c r="H126" s="827"/>
      <c r="I126" s="827"/>
      <c r="J126" s="827"/>
      <c r="K126" s="827"/>
      <c r="L126" s="827"/>
      <c r="M126" s="827"/>
      <c r="N126" s="827"/>
      <c r="O126" s="827"/>
      <c r="P126" s="827"/>
      <c r="Q126" s="827"/>
      <c r="R126" s="827"/>
      <c r="S126" s="827"/>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row>
    <row r="127" spans="1:61" ht="14.4" thickBot="1" x14ac:dyDescent="0.3">
      <c r="A127" s="827"/>
      <c r="B127" s="1348" t="s">
        <v>1390</v>
      </c>
      <c r="C127" s="1349">
        <v>18928</v>
      </c>
      <c r="D127" s="1349">
        <v>29</v>
      </c>
      <c r="E127" s="827"/>
      <c r="F127" s="827"/>
      <c r="G127" s="827"/>
      <c r="H127" s="827"/>
      <c r="I127" s="827"/>
      <c r="J127" s="827"/>
      <c r="K127" s="827"/>
      <c r="L127" s="827"/>
      <c r="M127" s="827"/>
      <c r="N127" s="827"/>
      <c r="O127" s="827"/>
      <c r="P127" s="827"/>
      <c r="Q127" s="827"/>
      <c r="R127" s="827"/>
      <c r="S127" s="827"/>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row>
    <row r="128" spans="1:61" ht="14.4" thickBot="1" x14ac:dyDescent="0.3">
      <c r="A128" s="827"/>
      <c r="B128" s="1350" t="s">
        <v>1391</v>
      </c>
      <c r="C128" s="1351">
        <v>881542</v>
      </c>
      <c r="D128" s="1351">
        <v>1336</v>
      </c>
      <c r="E128" s="827"/>
      <c r="F128" s="827"/>
      <c r="G128" s="827"/>
      <c r="H128" s="827"/>
      <c r="I128" s="827"/>
      <c r="J128" s="827"/>
      <c r="K128" s="827"/>
      <c r="L128" s="827"/>
      <c r="M128" s="827"/>
      <c r="N128" s="827"/>
      <c r="O128" s="827"/>
      <c r="P128" s="827"/>
      <c r="Q128" s="827"/>
      <c r="R128" s="827"/>
      <c r="S128" s="827"/>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row>
    <row r="129" spans="1:61" ht="14.4" thickBot="1" x14ac:dyDescent="0.3">
      <c r="A129" s="827"/>
      <c r="B129" s="1348" t="s">
        <v>1392</v>
      </c>
      <c r="C129" s="1352">
        <v>1.07</v>
      </c>
      <c r="D129" s="1352"/>
      <c r="E129" s="827"/>
      <c r="F129" s="827"/>
      <c r="G129" s="827"/>
      <c r="H129" s="827"/>
      <c r="I129" s="827"/>
      <c r="J129" s="827"/>
      <c r="K129" s="827"/>
      <c r="L129" s="827"/>
      <c r="M129" s="827"/>
      <c r="N129" s="827"/>
      <c r="O129" s="827"/>
      <c r="P129" s="827"/>
      <c r="Q129" s="827"/>
      <c r="R129" s="827"/>
      <c r="S129" s="827"/>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row>
    <row r="130" spans="1:61" ht="14.4" thickBot="1" x14ac:dyDescent="0.3">
      <c r="A130" s="827"/>
      <c r="B130" s="1350" t="s">
        <v>1393</v>
      </c>
      <c r="C130" s="1351">
        <v>943076</v>
      </c>
      <c r="D130" s="1351">
        <v>1429</v>
      </c>
      <c r="E130" s="827"/>
      <c r="F130" s="827"/>
      <c r="G130" s="827"/>
      <c r="H130" s="827"/>
      <c r="I130" s="827"/>
      <c r="J130" s="827"/>
      <c r="K130" s="827"/>
      <c r="L130" s="827"/>
      <c r="M130" s="827"/>
      <c r="N130" s="827"/>
      <c r="O130" s="827"/>
      <c r="P130" s="827"/>
      <c r="Q130" s="827"/>
      <c r="R130" s="827"/>
      <c r="S130" s="827"/>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row>
    <row r="131" spans="1:61" x14ac:dyDescent="0.25">
      <c r="A131" s="827"/>
      <c r="B131" s="827"/>
      <c r="C131" s="827"/>
      <c r="D131" s="827"/>
      <c r="E131" s="827"/>
      <c r="F131" s="827"/>
      <c r="G131" s="827"/>
      <c r="H131" s="827"/>
      <c r="I131" s="827"/>
      <c r="J131" s="827"/>
      <c r="K131" s="827"/>
      <c r="L131" s="827"/>
      <c r="M131" s="827"/>
      <c r="N131" s="827"/>
      <c r="O131" s="827"/>
      <c r="P131" s="827"/>
      <c r="Q131" s="827"/>
      <c r="R131" s="827"/>
      <c r="S131" s="827"/>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row>
    <row r="132" spans="1:61" x14ac:dyDescent="0.25">
      <c r="A132" s="827"/>
      <c r="B132" s="827"/>
      <c r="C132" s="827"/>
      <c r="D132" s="827"/>
      <c r="E132" s="827"/>
      <c r="F132" s="827"/>
      <c r="G132" s="827"/>
      <c r="H132" s="827"/>
      <c r="I132" s="827"/>
      <c r="J132" s="827"/>
      <c r="K132" s="827"/>
      <c r="L132" s="827"/>
      <c r="M132" s="827"/>
      <c r="N132" s="827"/>
      <c r="O132" s="827"/>
      <c r="P132" s="827"/>
      <c r="Q132" s="827"/>
      <c r="R132" s="827"/>
      <c r="S132" s="827"/>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row>
    <row r="133" spans="1:61" x14ac:dyDescent="0.25">
      <c r="A133" s="827"/>
      <c r="B133" s="827"/>
      <c r="C133" s="827"/>
      <c r="D133" s="827"/>
      <c r="E133" s="827"/>
      <c r="F133" s="827"/>
      <c r="G133" s="827"/>
      <c r="H133" s="827"/>
      <c r="I133" s="827"/>
      <c r="J133" s="827"/>
      <c r="K133" s="827"/>
      <c r="L133" s="827"/>
      <c r="M133" s="827"/>
      <c r="N133" s="827"/>
      <c r="O133" s="827"/>
      <c r="P133" s="827"/>
      <c r="Q133" s="827"/>
      <c r="R133" s="827"/>
      <c r="S133" s="827"/>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row>
    <row r="134" spans="1:61" x14ac:dyDescent="0.25">
      <c r="A134" s="827"/>
      <c r="B134" s="827"/>
      <c r="C134" s="827"/>
      <c r="D134" s="827"/>
      <c r="E134" s="827"/>
      <c r="F134" s="827"/>
      <c r="G134" s="827"/>
      <c r="H134" s="827"/>
      <c r="I134" s="827"/>
      <c r="J134" s="827"/>
      <c r="K134" s="827"/>
      <c r="L134" s="827"/>
      <c r="M134" s="827"/>
      <c r="N134" s="827"/>
      <c r="O134" s="827"/>
      <c r="P134" s="827"/>
      <c r="Q134" s="827"/>
      <c r="R134" s="827"/>
      <c r="S134" s="827"/>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row>
    <row r="135" spans="1:61" x14ac:dyDescent="0.25">
      <c r="A135" s="827"/>
      <c r="B135" s="827"/>
      <c r="C135" s="827"/>
      <c r="D135" s="827"/>
      <c r="E135" s="827"/>
      <c r="F135" s="827"/>
      <c r="G135" s="827"/>
      <c r="H135" s="827"/>
      <c r="I135" s="827"/>
      <c r="J135" s="827"/>
      <c r="K135" s="827"/>
      <c r="L135" s="827"/>
      <c r="M135" s="827"/>
      <c r="N135" s="827"/>
      <c r="O135" s="827"/>
      <c r="P135" s="827"/>
      <c r="Q135" s="827"/>
      <c r="R135" s="827"/>
      <c r="S135" s="827"/>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row>
    <row r="136" spans="1:61" x14ac:dyDescent="0.25">
      <c r="A136" s="827"/>
      <c r="B136" s="827"/>
      <c r="C136" s="827"/>
      <c r="D136" s="827"/>
      <c r="E136" s="827"/>
      <c r="F136" s="827"/>
      <c r="G136" s="827"/>
      <c r="H136" s="827"/>
      <c r="I136" s="827"/>
      <c r="J136" s="827"/>
      <c r="K136" s="827"/>
      <c r="L136" s="827"/>
      <c r="M136" s="827"/>
      <c r="N136" s="827"/>
      <c r="O136" s="827"/>
      <c r="P136" s="827"/>
      <c r="Q136" s="827"/>
      <c r="R136" s="827"/>
      <c r="S136" s="827"/>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row>
    <row r="137" spans="1:61" x14ac:dyDescent="0.25">
      <c r="A137" s="827"/>
      <c r="B137" s="827"/>
      <c r="C137" s="827"/>
      <c r="D137" s="827"/>
      <c r="E137" s="827"/>
      <c r="F137" s="827"/>
      <c r="G137" s="827"/>
      <c r="H137" s="827"/>
      <c r="I137" s="827"/>
      <c r="J137" s="827"/>
      <c r="K137" s="827"/>
      <c r="L137" s="827"/>
      <c r="M137" s="827"/>
      <c r="N137" s="827"/>
      <c r="O137" s="827"/>
      <c r="P137" s="827"/>
      <c r="Q137" s="827"/>
      <c r="R137" s="827"/>
      <c r="S137" s="827"/>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row>
    <row r="138" spans="1:61" x14ac:dyDescent="0.25">
      <c r="A138" s="827"/>
      <c r="B138" s="827"/>
      <c r="C138" s="827"/>
      <c r="D138" s="827"/>
      <c r="E138" s="827"/>
      <c r="F138" s="827"/>
      <c r="G138" s="827"/>
      <c r="H138" s="827"/>
      <c r="I138" s="827"/>
      <c r="J138" s="827"/>
      <c r="K138" s="827"/>
      <c r="L138" s="827"/>
      <c r="M138" s="827"/>
      <c r="N138" s="827"/>
      <c r="O138" s="827"/>
      <c r="P138" s="827"/>
      <c r="Q138" s="827"/>
      <c r="R138" s="827"/>
      <c r="S138" s="827"/>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row>
    <row r="139" spans="1:61" x14ac:dyDescent="0.25">
      <c r="A139" s="827"/>
      <c r="B139" s="827"/>
      <c r="C139" s="827"/>
      <c r="D139" s="827"/>
      <c r="E139" s="827"/>
      <c r="F139" s="827"/>
      <c r="G139" s="827"/>
      <c r="H139" s="827"/>
      <c r="I139" s="827"/>
      <c r="J139" s="827"/>
      <c r="K139" s="827"/>
      <c r="L139" s="827"/>
      <c r="M139" s="827"/>
      <c r="N139" s="827"/>
      <c r="O139" s="827"/>
      <c r="P139" s="827"/>
      <c r="Q139" s="827"/>
      <c r="R139" s="827"/>
      <c r="S139" s="827"/>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row>
    <row r="140" spans="1:61" x14ac:dyDescent="0.25">
      <c r="A140" s="827"/>
      <c r="B140" s="827"/>
      <c r="C140" s="827"/>
      <c r="D140" s="827"/>
      <c r="E140" s="827"/>
      <c r="F140" s="827"/>
      <c r="G140" s="827"/>
      <c r="H140" s="827"/>
      <c r="I140" s="827"/>
      <c r="J140" s="827"/>
      <c r="K140" s="827"/>
      <c r="L140" s="827"/>
      <c r="M140" s="827"/>
      <c r="N140" s="827"/>
      <c r="O140" s="827"/>
      <c r="P140" s="827"/>
      <c r="Q140" s="827"/>
      <c r="R140" s="827"/>
      <c r="S140" s="827"/>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row>
    <row r="141" spans="1:61" x14ac:dyDescent="0.25">
      <c r="A141" s="827"/>
      <c r="B141" s="827"/>
      <c r="C141" s="827"/>
      <c r="D141" s="827"/>
      <c r="E141" s="827"/>
      <c r="F141" s="827"/>
      <c r="G141" s="827"/>
      <c r="H141" s="827"/>
      <c r="I141" s="827"/>
      <c r="J141" s="827"/>
      <c r="K141" s="827"/>
      <c r="L141" s="827"/>
      <c r="M141" s="827"/>
      <c r="N141" s="827"/>
      <c r="O141" s="827"/>
      <c r="P141" s="827"/>
      <c r="Q141" s="827"/>
      <c r="R141" s="827"/>
      <c r="S141" s="827"/>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row>
    <row r="142" spans="1:61" x14ac:dyDescent="0.25">
      <c r="A142" s="827"/>
      <c r="B142" s="827"/>
      <c r="C142" s="827"/>
      <c r="D142" s="827"/>
      <c r="E142" s="827"/>
      <c r="F142" s="827"/>
      <c r="G142" s="827"/>
      <c r="H142" s="827"/>
      <c r="I142" s="827"/>
      <c r="J142" s="827"/>
      <c r="K142" s="827"/>
      <c r="L142" s="827"/>
      <c r="M142" s="827"/>
      <c r="N142" s="827"/>
      <c r="O142" s="827"/>
      <c r="P142" s="827"/>
      <c r="Q142" s="827"/>
      <c r="R142" s="827"/>
      <c r="S142" s="827"/>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row>
    <row r="143" spans="1:61" x14ac:dyDescent="0.25">
      <c r="A143" s="827"/>
      <c r="B143" s="827"/>
      <c r="C143" s="827"/>
      <c r="D143" s="827"/>
      <c r="E143" s="827"/>
      <c r="F143" s="827"/>
      <c r="G143" s="827"/>
      <c r="H143" s="827"/>
      <c r="I143" s="827"/>
      <c r="J143" s="827"/>
      <c r="K143" s="827"/>
      <c r="L143" s="827"/>
      <c r="M143" s="827"/>
      <c r="N143" s="827"/>
      <c r="O143" s="827"/>
      <c r="P143" s="827"/>
      <c r="Q143" s="827"/>
      <c r="R143" s="827"/>
      <c r="S143" s="827"/>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row>
    <row r="144" spans="1:61" x14ac:dyDescent="0.25">
      <c r="A144" s="827"/>
      <c r="B144" s="827"/>
      <c r="C144" s="827"/>
      <c r="D144" s="827"/>
      <c r="E144" s="827"/>
      <c r="F144" s="827"/>
      <c r="G144" s="827"/>
      <c r="H144" s="827"/>
      <c r="I144" s="827"/>
      <c r="J144" s="827"/>
      <c r="K144" s="827"/>
      <c r="L144" s="827"/>
      <c r="M144" s="827"/>
      <c r="N144" s="827"/>
      <c r="O144" s="827"/>
      <c r="P144" s="827"/>
      <c r="Q144" s="827"/>
      <c r="R144" s="827"/>
      <c r="S144" s="827"/>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row>
    <row r="145" spans="1:61" x14ac:dyDescent="0.25">
      <c r="A145" s="827"/>
      <c r="B145" s="827"/>
      <c r="C145" s="827"/>
      <c r="D145" s="827"/>
      <c r="E145" s="827"/>
      <c r="F145" s="827"/>
      <c r="G145" s="827"/>
      <c r="H145" s="827"/>
      <c r="I145" s="827"/>
      <c r="J145" s="827"/>
      <c r="K145" s="827"/>
      <c r="L145" s="827"/>
      <c r="M145" s="827"/>
      <c r="N145" s="827"/>
      <c r="O145" s="827"/>
      <c r="P145" s="827"/>
      <c r="Q145" s="827"/>
      <c r="R145" s="827"/>
      <c r="S145" s="827"/>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row>
    <row r="146" spans="1:61" x14ac:dyDescent="0.25">
      <c r="A146" s="827"/>
      <c r="B146" s="827"/>
      <c r="C146" s="827"/>
      <c r="D146" s="827"/>
      <c r="E146" s="827"/>
      <c r="F146" s="827"/>
      <c r="G146" s="827"/>
      <c r="H146" s="827"/>
      <c r="I146" s="827"/>
      <c r="J146" s="827"/>
      <c r="K146" s="827"/>
      <c r="L146" s="827"/>
      <c r="M146" s="827"/>
      <c r="N146" s="827"/>
      <c r="O146" s="827"/>
      <c r="P146" s="827"/>
      <c r="Q146" s="827"/>
      <c r="R146" s="827"/>
      <c r="S146" s="827"/>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row>
    <row r="147" spans="1:61" x14ac:dyDescent="0.25">
      <c r="A147" s="827"/>
      <c r="B147" s="827"/>
      <c r="C147" s="827"/>
      <c r="D147" s="827"/>
      <c r="E147" s="827"/>
      <c r="F147" s="827"/>
      <c r="G147" s="827"/>
      <c r="H147" s="827"/>
      <c r="I147" s="827"/>
      <c r="J147" s="827"/>
      <c r="K147" s="827"/>
      <c r="L147" s="827"/>
      <c r="M147" s="827"/>
      <c r="N147" s="827"/>
      <c r="O147" s="827"/>
      <c r="P147" s="827"/>
      <c r="Q147" s="827"/>
      <c r="R147" s="827"/>
      <c r="S147" s="827"/>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row>
    <row r="148" spans="1:61" x14ac:dyDescent="0.25">
      <c r="A148" s="827"/>
      <c r="B148" s="827"/>
      <c r="C148" s="827"/>
      <c r="D148" s="827"/>
      <c r="E148" s="827"/>
      <c r="F148" s="827"/>
      <c r="G148" s="827"/>
      <c r="H148" s="827"/>
      <c r="I148" s="827"/>
      <c r="J148" s="827"/>
      <c r="K148" s="827"/>
      <c r="L148" s="827"/>
      <c r="M148" s="827"/>
      <c r="N148" s="827"/>
      <c r="O148" s="827"/>
      <c r="P148" s="827"/>
      <c r="Q148" s="827"/>
      <c r="R148" s="827"/>
      <c r="S148" s="827"/>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row>
    <row r="149" spans="1:61" x14ac:dyDescent="0.25">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row>
    <row r="150" spans="1:61" x14ac:dyDescent="0.25">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row>
    <row r="151" spans="1:61" x14ac:dyDescent="0.25">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c r="AT151" s="827"/>
      <c r="AU151" s="827"/>
      <c r="AV151" s="827"/>
      <c r="AW151" s="827"/>
      <c r="AX151" s="827"/>
      <c r="AY151" s="827"/>
      <c r="AZ151" s="827"/>
      <c r="BA151" s="827"/>
      <c r="BB151" s="827"/>
      <c r="BC151" s="827"/>
      <c r="BD151" s="827"/>
      <c r="BE151" s="827"/>
      <c r="BF151" s="827"/>
      <c r="BG151" s="827"/>
      <c r="BH151" s="827"/>
      <c r="BI151" s="827"/>
    </row>
    <row r="152" spans="1:61" x14ac:dyDescent="0.25">
      <c r="A152" s="827"/>
      <c r="B152" s="827"/>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c r="AT152" s="827"/>
      <c r="AU152" s="827"/>
      <c r="AV152" s="827"/>
      <c r="AW152" s="827"/>
      <c r="AX152" s="827"/>
      <c r="AY152" s="827"/>
      <c r="AZ152" s="827"/>
      <c r="BA152" s="827"/>
      <c r="BB152" s="827"/>
      <c r="BC152" s="827"/>
      <c r="BD152" s="827"/>
      <c r="BE152" s="827"/>
      <c r="BF152" s="827"/>
      <c r="BG152" s="827"/>
      <c r="BH152" s="827"/>
      <c r="BI152" s="827"/>
    </row>
    <row r="153" spans="1:61" x14ac:dyDescent="0.25">
      <c r="A153" s="827"/>
      <c r="B153" s="827"/>
      <c r="C153" s="827"/>
      <c r="D153" s="827"/>
      <c r="E153" s="827"/>
      <c r="F153" s="827"/>
      <c r="G153" s="827"/>
      <c r="H153" s="827"/>
      <c r="I153" s="827"/>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c r="AT153" s="827"/>
      <c r="AU153" s="827"/>
      <c r="AV153" s="827"/>
      <c r="AW153" s="827"/>
      <c r="AX153" s="827"/>
      <c r="AY153" s="827"/>
      <c r="AZ153" s="827"/>
      <c r="BA153" s="827"/>
      <c r="BB153" s="827"/>
      <c r="BC153" s="827"/>
      <c r="BD153" s="827"/>
      <c r="BE153" s="827"/>
      <c r="BF153" s="827"/>
      <c r="BG153" s="827"/>
      <c r="BH153" s="827"/>
      <c r="BI153" s="827"/>
    </row>
    <row r="154" spans="1:61" x14ac:dyDescent="0.25">
      <c r="A154" s="827"/>
      <c r="B154" s="827"/>
      <c r="C154" s="827"/>
      <c r="D154" s="827"/>
      <c r="E154" s="827"/>
      <c r="F154" s="827"/>
      <c r="G154" s="827"/>
      <c r="H154" s="827"/>
      <c r="I154" s="827"/>
      <c r="J154" s="827"/>
      <c r="K154" s="827"/>
      <c r="L154" s="827"/>
      <c r="M154" s="827"/>
      <c r="N154" s="827"/>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c r="AT154" s="827"/>
      <c r="AU154" s="827"/>
      <c r="AV154" s="827"/>
      <c r="AW154" s="827"/>
      <c r="AX154" s="827"/>
      <c r="AY154" s="827"/>
      <c r="AZ154" s="827"/>
      <c r="BA154" s="827"/>
      <c r="BB154" s="827"/>
      <c r="BC154" s="827"/>
      <c r="BD154" s="827"/>
      <c r="BE154" s="827"/>
      <c r="BF154" s="827"/>
      <c r="BG154" s="827"/>
      <c r="BH154" s="827"/>
      <c r="BI154" s="827"/>
    </row>
    <row r="155" spans="1:61" x14ac:dyDescent="0.25">
      <c r="A155" s="827"/>
      <c r="B155" s="827"/>
      <c r="C155" s="827"/>
      <c r="D155" s="827"/>
      <c r="E155" s="827"/>
      <c r="F155" s="827"/>
      <c r="G155" s="827"/>
      <c r="H155" s="827"/>
      <c r="I155" s="827"/>
      <c r="J155" s="827"/>
      <c r="K155" s="827"/>
      <c r="L155" s="827"/>
      <c r="M155" s="827"/>
      <c r="N155" s="827"/>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c r="AK155" s="827"/>
      <c r="AL155" s="827"/>
      <c r="AM155" s="827"/>
      <c r="AN155" s="827"/>
      <c r="AO155" s="827"/>
      <c r="AP155" s="827"/>
      <c r="AQ155" s="827"/>
      <c r="AR155" s="827"/>
      <c r="AS155" s="827"/>
      <c r="AT155" s="827"/>
      <c r="AU155" s="827"/>
      <c r="AV155" s="827"/>
      <c r="AW155" s="827"/>
      <c r="AX155" s="827"/>
      <c r="AY155" s="827"/>
      <c r="AZ155" s="827"/>
      <c r="BA155" s="827"/>
      <c r="BB155" s="827"/>
      <c r="BC155" s="827"/>
      <c r="BD155" s="827"/>
      <c r="BE155" s="827"/>
      <c r="BF155" s="827"/>
      <c r="BG155" s="827"/>
      <c r="BH155" s="827"/>
      <c r="BI155" s="827"/>
    </row>
    <row r="156" spans="1:61" x14ac:dyDescent="0.25">
      <c r="A156" s="827"/>
      <c r="B156" s="827"/>
      <c r="C156" s="827"/>
      <c r="D156" s="827"/>
      <c r="E156" s="827"/>
      <c r="F156" s="827"/>
      <c r="G156" s="827"/>
      <c r="H156" s="827"/>
      <c r="I156" s="827"/>
      <c r="J156" s="827"/>
      <c r="K156" s="827"/>
      <c r="L156" s="827"/>
      <c r="M156" s="827"/>
      <c r="N156" s="827"/>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c r="AK156" s="827"/>
      <c r="AL156" s="827"/>
      <c r="AM156" s="827"/>
      <c r="AN156" s="827"/>
      <c r="AO156" s="827"/>
      <c r="AP156" s="827"/>
      <c r="AQ156" s="827"/>
      <c r="AR156" s="827"/>
      <c r="AS156" s="827"/>
      <c r="AT156" s="827"/>
      <c r="AU156" s="827"/>
      <c r="AV156" s="827"/>
      <c r="AW156" s="827"/>
      <c r="AX156" s="827"/>
      <c r="AY156" s="827"/>
      <c r="AZ156" s="827"/>
      <c r="BA156" s="827"/>
      <c r="BB156" s="827"/>
      <c r="BC156" s="827"/>
      <c r="BD156" s="827"/>
      <c r="BE156" s="827"/>
      <c r="BF156" s="827"/>
      <c r="BG156" s="827"/>
      <c r="BH156" s="827"/>
      <c r="BI156" s="827"/>
    </row>
    <row r="157" spans="1:61" x14ac:dyDescent="0.25">
      <c r="A157" s="827"/>
      <c r="B157" s="827"/>
      <c r="C157" s="827"/>
      <c r="D157" s="827"/>
      <c r="E157" s="827"/>
      <c r="F157" s="827"/>
      <c r="G157" s="827"/>
      <c r="H157" s="827"/>
      <c r="I157" s="827"/>
      <c r="J157" s="827"/>
      <c r="K157" s="827"/>
      <c r="L157" s="827"/>
      <c r="M157" s="827"/>
      <c r="N157" s="827"/>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c r="AK157" s="827"/>
      <c r="AL157" s="827"/>
      <c r="AM157" s="827"/>
      <c r="AN157" s="827"/>
      <c r="AO157" s="827"/>
      <c r="AP157" s="827"/>
      <c r="AQ157" s="827"/>
      <c r="AR157" s="827"/>
      <c r="AS157" s="827"/>
      <c r="AT157" s="827"/>
      <c r="AU157" s="827"/>
      <c r="AV157" s="827"/>
      <c r="AW157" s="827"/>
      <c r="AX157" s="827"/>
      <c r="AY157" s="827"/>
      <c r="AZ157" s="827"/>
      <c r="BA157" s="827"/>
      <c r="BB157" s="827"/>
      <c r="BC157" s="827"/>
      <c r="BD157" s="827"/>
      <c r="BE157" s="827"/>
      <c r="BF157" s="827"/>
      <c r="BG157" s="827"/>
      <c r="BH157" s="827"/>
      <c r="BI157" s="827"/>
    </row>
    <row r="158" spans="1:61" x14ac:dyDescent="0.25">
      <c r="A158" s="827"/>
      <c r="B158" s="827"/>
      <c r="C158" s="827"/>
      <c r="D158" s="827"/>
      <c r="E158" s="827"/>
      <c r="F158" s="827"/>
      <c r="G158" s="827"/>
      <c r="H158" s="827"/>
      <c r="I158" s="827"/>
      <c r="J158" s="827"/>
      <c r="K158" s="827"/>
      <c r="L158" s="827"/>
      <c r="M158" s="827"/>
      <c r="N158" s="827"/>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c r="AK158" s="827"/>
      <c r="AL158" s="827"/>
      <c r="AM158" s="827"/>
      <c r="AN158" s="827"/>
      <c r="AO158" s="827"/>
      <c r="AP158" s="827"/>
      <c r="AQ158" s="827"/>
      <c r="AR158" s="827"/>
      <c r="AS158" s="827"/>
      <c r="AT158" s="827"/>
      <c r="AU158" s="827"/>
      <c r="AV158" s="827"/>
      <c r="AW158" s="827"/>
      <c r="AX158" s="827"/>
      <c r="AY158" s="827"/>
      <c r="AZ158" s="827"/>
      <c r="BA158" s="827"/>
      <c r="BB158" s="827"/>
      <c r="BC158" s="827"/>
      <c r="BD158" s="827"/>
      <c r="BE158" s="827"/>
      <c r="BF158" s="827"/>
      <c r="BG158" s="827"/>
      <c r="BH158" s="827"/>
      <c r="BI158" s="827"/>
    </row>
    <row r="159" spans="1:61" x14ac:dyDescent="0.25">
      <c r="A159" s="827"/>
      <c r="B159" s="827"/>
      <c r="C159" s="827"/>
      <c r="D159" s="827"/>
      <c r="E159" s="827"/>
      <c r="F159" s="827"/>
      <c r="G159" s="827"/>
      <c r="H159" s="827"/>
      <c r="I159" s="827"/>
      <c r="J159" s="827"/>
      <c r="K159" s="827"/>
      <c r="L159" s="827"/>
      <c r="M159" s="827"/>
      <c r="N159" s="827"/>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c r="AK159" s="827"/>
      <c r="AL159" s="827"/>
      <c r="AM159" s="827"/>
      <c r="AN159" s="827"/>
      <c r="AO159" s="827"/>
      <c r="AP159" s="827"/>
      <c r="AQ159" s="827"/>
      <c r="AR159" s="827"/>
      <c r="AS159" s="827"/>
      <c r="AT159" s="827"/>
      <c r="AU159" s="827"/>
      <c r="AV159" s="827"/>
      <c r="AW159" s="827"/>
      <c r="AX159" s="827"/>
      <c r="AY159" s="827"/>
      <c r="AZ159" s="827"/>
      <c r="BA159" s="827"/>
      <c r="BB159" s="827"/>
      <c r="BC159" s="827"/>
      <c r="BD159" s="827"/>
      <c r="BE159" s="827"/>
      <c r="BF159" s="827"/>
      <c r="BG159" s="827"/>
      <c r="BH159" s="827"/>
      <c r="BI159" s="827"/>
    </row>
    <row r="160" spans="1:61" x14ac:dyDescent="0.25">
      <c r="A160" s="827"/>
      <c r="B160" s="827"/>
      <c r="C160" s="827"/>
      <c r="D160" s="827"/>
      <c r="E160" s="827"/>
      <c r="F160" s="827"/>
      <c r="G160" s="827"/>
      <c r="H160" s="827"/>
      <c r="I160" s="827"/>
      <c r="J160" s="827"/>
      <c r="K160" s="827"/>
      <c r="L160" s="827"/>
      <c r="M160" s="827"/>
      <c r="N160" s="827"/>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c r="AK160" s="827"/>
      <c r="AL160" s="827"/>
      <c r="AM160" s="827"/>
      <c r="AN160" s="827"/>
      <c r="AO160" s="827"/>
      <c r="AP160" s="827"/>
      <c r="AQ160" s="827"/>
      <c r="AR160" s="827"/>
      <c r="AS160" s="827"/>
      <c r="AT160" s="827"/>
      <c r="AU160" s="827"/>
      <c r="AV160" s="827"/>
      <c r="AW160" s="827"/>
      <c r="AX160" s="827"/>
      <c r="AY160" s="827"/>
      <c r="AZ160" s="827"/>
      <c r="BA160" s="827"/>
      <c r="BB160" s="827"/>
      <c r="BC160" s="827"/>
      <c r="BD160" s="827"/>
      <c r="BE160" s="827"/>
      <c r="BF160" s="827"/>
      <c r="BG160" s="827"/>
      <c r="BH160" s="827"/>
      <c r="BI160" s="827"/>
    </row>
    <row r="161" spans="1:61" x14ac:dyDescent="0.25">
      <c r="A161" s="827"/>
      <c r="B161" s="827"/>
      <c r="C161" s="827"/>
      <c r="D161" s="827"/>
      <c r="E161" s="827"/>
      <c r="F161" s="827"/>
      <c r="G161" s="827"/>
      <c r="H161" s="827"/>
      <c r="I161" s="827"/>
      <c r="J161" s="827"/>
      <c r="K161" s="827"/>
      <c r="L161" s="827"/>
      <c r="M161" s="827"/>
      <c r="N161" s="827"/>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c r="AK161" s="827"/>
      <c r="AL161" s="827"/>
      <c r="AM161" s="827"/>
      <c r="AN161" s="827"/>
      <c r="AO161" s="827"/>
      <c r="AP161" s="827"/>
      <c r="AQ161" s="827"/>
      <c r="AR161" s="827"/>
      <c r="AS161" s="827"/>
      <c r="AT161" s="827"/>
      <c r="AU161" s="827"/>
      <c r="AV161" s="827"/>
      <c r="AW161" s="827"/>
      <c r="AX161" s="827"/>
      <c r="AY161" s="827"/>
      <c r="AZ161" s="827"/>
      <c r="BA161" s="827"/>
      <c r="BB161" s="827"/>
      <c r="BC161" s="827"/>
      <c r="BD161" s="827"/>
      <c r="BE161" s="827"/>
      <c r="BF161" s="827"/>
      <c r="BG161" s="827"/>
      <c r="BH161" s="827"/>
      <c r="BI161" s="827"/>
    </row>
    <row r="162" spans="1:61" x14ac:dyDescent="0.25">
      <c r="A162" s="827"/>
      <c r="B162" s="827"/>
      <c r="C162" s="827"/>
      <c r="D162" s="827"/>
      <c r="E162" s="827"/>
      <c r="F162" s="827"/>
      <c r="G162" s="827"/>
      <c r="H162" s="827"/>
      <c r="I162" s="827"/>
      <c r="J162" s="827"/>
      <c r="K162" s="827"/>
      <c r="L162" s="827"/>
      <c r="M162" s="827"/>
      <c r="N162" s="827"/>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c r="AK162" s="827"/>
      <c r="AL162" s="827"/>
      <c r="AM162" s="827"/>
      <c r="AN162" s="827"/>
      <c r="AO162" s="827"/>
      <c r="AP162" s="827"/>
      <c r="AQ162" s="827"/>
      <c r="AR162" s="827"/>
      <c r="AS162" s="827"/>
      <c r="AT162" s="827"/>
      <c r="AU162" s="827"/>
      <c r="AV162" s="827"/>
      <c r="AW162" s="827"/>
      <c r="AX162" s="827"/>
      <c r="AY162" s="827"/>
      <c r="AZ162" s="827"/>
      <c r="BA162" s="827"/>
      <c r="BB162" s="827"/>
      <c r="BC162" s="827"/>
      <c r="BD162" s="827"/>
      <c r="BE162" s="827"/>
      <c r="BF162" s="827"/>
      <c r="BG162" s="827"/>
      <c r="BH162" s="827"/>
      <c r="BI162" s="827"/>
    </row>
    <row r="163" spans="1:61" x14ac:dyDescent="0.25">
      <c r="A163" s="827"/>
      <c r="B163" s="827"/>
      <c r="C163" s="827"/>
      <c r="D163" s="827"/>
      <c r="E163" s="827"/>
      <c r="F163" s="827"/>
      <c r="G163" s="827"/>
      <c r="H163" s="827"/>
      <c r="I163" s="827"/>
      <c r="J163" s="827"/>
      <c r="K163" s="827"/>
      <c r="L163" s="827"/>
      <c r="M163" s="827"/>
      <c r="N163" s="827"/>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c r="AK163" s="827"/>
      <c r="AL163" s="827"/>
      <c r="AM163" s="827"/>
      <c r="AN163" s="827"/>
      <c r="AO163" s="827"/>
      <c r="AP163" s="827"/>
      <c r="AQ163" s="827"/>
      <c r="AR163" s="827"/>
      <c r="AS163" s="827"/>
      <c r="AT163" s="827"/>
      <c r="AU163" s="827"/>
      <c r="AV163" s="827"/>
      <c r="AW163" s="827"/>
      <c r="AX163" s="827"/>
      <c r="AY163" s="827"/>
      <c r="AZ163" s="827"/>
      <c r="BA163" s="827"/>
      <c r="BB163" s="827"/>
      <c r="BC163" s="827"/>
      <c r="BD163" s="827"/>
      <c r="BE163" s="827"/>
      <c r="BF163" s="827"/>
      <c r="BG163" s="827"/>
      <c r="BH163" s="827"/>
      <c r="BI163" s="827"/>
    </row>
    <row r="164" spans="1:61" x14ac:dyDescent="0.25">
      <c r="A164" s="827"/>
      <c r="B164" s="827"/>
      <c r="C164" s="827"/>
      <c r="D164" s="827"/>
      <c r="E164" s="827"/>
      <c r="F164" s="827"/>
      <c r="G164" s="827"/>
      <c r="H164" s="827"/>
      <c r="I164" s="827"/>
      <c r="J164" s="827"/>
      <c r="K164" s="827"/>
      <c r="L164" s="827"/>
      <c r="M164" s="827"/>
      <c r="N164" s="827"/>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c r="AK164" s="827"/>
      <c r="AL164" s="827"/>
      <c r="AM164" s="827"/>
      <c r="AN164" s="827"/>
      <c r="AO164" s="827"/>
      <c r="AP164" s="827"/>
      <c r="AQ164" s="827"/>
      <c r="AR164" s="827"/>
      <c r="AS164" s="827"/>
      <c r="AT164" s="827"/>
      <c r="AU164" s="827"/>
      <c r="AV164" s="827"/>
      <c r="AW164" s="827"/>
      <c r="AX164" s="827"/>
      <c r="AY164" s="827"/>
      <c r="AZ164" s="827"/>
      <c r="BA164" s="827"/>
      <c r="BB164" s="827"/>
      <c r="BC164" s="827"/>
      <c r="BD164" s="827"/>
      <c r="BE164" s="827"/>
      <c r="BF164" s="827"/>
      <c r="BG164" s="827"/>
      <c r="BH164" s="827"/>
      <c r="BI164" s="827"/>
    </row>
    <row r="165" spans="1:61" x14ac:dyDescent="0.25">
      <c r="A165" s="827"/>
      <c r="B165" s="827"/>
      <c r="C165" s="827"/>
      <c r="D165" s="827"/>
      <c r="E165" s="827"/>
      <c r="F165" s="827"/>
      <c r="G165" s="827"/>
      <c r="H165" s="827"/>
      <c r="I165" s="827"/>
      <c r="J165" s="827"/>
      <c r="K165" s="827"/>
      <c r="L165" s="827"/>
      <c r="M165" s="827"/>
      <c r="N165" s="827"/>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c r="AK165" s="827"/>
      <c r="AL165" s="827"/>
      <c r="AM165" s="827"/>
      <c r="AN165" s="827"/>
      <c r="AO165" s="827"/>
      <c r="AP165" s="827"/>
      <c r="AQ165" s="827"/>
      <c r="AR165" s="827"/>
      <c r="AS165" s="827"/>
      <c r="AT165" s="827"/>
      <c r="AU165" s="827"/>
      <c r="AV165" s="827"/>
      <c r="AW165" s="827"/>
      <c r="AX165" s="827"/>
      <c r="AY165" s="827"/>
      <c r="AZ165" s="827"/>
      <c r="BA165" s="827"/>
      <c r="BB165" s="827"/>
      <c r="BC165" s="827"/>
      <c r="BD165" s="827"/>
      <c r="BE165" s="827"/>
      <c r="BF165" s="827"/>
      <c r="BG165" s="827"/>
      <c r="BH165" s="827"/>
      <c r="BI165" s="827"/>
    </row>
    <row r="166" spans="1:61" x14ac:dyDescent="0.25">
      <c r="A166" s="827"/>
      <c r="B166" s="827"/>
      <c r="C166" s="827"/>
      <c r="D166" s="827"/>
      <c r="E166" s="827"/>
      <c r="F166" s="827"/>
      <c r="G166" s="827"/>
      <c r="H166" s="827"/>
      <c r="I166" s="827"/>
      <c r="J166" s="827"/>
      <c r="K166" s="827"/>
      <c r="L166" s="827"/>
      <c r="M166" s="827"/>
      <c r="N166" s="827"/>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c r="AK166" s="827"/>
      <c r="AL166" s="827"/>
      <c r="AM166" s="827"/>
      <c r="AN166" s="827"/>
      <c r="AO166" s="827"/>
      <c r="AP166" s="827"/>
      <c r="AQ166" s="827"/>
      <c r="AR166" s="827"/>
      <c r="AS166" s="827"/>
      <c r="AT166" s="827"/>
      <c r="AU166" s="827"/>
      <c r="AV166" s="827"/>
      <c r="AW166" s="827"/>
      <c r="AX166" s="827"/>
      <c r="AY166" s="827"/>
      <c r="AZ166" s="827"/>
      <c r="BA166" s="827"/>
      <c r="BB166" s="827"/>
      <c r="BC166" s="827"/>
      <c r="BD166" s="827"/>
      <c r="BE166" s="827"/>
      <c r="BF166" s="827"/>
      <c r="BG166" s="827"/>
      <c r="BH166" s="827"/>
      <c r="BI166" s="827"/>
    </row>
    <row r="167" spans="1:61" x14ac:dyDescent="0.25">
      <c r="A167" s="827"/>
      <c r="B167" s="827"/>
      <c r="C167" s="827"/>
      <c r="D167" s="827"/>
      <c r="E167" s="827"/>
      <c r="F167" s="827"/>
      <c r="G167" s="827"/>
      <c r="H167" s="827"/>
      <c r="I167" s="827"/>
      <c r="J167" s="827"/>
      <c r="K167" s="827"/>
      <c r="L167" s="827"/>
      <c r="M167" s="827"/>
      <c r="N167" s="827"/>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c r="AK167" s="827"/>
      <c r="AL167" s="827"/>
      <c r="AM167" s="827"/>
      <c r="AN167" s="827"/>
      <c r="AO167" s="827"/>
      <c r="AP167" s="827"/>
      <c r="AQ167" s="827"/>
      <c r="AR167" s="827"/>
      <c r="AS167" s="827"/>
      <c r="AT167" s="827"/>
      <c r="AU167" s="827"/>
      <c r="AV167" s="827"/>
      <c r="AW167" s="827"/>
      <c r="AX167" s="827"/>
      <c r="AY167" s="827"/>
      <c r="AZ167" s="827"/>
      <c r="BA167" s="827"/>
      <c r="BB167" s="827"/>
      <c r="BC167" s="827"/>
      <c r="BD167" s="827"/>
      <c r="BE167" s="827"/>
      <c r="BF167" s="827"/>
      <c r="BG167" s="827"/>
      <c r="BH167" s="827"/>
      <c r="BI167" s="827"/>
    </row>
    <row r="168" spans="1:61" x14ac:dyDescent="0.25">
      <c r="A168" s="827"/>
      <c r="B168" s="827"/>
      <c r="C168" s="827"/>
      <c r="D168" s="827"/>
      <c r="E168" s="827"/>
      <c r="F168" s="827"/>
      <c r="G168" s="827"/>
      <c r="H168" s="827"/>
      <c r="I168" s="827"/>
      <c r="J168" s="827"/>
      <c r="K168" s="827"/>
      <c r="L168" s="827"/>
      <c r="M168" s="827"/>
      <c r="N168" s="827"/>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c r="AK168" s="827"/>
      <c r="AL168" s="827"/>
      <c r="AM168" s="827"/>
      <c r="AN168" s="827"/>
      <c r="AO168" s="827"/>
      <c r="AP168" s="827"/>
      <c r="AQ168" s="827"/>
      <c r="AR168" s="827"/>
      <c r="AS168" s="827"/>
      <c r="AT168" s="827"/>
      <c r="AU168" s="827"/>
      <c r="AV168" s="827"/>
      <c r="AW168" s="827"/>
      <c r="AX168" s="827"/>
      <c r="AY168" s="827"/>
      <c r="AZ168" s="827"/>
      <c r="BA168" s="827"/>
      <c r="BB168" s="827"/>
      <c r="BC168" s="827"/>
      <c r="BD168" s="827"/>
      <c r="BE168" s="827"/>
      <c r="BF168" s="827"/>
      <c r="BG168" s="827"/>
      <c r="BH168" s="827"/>
      <c r="BI168" s="827"/>
    </row>
    <row r="169" spans="1:61" x14ac:dyDescent="0.25">
      <c r="A169" s="827"/>
      <c r="B169" s="827"/>
      <c r="C169" s="827"/>
      <c r="D169" s="827"/>
      <c r="E169" s="827"/>
      <c r="F169" s="827"/>
      <c r="G169" s="827"/>
      <c r="H169" s="827"/>
      <c r="I169" s="827"/>
      <c r="J169" s="827"/>
      <c r="K169" s="827"/>
      <c r="L169" s="827"/>
      <c r="M169" s="827"/>
      <c r="N169" s="827"/>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c r="AK169" s="827"/>
      <c r="AL169" s="827"/>
      <c r="AM169" s="827"/>
      <c r="AN169" s="827"/>
      <c r="AO169" s="827"/>
      <c r="AP169" s="827"/>
      <c r="AQ169" s="827"/>
      <c r="AR169" s="827"/>
      <c r="AS169" s="827"/>
      <c r="AT169" s="827"/>
      <c r="AU169" s="827"/>
      <c r="AV169" s="827"/>
      <c r="AW169" s="827"/>
      <c r="AX169" s="827"/>
      <c r="AY169" s="827"/>
      <c r="AZ169" s="827"/>
      <c r="BA169" s="827"/>
      <c r="BB169" s="827"/>
      <c r="BC169" s="827"/>
      <c r="BD169" s="827"/>
      <c r="BE169" s="827"/>
      <c r="BF169" s="827"/>
      <c r="BG169" s="827"/>
      <c r="BH169" s="827"/>
      <c r="BI169" s="827"/>
    </row>
    <row r="170" spans="1:61" x14ac:dyDescent="0.25">
      <c r="A170" s="827"/>
      <c r="B170" s="827"/>
      <c r="C170" s="827"/>
      <c r="D170" s="827"/>
      <c r="E170" s="827"/>
      <c r="F170" s="827"/>
      <c r="G170" s="827"/>
      <c r="H170" s="827"/>
      <c r="I170" s="827"/>
      <c r="J170" s="827"/>
      <c r="K170" s="827"/>
      <c r="L170" s="827"/>
      <c r="M170" s="827"/>
      <c r="N170" s="827"/>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c r="AK170" s="827"/>
      <c r="AL170" s="827"/>
      <c r="AM170" s="827"/>
      <c r="AN170" s="827"/>
      <c r="AO170" s="827"/>
      <c r="AP170" s="827"/>
      <c r="AQ170" s="827"/>
      <c r="AR170" s="827"/>
      <c r="AS170" s="827"/>
      <c r="AT170" s="827"/>
      <c r="AU170" s="827"/>
      <c r="AV170" s="827"/>
      <c r="AW170" s="827"/>
      <c r="AX170" s="827"/>
      <c r="AY170" s="827"/>
      <c r="AZ170" s="827"/>
      <c r="BA170" s="827"/>
      <c r="BB170" s="827"/>
      <c r="BC170" s="827"/>
      <c r="BD170" s="827"/>
      <c r="BE170" s="827"/>
      <c r="BF170" s="827"/>
      <c r="BG170" s="827"/>
      <c r="BH170" s="827"/>
      <c r="BI170" s="827"/>
    </row>
    <row r="171" spans="1:61" x14ac:dyDescent="0.25">
      <c r="A171" s="827"/>
      <c r="B171" s="827"/>
      <c r="C171" s="827"/>
      <c r="D171" s="827"/>
      <c r="E171" s="827"/>
      <c r="F171" s="827"/>
      <c r="G171" s="827"/>
      <c r="H171" s="827"/>
      <c r="I171" s="827"/>
      <c r="J171" s="827"/>
      <c r="K171" s="827"/>
      <c r="L171" s="827"/>
      <c r="M171" s="827"/>
      <c r="N171" s="827"/>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c r="AK171" s="827"/>
      <c r="AL171" s="827"/>
      <c r="AM171" s="827"/>
      <c r="AN171" s="827"/>
      <c r="AO171" s="827"/>
      <c r="AP171" s="827"/>
      <c r="AQ171" s="827"/>
      <c r="AR171" s="827"/>
      <c r="AS171" s="827"/>
      <c r="AT171" s="827"/>
      <c r="AU171" s="827"/>
      <c r="AV171" s="827"/>
      <c r="AW171" s="827"/>
      <c r="AX171" s="827"/>
      <c r="AY171" s="827"/>
      <c r="AZ171" s="827"/>
      <c r="BA171" s="827"/>
      <c r="BB171" s="827"/>
      <c r="BC171" s="827"/>
      <c r="BD171" s="827"/>
      <c r="BE171" s="827"/>
      <c r="BF171" s="827"/>
      <c r="BG171" s="827"/>
      <c r="BH171" s="827"/>
      <c r="BI171" s="827"/>
    </row>
    <row r="172" spans="1:61" x14ac:dyDescent="0.25">
      <c r="A172" s="827"/>
      <c r="B172" s="827"/>
      <c r="C172" s="827"/>
      <c r="D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c r="AK172" s="827"/>
      <c r="AL172" s="827"/>
      <c r="AM172" s="827"/>
      <c r="AN172" s="827"/>
      <c r="AO172" s="827"/>
      <c r="AP172" s="827"/>
      <c r="AQ172" s="827"/>
      <c r="AR172" s="827"/>
      <c r="AS172" s="827"/>
      <c r="AT172" s="827"/>
      <c r="AU172" s="827"/>
      <c r="AV172" s="827"/>
      <c r="AW172" s="827"/>
      <c r="AX172" s="827"/>
      <c r="AY172" s="827"/>
      <c r="AZ172" s="827"/>
      <c r="BA172" s="827"/>
      <c r="BB172" s="827"/>
      <c r="BC172" s="827"/>
      <c r="BD172" s="827"/>
      <c r="BE172" s="827"/>
      <c r="BF172" s="827"/>
      <c r="BG172" s="827"/>
      <c r="BH172" s="827"/>
      <c r="BI172" s="827"/>
    </row>
    <row r="173" spans="1:61" x14ac:dyDescent="0.25">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c r="AK173" s="827"/>
      <c r="AL173" s="827"/>
      <c r="AM173" s="827"/>
      <c r="AN173" s="827"/>
      <c r="AO173" s="827"/>
      <c r="AP173" s="827"/>
      <c r="AQ173" s="827"/>
      <c r="AR173" s="827"/>
      <c r="AS173" s="827"/>
      <c r="AT173" s="827"/>
      <c r="AU173" s="827"/>
      <c r="AV173" s="827"/>
      <c r="AW173" s="827"/>
      <c r="AX173" s="827"/>
      <c r="AY173" s="827"/>
      <c r="AZ173" s="827"/>
      <c r="BA173" s="827"/>
      <c r="BB173" s="827"/>
      <c r="BC173" s="827"/>
      <c r="BD173" s="827"/>
      <c r="BE173" s="827"/>
      <c r="BF173" s="827"/>
      <c r="BG173" s="827"/>
      <c r="BH173" s="827"/>
      <c r="BI173" s="827"/>
    </row>
    <row r="174" spans="1:61" x14ac:dyDescent="0.25">
      <c r="A174" s="827"/>
      <c r="B174" s="827"/>
      <c r="C174" s="827"/>
      <c r="D174" s="827"/>
      <c r="E174" s="827"/>
      <c r="F174" s="827"/>
      <c r="G174" s="827"/>
      <c r="H174" s="827"/>
      <c r="I174" s="827"/>
      <c r="J174" s="827"/>
      <c r="K174" s="827"/>
      <c r="L174" s="827"/>
      <c r="M174" s="827"/>
      <c r="N174" s="827"/>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c r="AK174" s="827"/>
      <c r="AL174" s="827"/>
      <c r="AM174" s="827"/>
      <c r="AN174" s="827"/>
      <c r="AO174" s="827"/>
      <c r="AP174" s="827"/>
      <c r="AQ174" s="827"/>
      <c r="AR174" s="827"/>
      <c r="AS174" s="827"/>
      <c r="AT174" s="827"/>
      <c r="AU174" s="827"/>
      <c r="AV174" s="827"/>
      <c r="AW174" s="827"/>
      <c r="AX174" s="827"/>
      <c r="AY174" s="827"/>
      <c r="AZ174" s="827"/>
      <c r="BA174" s="827"/>
      <c r="BB174" s="827"/>
      <c r="BC174" s="827"/>
      <c r="BD174" s="827"/>
      <c r="BE174" s="827"/>
      <c r="BF174" s="827"/>
      <c r="BG174" s="827"/>
      <c r="BH174" s="827"/>
      <c r="BI174" s="827"/>
    </row>
    <row r="175" spans="1:61" x14ac:dyDescent="0.25">
      <c r="A175" s="827"/>
      <c r="B175" s="827"/>
      <c r="C175" s="827"/>
      <c r="D175" s="827"/>
      <c r="E175" s="827"/>
      <c r="F175" s="827"/>
      <c r="G175" s="827"/>
      <c r="H175" s="827"/>
      <c r="I175" s="827"/>
      <c r="J175" s="827"/>
      <c r="K175" s="827"/>
      <c r="L175" s="827"/>
      <c r="M175" s="827"/>
      <c r="N175" s="827"/>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c r="AK175" s="827"/>
      <c r="AL175" s="827"/>
      <c r="AM175" s="827"/>
      <c r="AN175" s="827"/>
      <c r="AO175" s="827"/>
      <c r="AP175" s="827"/>
      <c r="AQ175" s="827"/>
      <c r="AR175" s="827"/>
      <c r="AS175" s="827"/>
      <c r="AT175" s="827"/>
      <c r="AU175" s="827"/>
      <c r="AV175" s="827"/>
      <c r="AW175" s="827"/>
      <c r="AX175" s="827"/>
      <c r="AY175" s="827"/>
      <c r="AZ175" s="827"/>
      <c r="BA175" s="827"/>
      <c r="BB175" s="827"/>
      <c r="BC175" s="827"/>
      <c r="BD175" s="827"/>
      <c r="BE175" s="827"/>
      <c r="BF175" s="827"/>
      <c r="BG175" s="827"/>
      <c r="BH175" s="827"/>
      <c r="BI175" s="827"/>
    </row>
    <row r="176" spans="1:61" x14ac:dyDescent="0.25">
      <c r="A176" s="827"/>
      <c r="B176" s="827"/>
      <c r="C176" s="827"/>
      <c r="D176" s="827"/>
      <c r="E176" s="827"/>
      <c r="F176" s="827"/>
      <c r="G176" s="827"/>
      <c r="H176" s="827"/>
      <c r="I176" s="827"/>
      <c r="J176" s="827"/>
      <c r="K176" s="827"/>
      <c r="L176" s="827"/>
      <c r="M176" s="827"/>
      <c r="N176" s="827"/>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c r="AK176" s="827"/>
      <c r="AL176" s="827"/>
      <c r="AM176" s="827"/>
      <c r="AN176" s="827"/>
      <c r="AO176" s="827"/>
      <c r="AP176" s="827"/>
      <c r="AQ176" s="827"/>
      <c r="AR176" s="827"/>
      <c r="AS176" s="827"/>
      <c r="AT176" s="827"/>
      <c r="AU176" s="827"/>
      <c r="AV176" s="827"/>
      <c r="AW176" s="827"/>
      <c r="AX176" s="827"/>
      <c r="AY176" s="827"/>
      <c r="AZ176" s="827"/>
      <c r="BA176" s="827"/>
      <c r="BB176" s="827"/>
      <c r="BC176" s="827"/>
      <c r="BD176" s="827"/>
      <c r="BE176" s="827"/>
      <c r="BF176" s="827"/>
      <c r="BG176" s="827"/>
      <c r="BH176" s="827"/>
      <c r="BI176" s="827"/>
    </row>
    <row r="177" spans="1:61" x14ac:dyDescent="0.25">
      <c r="A177" s="827"/>
      <c r="B177" s="827"/>
      <c r="C177" s="827"/>
      <c r="D177" s="827"/>
      <c r="E177" s="827"/>
      <c r="F177" s="827"/>
      <c r="G177" s="827"/>
      <c r="H177" s="827"/>
      <c r="I177" s="827"/>
      <c r="J177" s="827"/>
      <c r="K177" s="827"/>
      <c r="L177" s="827"/>
      <c r="M177" s="827"/>
      <c r="N177" s="827"/>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c r="AK177" s="827"/>
      <c r="AL177" s="827"/>
      <c r="AM177" s="827"/>
      <c r="AN177" s="827"/>
      <c r="AO177" s="827"/>
      <c r="AP177" s="827"/>
      <c r="AQ177" s="827"/>
      <c r="AR177" s="827"/>
      <c r="AS177" s="827"/>
      <c r="AT177" s="827"/>
      <c r="AU177" s="827"/>
      <c r="AV177" s="827"/>
      <c r="AW177" s="827"/>
      <c r="AX177" s="827"/>
      <c r="AY177" s="827"/>
      <c r="AZ177" s="827"/>
      <c r="BA177" s="827"/>
      <c r="BB177" s="827"/>
      <c r="BC177" s="827"/>
      <c r="BD177" s="827"/>
      <c r="BE177" s="827"/>
      <c r="BF177" s="827"/>
      <c r="BG177" s="827"/>
      <c r="BH177" s="827"/>
      <c r="BI177" s="827"/>
    </row>
    <row r="178" spans="1:61" x14ac:dyDescent="0.25">
      <c r="A178" s="827"/>
      <c r="B178" s="827"/>
      <c r="C178" s="827"/>
      <c r="D178" s="827"/>
      <c r="E178" s="827"/>
      <c r="F178" s="827"/>
      <c r="G178" s="827"/>
      <c r="H178" s="827"/>
      <c r="I178" s="827"/>
      <c r="J178" s="827"/>
      <c r="K178" s="827"/>
      <c r="L178" s="827"/>
      <c r="M178" s="827"/>
      <c r="N178" s="827"/>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c r="AK178" s="827"/>
      <c r="AL178" s="827"/>
      <c r="AM178" s="827"/>
      <c r="AN178" s="827"/>
      <c r="AO178" s="827"/>
      <c r="AP178" s="827"/>
      <c r="AQ178" s="827"/>
      <c r="AR178" s="827"/>
      <c r="AS178" s="827"/>
      <c r="AT178" s="827"/>
      <c r="AU178" s="827"/>
      <c r="AV178" s="827"/>
      <c r="AW178" s="827"/>
      <c r="AX178" s="827"/>
      <c r="AY178" s="827"/>
      <c r="AZ178" s="827"/>
      <c r="BA178" s="827"/>
      <c r="BB178" s="827"/>
      <c r="BC178" s="827"/>
      <c r="BD178" s="827"/>
      <c r="BE178" s="827"/>
      <c r="BF178" s="827"/>
      <c r="BG178" s="827"/>
      <c r="BH178" s="827"/>
      <c r="BI178" s="827"/>
    </row>
    <row r="179" spans="1:61" x14ac:dyDescent="0.25">
      <c r="A179" s="827"/>
      <c r="B179" s="827"/>
      <c r="C179" s="827"/>
      <c r="D179" s="827"/>
      <c r="E179" s="827"/>
      <c r="F179" s="827"/>
      <c r="G179" s="827"/>
      <c r="H179" s="827"/>
      <c r="I179" s="827"/>
      <c r="J179" s="827"/>
      <c r="K179" s="827"/>
      <c r="L179" s="827"/>
      <c r="M179" s="827"/>
      <c r="N179" s="827"/>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c r="AK179" s="827"/>
      <c r="AL179" s="827"/>
      <c r="AM179" s="827"/>
      <c r="AN179" s="827"/>
      <c r="AO179" s="827"/>
      <c r="AP179" s="827"/>
      <c r="AQ179" s="827"/>
      <c r="AR179" s="827"/>
      <c r="AS179" s="827"/>
      <c r="AT179" s="827"/>
      <c r="AU179" s="827"/>
      <c r="AV179" s="827"/>
      <c r="AW179" s="827"/>
      <c r="AX179" s="827"/>
      <c r="AY179" s="827"/>
      <c r="AZ179" s="827"/>
      <c r="BA179" s="827"/>
      <c r="BB179" s="827"/>
      <c r="BC179" s="827"/>
      <c r="BD179" s="827"/>
      <c r="BE179" s="827"/>
      <c r="BF179" s="827"/>
      <c r="BG179" s="827"/>
      <c r="BH179" s="827"/>
      <c r="BI179" s="827"/>
    </row>
    <row r="180" spans="1:61" x14ac:dyDescent="0.25">
      <c r="A180" s="827"/>
      <c r="B180" s="827"/>
      <c r="C180" s="827"/>
      <c r="D180" s="827"/>
      <c r="E180" s="827"/>
      <c r="F180" s="827"/>
      <c r="G180" s="827"/>
      <c r="H180" s="827"/>
      <c r="I180" s="827"/>
      <c r="J180" s="827"/>
      <c r="K180" s="827"/>
      <c r="L180" s="827"/>
      <c r="M180" s="827"/>
      <c r="N180" s="827"/>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c r="AK180" s="827"/>
      <c r="AL180" s="827"/>
      <c r="AM180" s="827"/>
      <c r="AN180" s="827"/>
      <c r="AO180" s="827"/>
      <c r="AP180" s="827"/>
      <c r="AQ180" s="827"/>
      <c r="AR180" s="827"/>
      <c r="AS180" s="827"/>
      <c r="AT180" s="827"/>
      <c r="AU180" s="827"/>
      <c r="AV180" s="827"/>
      <c r="AW180" s="827"/>
      <c r="AX180" s="827"/>
      <c r="AY180" s="827"/>
      <c r="AZ180" s="827"/>
      <c r="BA180" s="827"/>
      <c r="BB180" s="827"/>
      <c r="BC180" s="827"/>
      <c r="BD180" s="827"/>
      <c r="BE180" s="827"/>
      <c r="BF180" s="827"/>
      <c r="BG180" s="827"/>
      <c r="BH180" s="827"/>
      <c r="BI180" s="827"/>
    </row>
    <row r="181" spans="1:61" x14ac:dyDescent="0.25">
      <c r="A181" s="827"/>
      <c r="B181" s="827"/>
      <c r="C181" s="827"/>
      <c r="D181" s="827"/>
      <c r="E181" s="827"/>
      <c r="F181" s="827"/>
      <c r="G181" s="827"/>
      <c r="H181" s="827"/>
      <c r="I181" s="827"/>
      <c r="J181" s="827"/>
      <c r="K181" s="827"/>
      <c r="L181" s="827"/>
      <c r="M181" s="827"/>
      <c r="N181" s="827"/>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c r="AK181" s="827"/>
      <c r="AL181" s="827"/>
      <c r="AM181" s="827"/>
      <c r="AN181" s="827"/>
      <c r="AO181" s="827"/>
      <c r="AP181" s="827"/>
      <c r="AQ181" s="827"/>
      <c r="AR181" s="827"/>
      <c r="AS181" s="827"/>
      <c r="AT181" s="827"/>
      <c r="AU181" s="827"/>
      <c r="AV181" s="827"/>
      <c r="AW181" s="827"/>
      <c r="AX181" s="827"/>
      <c r="AY181" s="827"/>
      <c r="AZ181" s="827"/>
      <c r="BA181" s="827"/>
      <c r="BB181" s="827"/>
      <c r="BC181" s="827"/>
      <c r="BD181" s="827"/>
      <c r="BE181" s="827"/>
      <c r="BF181" s="827"/>
      <c r="BG181" s="827"/>
      <c r="BH181" s="827"/>
      <c r="BI181" s="827"/>
    </row>
    <row r="182" spans="1:61" x14ac:dyDescent="0.25">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c r="AK182" s="827"/>
      <c r="AL182" s="827"/>
      <c r="AM182" s="827"/>
      <c r="AN182" s="827"/>
      <c r="AO182" s="827"/>
      <c r="AP182" s="827"/>
      <c r="AQ182" s="827"/>
      <c r="AR182" s="827"/>
      <c r="AS182" s="827"/>
      <c r="AT182" s="827"/>
      <c r="AU182" s="827"/>
      <c r="AV182" s="827"/>
      <c r="AW182" s="827"/>
      <c r="AX182" s="827"/>
      <c r="AY182" s="827"/>
      <c r="AZ182" s="827"/>
      <c r="BA182" s="827"/>
      <c r="BB182" s="827"/>
      <c r="BC182" s="827"/>
      <c r="BD182" s="827"/>
      <c r="BE182" s="827"/>
      <c r="BF182" s="827"/>
      <c r="BG182" s="827"/>
      <c r="BH182" s="827"/>
      <c r="BI182" s="827"/>
    </row>
    <row r="183" spans="1:61" x14ac:dyDescent="0.25">
      <c r="A183" s="827"/>
      <c r="B183" s="827"/>
      <c r="C183" s="827"/>
      <c r="D183" s="827"/>
      <c r="E183" s="827"/>
      <c r="F183" s="827"/>
      <c r="G183" s="827"/>
      <c r="H183" s="827"/>
    </row>
    <row r="184" spans="1:61" x14ac:dyDescent="0.25">
      <c r="A184" s="827"/>
      <c r="B184" s="827"/>
      <c r="C184" s="827"/>
      <c r="D184" s="827"/>
      <c r="E184" s="827"/>
      <c r="F184" s="827"/>
      <c r="G184" s="827"/>
      <c r="H184" s="827"/>
    </row>
    <row r="185" spans="1:61" x14ac:dyDescent="0.25">
      <c r="A185" s="827"/>
      <c r="B185" s="827"/>
      <c r="C185" s="827"/>
      <c r="D185" s="827"/>
      <c r="E185" s="827"/>
      <c r="F185" s="827"/>
      <c r="G185" s="827"/>
      <c r="H185" s="827"/>
    </row>
  </sheetData>
  <mergeCells count="23">
    <mergeCell ref="S21:U21"/>
    <mergeCell ref="S22:U22"/>
    <mergeCell ref="S6:U6"/>
    <mergeCell ref="S7:U7"/>
    <mergeCell ref="S8:U8"/>
    <mergeCell ref="S9:U9"/>
    <mergeCell ref="S10:U10"/>
    <mergeCell ref="B111:D111"/>
    <mergeCell ref="B119:D119"/>
    <mergeCell ref="B123:D123"/>
    <mergeCell ref="S11:U11"/>
    <mergeCell ref="S12:U12"/>
    <mergeCell ref="S13:U13"/>
    <mergeCell ref="S14:U14"/>
    <mergeCell ref="S15:U15"/>
    <mergeCell ref="S16:U16"/>
    <mergeCell ref="S17:U17"/>
    <mergeCell ref="S23:U23"/>
    <mergeCell ref="B89:C89"/>
    <mergeCell ref="B90:C90"/>
    <mergeCell ref="S18:U18"/>
    <mergeCell ref="S19:U19"/>
    <mergeCell ref="S20:U20"/>
  </mergeCells>
  <phoneticPr fontId="0" type="noConversion"/>
  <conditionalFormatting sqref="C44:AC59">
    <cfRule type="dataBar" priority="2">
      <dataBar>
        <cfvo type="min"/>
        <cfvo type="max"/>
        <color rgb="FF638EC6"/>
      </dataBar>
      <extLst>
        <ext xmlns:x14="http://schemas.microsoft.com/office/spreadsheetml/2009/9/main" uri="{B025F937-C7B1-47D3-B67F-A62EFF666E3E}">
          <x14:id>{E8C33207-04B1-4E46-BEBF-C66B29A8C0CB}</x14:id>
        </ext>
      </extLst>
    </cfRule>
  </conditionalFormatting>
  <conditionalFormatting sqref="C64:AC64">
    <cfRule type="dataBar" priority="1">
      <dataBar>
        <cfvo type="min"/>
        <cfvo type="max"/>
        <color rgb="FF638EC6"/>
      </dataBar>
      <extLst>
        <ext xmlns:x14="http://schemas.microsoft.com/office/spreadsheetml/2009/9/main" uri="{B025F937-C7B1-47D3-B67F-A62EFF666E3E}">
          <x14:id>{2384DDD8-BF41-42D4-8C45-7466C31CF97D}</x14:id>
        </ext>
      </extLst>
    </cfRule>
  </conditionalFormatting>
  <pageMargins left="0.75" right="0.75" top="1" bottom="1" header="0.5" footer="0.5"/>
  <pageSetup orientation="portrait" horizontalDpi="1200" verticalDpi="1200" r:id="rId1"/>
  <headerFooter alignWithMargins="0"/>
  <drawing r:id="rId2"/>
  <extLst>
    <ext xmlns:x14="http://schemas.microsoft.com/office/spreadsheetml/2009/9/main" uri="{78C0D931-6437-407d-A8EE-F0AAD7539E65}">
      <x14:conditionalFormattings>
        <x14:conditionalFormatting xmlns:xm="http://schemas.microsoft.com/office/excel/2006/main">
          <x14:cfRule type="dataBar" id="{E8C33207-04B1-4E46-BEBF-C66B29A8C0CB}">
            <x14:dataBar minLength="0" maxLength="100" gradient="0">
              <x14:cfvo type="autoMin"/>
              <x14:cfvo type="autoMax"/>
              <x14:negativeFillColor rgb="FFFF0000"/>
              <x14:axisColor rgb="FF000000"/>
            </x14:dataBar>
          </x14:cfRule>
          <xm:sqref>C44:AC59</xm:sqref>
        </x14:conditionalFormatting>
        <x14:conditionalFormatting xmlns:xm="http://schemas.microsoft.com/office/excel/2006/main">
          <x14:cfRule type="dataBar" id="{2384DDD8-BF41-42D4-8C45-7466C31CF97D}">
            <x14:dataBar minLength="0" maxLength="100" gradient="0">
              <x14:cfvo type="autoMin"/>
              <x14:cfvo type="autoMax"/>
              <x14:negativeFillColor rgb="FFFF0000"/>
              <x14:axisColor rgb="FF000000"/>
            </x14:dataBar>
          </x14:cfRule>
          <xm:sqref>C64:AC64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2"/>
  <sheetViews>
    <sheetView zoomScale="85" zoomScaleNormal="85" workbookViewId="0">
      <pane xSplit="1" ySplit="7" topLeftCell="B8" activePane="bottomRight" state="frozen"/>
      <selection pane="topRight" activeCell="B1" sqref="B1"/>
      <selection pane="bottomLeft" activeCell="A8" sqref="A8"/>
      <selection pane="bottomRight" activeCell="B2" sqref="B2:G2"/>
    </sheetView>
  </sheetViews>
  <sheetFormatPr defaultColWidth="9.33203125" defaultRowHeight="13.2" x14ac:dyDescent="0.25"/>
  <cols>
    <col min="1" max="1" width="4.44140625" style="416"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44140625" style="29" customWidth="1"/>
    <col min="12" max="12" width="9.33203125" style="29"/>
    <col min="13" max="13" width="9.6640625" style="29" bestFit="1" customWidth="1"/>
    <col min="14" max="16384" width="9.33203125" style="29"/>
  </cols>
  <sheetData>
    <row r="1" spans="1:8" ht="8.6999999999999993" customHeight="1" thickBot="1" x14ac:dyDescent="0.3">
      <c r="A1" s="1341" t="s">
        <v>1400</v>
      </c>
      <c r="B1" s="986"/>
      <c r="C1" s="986"/>
      <c r="D1" s="986"/>
      <c r="E1" s="986"/>
      <c r="F1" s="986"/>
      <c r="G1" s="986"/>
      <c r="H1" s="986"/>
    </row>
    <row r="2" spans="1:8" ht="27" customHeight="1" thickBot="1" x14ac:dyDescent="0.3">
      <c r="A2" s="1342"/>
      <c r="B2" s="1430" t="s">
        <v>1247</v>
      </c>
      <c r="C2" s="1431"/>
      <c r="D2" s="1431"/>
      <c r="E2" s="1431"/>
      <c r="F2" s="1431"/>
      <c r="G2" s="1432"/>
      <c r="H2" s="986"/>
    </row>
    <row r="3" spans="1:8" ht="32.4" customHeight="1" thickBot="1" x14ac:dyDescent="0.3">
      <c r="A3" s="1342" t="s">
        <v>1015</v>
      </c>
      <c r="B3" s="1433" t="s">
        <v>1372</v>
      </c>
      <c r="C3" s="1434"/>
      <c r="D3" s="1435"/>
      <c r="E3" s="294"/>
      <c r="F3" s="1143"/>
      <c r="G3" s="1178"/>
      <c r="H3" s="986"/>
    </row>
    <row r="4" spans="1:8" ht="6.6" customHeight="1" thickBot="1" x14ac:dyDescent="0.3">
      <c r="A4" s="1342"/>
      <c r="B4" s="1253"/>
      <c r="C4" s="294"/>
      <c r="D4" s="1436"/>
      <c r="E4" s="1436"/>
      <c r="F4" s="1143"/>
      <c r="G4" s="1178"/>
      <c r="H4" s="986"/>
    </row>
    <row r="5" spans="1:8" ht="21.6" thickTop="1" x14ac:dyDescent="0.25">
      <c r="A5" s="1342"/>
      <c r="B5" s="1254" t="s">
        <v>1040</v>
      </c>
      <c r="C5" s="1255"/>
      <c r="D5" s="1256"/>
      <c r="E5" s="1256"/>
      <c r="F5" s="1136"/>
      <c r="G5" s="1137"/>
      <c r="H5" s="986"/>
    </row>
    <row r="6" spans="1:8" ht="21" customHeight="1" x14ac:dyDescent="0.25">
      <c r="A6" s="1342"/>
      <c r="B6" s="1257" t="s">
        <v>200</v>
      </c>
      <c r="C6" s="294"/>
      <c r="D6" s="1258"/>
      <c r="E6" s="1258"/>
      <c r="F6" s="1143"/>
      <c r="G6" s="1178"/>
      <c r="H6" s="986"/>
    </row>
    <row r="7" spans="1:8" ht="21" x14ac:dyDescent="0.25">
      <c r="A7" s="1342"/>
      <c r="B7" s="1259"/>
      <c r="C7" s="294"/>
      <c r="D7" s="1199"/>
      <c r="E7" s="1199"/>
      <c r="F7" s="1143"/>
      <c r="G7" s="1178"/>
      <c r="H7" s="986"/>
    </row>
    <row r="8" spans="1:8" ht="29.25" customHeight="1" x14ac:dyDescent="0.25">
      <c r="A8" s="1342"/>
      <c r="B8" s="1257" t="s">
        <v>195</v>
      </c>
      <c r="C8" s="294"/>
      <c r="D8" s="1199"/>
      <c r="E8" s="1199"/>
      <c r="F8" s="1143"/>
      <c r="G8" s="1178"/>
      <c r="H8" s="986"/>
    </row>
    <row r="9" spans="1:8" ht="21" x14ac:dyDescent="0.25">
      <c r="A9" s="1342"/>
      <c r="B9" s="1259"/>
      <c r="C9" s="294"/>
      <c r="D9" s="294"/>
      <c r="E9" s="294"/>
      <c r="F9" s="1143"/>
      <c r="G9" s="1178"/>
      <c r="H9" s="986"/>
    </row>
    <row r="10" spans="1:8" ht="21" x14ac:dyDescent="0.25">
      <c r="A10" s="1342"/>
      <c r="B10" s="1257" t="s">
        <v>194</v>
      </c>
      <c r="C10" s="294"/>
      <c r="D10" s="294"/>
      <c r="E10" s="294"/>
      <c r="F10" s="1143"/>
      <c r="G10" s="1178"/>
      <c r="H10" s="986"/>
    </row>
    <row r="11" spans="1:8" ht="21" x14ac:dyDescent="0.25">
      <c r="A11" s="1342"/>
      <c r="B11" s="1253"/>
      <c r="C11" s="294"/>
      <c r="D11" s="294"/>
      <c r="E11" s="294"/>
      <c r="F11" s="1143"/>
      <c r="G11" s="1178"/>
      <c r="H11" s="986"/>
    </row>
    <row r="12" spans="1:8" ht="21" x14ac:dyDescent="0.25">
      <c r="A12" s="1342"/>
      <c r="B12" s="1253"/>
      <c r="C12" s="294"/>
      <c r="D12" s="294"/>
      <c r="E12" s="294"/>
      <c r="F12" s="1143"/>
      <c r="G12" s="1178"/>
      <c r="H12" s="986"/>
    </row>
    <row r="13" spans="1:8" ht="21" x14ac:dyDescent="0.25">
      <c r="A13" s="1342"/>
      <c r="B13" s="1253"/>
      <c r="C13" s="294"/>
      <c r="D13" s="294"/>
      <c r="E13" s="294"/>
      <c r="F13" s="1143"/>
      <c r="G13" s="1178"/>
      <c r="H13" s="986"/>
    </row>
    <row r="14" spans="1:8" ht="21" x14ac:dyDescent="0.25">
      <c r="A14" s="1342"/>
      <c r="B14" s="1260" t="s">
        <v>319</v>
      </c>
      <c r="C14" s="294"/>
      <c r="D14" s="294"/>
      <c r="E14" s="294"/>
      <c r="F14" s="294"/>
      <c r="G14" s="1178"/>
      <c r="H14" s="986"/>
    </row>
    <row r="15" spans="1:8" ht="21" x14ac:dyDescent="0.25">
      <c r="A15" s="1342"/>
      <c r="B15" s="1260" t="s">
        <v>367</v>
      </c>
      <c r="C15" s="294"/>
      <c r="D15" s="294"/>
      <c r="E15" s="294"/>
      <c r="F15" s="294"/>
      <c r="G15" s="1178"/>
      <c r="H15" s="986"/>
    </row>
    <row r="16" spans="1:8" ht="21" x14ac:dyDescent="0.25">
      <c r="A16" s="1342"/>
      <c r="B16" s="1260" t="s">
        <v>140</v>
      </c>
      <c r="C16" s="294"/>
      <c r="D16" s="294"/>
      <c r="E16" s="294"/>
      <c r="F16" s="294"/>
      <c r="G16" s="1178"/>
      <c r="H16" s="1273" t="s">
        <v>1149</v>
      </c>
    </row>
    <row r="17" spans="1:8" ht="21" x14ac:dyDescent="0.25">
      <c r="A17" s="1342"/>
      <c r="B17" s="1260" t="s">
        <v>930</v>
      </c>
      <c r="C17" s="294"/>
      <c r="D17" s="294"/>
      <c r="E17" s="294"/>
      <c r="F17" s="294"/>
      <c r="G17" s="1178"/>
      <c r="H17" s="1274">
        <f ca="1">+NPV</f>
        <v>2.5142290636995121E-6</v>
      </c>
    </row>
    <row r="18" spans="1:8" ht="21" x14ac:dyDescent="0.25">
      <c r="A18" s="1342"/>
      <c r="B18" s="1260" t="s">
        <v>349</v>
      </c>
      <c r="C18" s="294"/>
      <c r="D18" s="294"/>
      <c r="E18" s="294"/>
      <c r="F18" s="294"/>
      <c r="G18" s="1178"/>
      <c r="H18" s="986"/>
    </row>
    <row r="19" spans="1:8" ht="21" x14ac:dyDescent="0.25">
      <c r="A19" s="1342"/>
      <c r="B19" s="1260" t="s">
        <v>931</v>
      </c>
      <c r="C19" s="294"/>
      <c r="D19" s="294"/>
      <c r="E19" s="294"/>
      <c r="F19" s="294"/>
      <c r="G19" s="1178"/>
      <c r="H19" s="986"/>
    </row>
    <row r="20" spans="1:8" ht="21" x14ac:dyDescent="0.25">
      <c r="A20" s="1342"/>
      <c r="B20" s="1260" t="s">
        <v>932</v>
      </c>
      <c r="C20" s="294"/>
      <c r="D20" s="294"/>
      <c r="E20" s="294"/>
      <c r="F20" s="294"/>
      <c r="G20" s="1178"/>
      <c r="H20" s="986"/>
    </row>
    <row r="21" spans="1:8" ht="5.7" customHeight="1" x14ac:dyDescent="0.25">
      <c r="A21" s="1342"/>
      <c r="B21" s="1261"/>
      <c r="C21" s="294"/>
      <c r="D21" s="1199"/>
      <c r="E21" s="1199"/>
      <c r="F21" s="1143"/>
      <c r="G21" s="1178"/>
      <c r="H21" s="986"/>
    </row>
    <row r="22" spans="1:8" ht="5.7" customHeight="1" x14ac:dyDescent="0.25">
      <c r="A22" s="1342"/>
      <c r="B22" s="986"/>
      <c r="C22" s="986"/>
      <c r="D22" s="986"/>
      <c r="E22" s="1199"/>
      <c r="F22" s="1143"/>
      <c r="G22" s="1178"/>
      <c r="H22" s="986"/>
    </row>
    <row r="23" spans="1:8" ht="5.7" customHeight="1" thickBot="1" x14ac:dyDescent="0.3">
      <c r="A23" s="1342"/>
      <c r="B23" s="1253"/>
      <c r="C23" s="294"/>
      <c r="D23" s="1199"/>
      <c r="E23" s="1199"/>
      <c r="F23" s="1143"/>
      <c r="G23" s="1178"/>
      <c r="H23" s="986"/>
    </row>
    <row r="24" spans="1:8" ht="31.5" customHeight="1" thickTop="1" thickBot="1" x14ac:dyDescent="0.3">
      <c r="A24" s="1342"/>
      <c r="B24" s="1262" t="s">
        <v>319</v>
      </c>
      <c r="C24" s="1132"/>
      <c r="D24" s="1132"/>
      <c r="E24" s="1424" t="s">
        <v>427</v>
      </c>
      <c r="F24" s="1424"/>
      <c r="G24" s="1425"/>
      <c r="H24" s="986"/>
    </row>
    <row r="25" spans="1:8" ht="17.100000000000001" customHeight="1" thickBot="1" x14ac:dyDescent="0.3">
      <c r="A25" s="1342" t="s">
        <v>5</v>
      </c>
      <c r="B25" s="295" t="s">
        <v>331</v>
      </c>
      <c r="C25" s="1121">
        <f ca="1">0.9*sensitivity_01</f>
        <v>0.9</v>
      </c>
      <c r="D25" s="1130"/>
      <c r="E25" s="1422"/>
      <c r="F25" s="1422"/>
      <c r="G25" s="1423"/>
      <c r="H25" s="986"/>
    </row>
    <row r="26" spans="1:8" ht="17.100000000000001" customHeight="1" thickBot="1" x14ac:dyDescent="0.3">
      <c r="A26" s="1342" t="s">
        <v>23</v>
      </c>
      <c r="B26" s="295" t="s">
        <v>332</v>
      </c>
      <c r="C26" s="1306">
        <f ca="1">ProcessFlow!V13*sensitivity_02</f>
        <v>660000</v>
      </c>
      <c r="D26" s="1130"/>
      <c r="E26" s="1422"/>
      <c r="F26" s="1422"/>
      <c r="G26" s="1423"/>
      <c r="H26" s="986"/>
    </row>
    <row r="27" spans="1:8" ht="17.100000000000001" customHeight="1" thickBot="1" x14ac:dyDescent="0.3">
      <c r="A27" s="1342"/>
      <c r="B27" s="295" t="s">
        <v>418</v>
      </c>
      <c r="C27" s="1129">
        <f ca="1">design_cap*cap_factor</f>
        <v>594000</v>
      </c>
      <c r="D27" s="1130"/>
      <c r="E27" s="1246"/>
      <c r="F27" s="1246"/>
      <c r="G27" s="1243"/>
      <c r="H27" s="986"/>
    </row>
    <row r="28" spans="1:8" ht="17.100000000000001" customHeight="1" thickBot="1" x14ac:dyDescent="0.3">
      <c r="A28" s="1342" t="s">
        <v>982</v>
      </c>
      <c r="B28" s="295" t="s">
        <v>17</v>
      </c>
      <c r="C28" s="1131">
        <f ca="1">output_kgpday*365</f>
        <v>216810000</v>
      </c>
      <c r="D28" s="1130"/>
      <c r="E28" s="1427"/>
      <c r="F28" s="1422"/>
      <c r="G28" s="1423"/>
      <c r="H28" s="986"/>
    </row>
    <row r="29" spans="1:8" ht="20.100000000000001" customHeight="1" thickTop="1" thickBot="1" x14ac:dyDescent="0.3">
      <c r="A29" s="1342"/>
      <c r="B29" s="1262" t="s">
        <v>367</v>
      </c>
      <c r="C29" s="1132"/>
      <c r="D29" s="1133"/>
      <c r="E29" s="1424" t="s">
        <v>1071</v>
      </c>
      <c r="F29" s="1424"/>
      <c r="G29" s="1425"/>
      <c r="H29" s="986"/>
    </row>
    <row r="30" spans="1:8" ht="17.100000000000001" customHeight="1" thickBot="1" x14ac:dyDescent="0.3">
      <c r="A30" s="1342" t="s">
        <v>998</v>
      </c>
      <c r="B30" s="295" t="s">
        <v>999</v>
      </c>
      <c r="C30" s="981">
        <v>2016</v>
      </c>
      <c r="D30" s="1082"/>
      <c r="E30" s="1422"/>
      <c r="F30" s="1422"/>
      <c r="G30" s="1423"/>
      <c r="H30" s="986"/>
    </row>
    <row r="31" spans="1:8" ht="17.100000000000001" customHeight="1" thickBot="1" x14ac:dyDescent="0.3">
      <c r="A31" s="1342" t="s">
        <v>179</v>
      </c>
      <c r="B31" s="295" t="s">
        <v>368</v>
      </c>
      <c r="C31" s="981">
        <v>2015</v>
      </c>
      <c r="D31" s="1130"/>
      <c r="E31" s="1422"/>
      <c r="F31" s="1422"/>
      <c r="G31" s="1423"/>
      <c r="H31" s="986"/>
    </row>
    <row r="32" spans="1:8" ht="17.100000000000001" customHeight="1" thickBot="1" x14ac:dyDescent="0.3">
      <c r="A32" s="1342"/>
      <c r="B32" s="295" t="s">
        <v>821</v>
      </c>
      <c r="C32" s="981">
        <v>2018</v>
      </c>
      <c r="D32" s="1437" t="s">
        <v>1070</v>
      </c>
      <c r="E32" s="1246"/>
      <c r="F32" s="1246"/>
      <c r="G32" s="1243"/>
      <c r="H32" s="986"/>
    </row>
    <row r="33" spans="1:8" ht="17.100000000000001" customHeight="1" thickBot="1" x14ac:dyDescent="0.3">
      <c r="A33" s="1342" t="s">
        <v>7</v>
      </c>
      <c r="B33" s="295" t="s">
        <v>369</v>
      </c>
      <c r="C33" s="981">
        <v>3</v>
      </c>
      <c r="D33" s="1437"/>
      <c r="E33" s="1422"/>
      <c r="F33" s="1422"/>
      <c r="G33" s="1423"/>
      <c r="H33" s="986"/>
    </row>
    <row r="34" spans="1:8" ht="17.100000000000001" customHeight="1" thickBot="1" x14ac:dyDescent="0.3">
      <c r="A34" s="1342" t="s">
        <v>158</v>
      </c>
      <c r="B34" s="295" t="s">
        <v>924</v>
      </c>
      <c r="C34" s="1122">
        <v>1</v>
      </c>
      <c r="D34" s="1134"/>
      <c r="E34" s="1422"/>
      <c r="F34" s="1422"/>
      <c r="G34" s="1423"/>
      <c r="H34" s="986"/>
    </row>
    <row r="35" spans="1:8" ht="17.100000000000001" customHeight="1" thickBot="1" x14ac:dyDescent="0.3">
      <c r="A35" s="1342" t="s">
        <v>159</v>
      </c>
      <c r="B35" s="295" t="s">
        <v>370</v>
      </c>
      <c r="C35" s="1122">
        <v>0</v>
      </c>
      <c r="D35" s="1134"/>
      <c r="E35" s="1422"/>
      <c r="F35" s="1422"/>
      <c r="G35" s="1423"/>
      <c r="H35" s="986"/>
    </row>
    <row r="36" spans="1:8" ht="17.100000000000001" customHeight="1" thickBot="1" x14ac:dyDescent="0.3">
      <c r="A36" s="1342" t="s">
        <v>160</v>
      </c>
      <c r="B36" s="295" t="s">
        <v>371</v>
      </c>
      <c r="C36" s="1122">
        <v>0</v>
      </c>
      <c r="D36" s="1134"/>
      <c r="E36" s="1422"/>
      <c r="F36" s="1422"/>
      <c r="G36" s="1423"/>
      <c r="H36" s="986"/>
    </row>
    <row r="37" spans="1:8" ht="17.100000000000001" customHeight="1" thickBot="1" x14ac:dyDescent="0.3">
      <c r="A37" s="1342" t="s">
        <v>161</v>
      </c>
      <c r="B37" s="295" t="s">
        <v>320</v>
      </c>
      <c r="C37" s="1122"/>
      <c r="D37" s="1130"/>
      <c r="E37" s="1422"/>
      <c r="F37" s="1422"/>
      <c r="G37" s="1423"/>
      <c r="H37" s="986"/>
    </row>
    <row r="38" spans="1:8" ht="17.100000000000001" customHeight="1" thickBot="1" x14ac:dyDescent="0.3">
      <c r="A38" s="1342" t="s">
        <v>178</v>
      </c>
      <c r="B38" s="295" t="s">
        <v>373</v>
      </c>
      <c r="C38" s="981">
        <v>1</v>
      </c>
      <c r="D38" s="1130"/>
      <c r="E38" s="1422"/>
      <c r="F38" s="1422"/>
      <c r="G38" s="1423"/>
      <c r="H38" s="986"/>
    </row>
    <row r="39" spans="1:8" ht="17.100000000000001" customHeight="1" thickBot="1" x14ac:dyDescent="0.3">
      <c r="A39" s="1342" t="s">
        <v>167</v>
      </c>
      <c r="B39" s="295" t="s">
        <v>374</v>
      </c>
      <c r="C39" s="981">
        <v>40</v>
      </c>
      <c r="D39" s="1130"/>
      <c r="E39" s="1422"/>
      <c r="F39" s="1422"/>
      <c r="G39" s="1423"/>
      <c r="H39" s="986"/>
    </row>
    <row r="40" spans="1:8" ht="17.100000000000001" customHeight="1" thickBot="1" x14ac:dyDescent="0.3">
      <c r="A40" s="1342" t="s">
        <v>4</v>
      </c>
      <c r="B40" s="295" t="s">
        <v>375</v>
      </c>
      <c r="C40" s="981">
        <v>40</v>
      </c>
      <c r="D40" s="1130"/>
      <c r="E40" s="1422"/>
      <c r="F40" s="1422"/>
      <c r="G40" s="1423"/>
      <c r="H40" s="986"/>
    </row>
    <row r="41" spans="1:8" ht="17.100000000000001" customHeight="1" thickBot="1" x14ac:dyDescent="0.3">
      <c r="A41" s="1342" t="s">
        <v>21</v>
      </c>
      <c r="B41" s="295" t="s">
        <v>376</v>
      </c>
      <c r="C41" s="981">
        <v>20</v>
      </c>
      <c r="D41" s="1130"/>
      <c r="E41" s="1422"/>
      <c r="F41" s="1422"/>
      <c r="G41" s="1423"/>
      <c r="H41" s="986"/>
    </row>
    <row r="42" spans="1:8" ht="17.100000000000001" customHeight="1" thickBot="1" x14ac:dyDescent="0.3">
      <c r="A42" s="1342" t="s">
        <v>22</v>
      </c>
      <c r="B42" s="295" t="s">
        <v>384</v>
      </c>
      <c r="C42" s="1123" t="s">
        <v>424</v>
      </c>
      <c r="D42" s="1130"/>
      <c r="E42" s="1422"/>
      <c r="F42" s="1422"/>
      <c r="G42" s="1423"/>
      <c r="H42" s="986"/>
    </row>
    <row r="43" spans="1:8" ht="17.100000000000001" customHeight="1" thickBot="1" x14ac:dyDescent="0.3">
      <c r="A43" s="1342" t="s">
        <v>244</v>
      </c>
      <c r="B43" s="295" t="s">
        <v>16</v>
      </c>
      <c r="C43" s="1124">
        <v>0.4</v>
      </c>
      <c r="D43" s="1130"/>
      <c r="E43" s="1422"/>
      <c r="F43" s="1422"/>
      <c r="G43" s="1423"/>
      <c r="H43" s="986"/>
    </row>
    <row r="44" spans="1:8" ht="17.100000000000001" customHeight="1" thickBot="1" x14ac:dyDescent="0.3">
      <c r="A44" s="1342" t="s">
        <v>10</v>
      </c>
      <c r="B44" s="295" t="s">
        <v>383</v>
      </c>
      <c r="C44" s="1125">
        <v>3.6999999999999998E-2</v>
      </c>
      <c r="D44" s="1130"/>
      <c r="E44" s="1422"/>
      <c r="F44" s="1422"/>
      <c r="G44" s="1423"/>
      <c r="H44" s="986"/>
    </row>
    <row r="45" spans="1:8" ht="17.100000000000001" customHeight="1" thickBot="1" x14ac:dyDescent="0.3">
      <c r="A45" s="1342" t="s">
        <v>11</v>
      </c>
      <c r="B45" s="295" t="s">
        <v>377</v>
      </c>
      <c r="C45" s="1126">
        <v>0</v>
      </c>
      <c r="D45" s="1130"/>
      <c r="E45" s="1422" t="s">
        <v>1246</v>
      </c>
      <c r="F45" s="1422"/>
      <c r="G45" s="1423"/>
      <c r="H45" s="986"/>
    </row>
    <row r="46" spans="1:8" ht="17.100000000000001" customHeight="1" thickBot="1" x14ac:dyDescent="0.3">
      <c r="A46" s="1342" t="s">
        <v>162</v>
      </c>
      <c r="B46" s="295" t="s">
        <v>378</v>
      </c>
      <c r="C46" s="1122">
        <v>1</v>
      </c>
      <c r="D46" s="1130"/>
      <c r="E46" s="1422"/>
      <c r="F46" s="1422"/>
      <c r="G46" s="1423"/>
      <c r="H46" s="986"/>
    </row>
    <row r="47" spans="1:8" ht="17.100000000000001" customHeight="1" thickBot="1" x14ac:dyDescent="0.3">
      <c r="A47" s="1342" t="s">
        <v>164</v>
      </c>
      <c r="B47" s="295" t="s">
        <v>379</v>
      </c>
      <c r="C47" s="1122">
        <v>1</v>
      </c>
      <c r="D47" s="1130"/>
      <c r="E47" s="1422"/>
      <c r="F47" s="1422"/>
      <c r="G47" s="1423"/>
      <c r="H47" s="986"/>
    </row>
    <row r="48" spans="1:8" ht="17.100000000000001" customHeight="1" thickBot="1" x14ac:dyDescent="0.3">
      <c r="A48" s="1342" t="s">
        <v>165</v>
      </c>
      <c r="B48" s="295" t="s">
        <v>380</v>
      </c>
      <c r="C48" s="1122">
        <v>1</v>
      </c>
      <c r="D48" s="1130"/>
      <c r="E48" s="1422"/>
      <c r="F48" s="1422"/>
      <c r="G48" s="1423"/>
      <c r="H48" s="986"/>
    </row>
    <row r="49" spans="1:8" ht="17.100000000000001" customHeight="1" thickBot="1" x14ac:dyDescent="0.3">
      <c r="A49" s="1342" t="s">
        <v>15</v>
      </c>
      <c r="B49" s="295" t="s">
        <v>381</v>
      </c>
      <c r="C49" s="1122">
        <v>0.1</v>
      </c>
      <c r="D49" s="1130"/>
      <c r="E49" s="1422"/>
      <c r="F49" s="1422"/>
      <c r="G49" s="1423"/>
      <c r="H49" s="986"/>
    </row>
    <row r="50" spans="1:8" ht="17.100000000000001" customHeight="1" thickBot="1" x14ac:dyDescent="0.3">
      <c r="A50" s="1342" t="s">
        <v>175</v>
      </c>
      <c r="B50" s="295" t="s">
        <v>382</v>
      </c>
      <c r="C50" s="1122">
        <v>0.1</v>
      </c>
      <c r="D50" s="1130"/>
      <c r="E50" s="1422"/>
      <c r="F50" s="1422"/>
      <c r="G50" s="1423"/>
      <c r="H50" s="986"/>
    </row>
    <row r="51" spans="1:8" ht="17.100000000000001" customHeight="1" thickBot="1" x14ac:dyDescent="0.3">
      <c r="A51" s="1342" t="s">
        <v>27</v>
      </c>
      <c r="B51" s="295" t="s">
        <v>953</v>
      </c>
      <c r="C51" s="1121">
        <v>1.9E-2</v>
      </c>
      <c r="D51" s="1130"/>
      <c r="E51" s="1422"/>
      <c r="F51" s="1422"/>
      <c r="G51" s="1423"/>
      <c r="H51" s="986"/>
    </row>
    <row r="52" spans="1:8" ht="17.100000000000001" customHeight="1" thickBot="1" x14ac:dyDescent="0.3">
      <c r="A52" s="1342" t="s">
        <v>171</v>
      </c>
      <c r="B52" s="295" t="s">
        <v>993</v>
      </c>
      <c r="C52" s="1121">
        <f ca="1">0.08*sensitivity_03</f>
        <v>0.08</v>
      </c>
      <c r="D52" s="1130"/>
      <c r="E52" s="1422"/>
      <c r="F52" s="1422"/>
      <c r="G52" s="1423"/>
      <c r="H52" s="986"/>
    </row>
    <row r="53" spans="1:8" ht="17.100000000000001" customHeight="1" thickBot="1" x14ac:dyDescent="0.3">
      <c r="A53" s="1342" t="s">
        <v>181</v>
      </c>
      <c r="B53" s="295" t="s">
        <v>994</v>
      </c>
      <c r="C53" s="1121">
        <v>0.06</v>
      </c>
      <c r="D53" s="1130"/>
      <c r="E53" s="1422"/>
      <c r="F53" s="1422"/>
      <c r="G53" s="1423"/>
      <c r="H53" s="986"/>
    </row>
    <row r="54" spans="1:8" ht="17.100000000000001" customHeight="1" thickBot="1" x14ac:dyDescent="0.3">
      <c r="A54" s="1342" t="s">
        <v>25</v>
      </c>
      <c r="B54" s="295" t="s">
        <v>952</v>
      </c>
      <c r="C54" s="1127">
        <v>0.21</v>
      </c>
      <c r="D54" s="1130"/>
      <c r="E54" s="1422"/>
      <c r="F54" s="1422"/>
      <c r="G54" s="1423"/>
      <c r="H54" s="986"/>
    </row>
    <row r="55" spans="1:8" ht="17.100000000000001" customHeight="1" thickBot="1" x14ac:dyDescent="0.3">
      <c r="A55" s="1342" t="s">
        <v>990</v>
      </c>
      <c r="B55" s="295" t="s">
        <v>18</v>
      </c>
      <c r="C55" s="1128">
        <f>fed_tax_rate+state_tax_rate*(1-fed_tax_rate)</f>
        <v>0.25739999999999996</v>
      </c>
      <c r="D55" s="1130"/>
      <c r="E55" s="1427"/>
      <c r="F55" s="1422"/>
      <c r="G55" s="1423"/>
      <c r="H55" s="986"/>
    </row>
    <row r="56" spans="1:8" ht="17.100000000000001" customHeight="1" thickBot="1" x14ac:dyDescent="0.3">
      <c r="A56" s="1342" t="s">
        <v>186</v>
      </c>
      <c r="B56" s="295" t="s">
        <v>366</v>
      </c>
      <c r="C56" s="1117">
        <v>0.15</v>
      </c>
      <c r="D56" s="1130"/>
      <c r="E56" s="1422"/>
      <c r="F56" s="1422"/>
      <c r="G56" s="1423"/>
      <c r="H56" s="986"/>
    </row>
    <row r="57" spans="1:8" ht="18.75" customHeight="1" thickTop="1" x14ac:dyDescent="0.25">
      <c r="A57" s="1342"/>
      <c r="B57" s="1263" t="s">
        <v>1016</v>
      </c>
      <c r="C57" s="1135"/>
      <c r="D57" s="1136"/>
      <c r="E57" s="1136"/>
      <c r="F57" s="1136"/>
      <c r="G57" s="1137"/>
      <c r="H57" s="986"/>
    </row>
    <row r="58" spans="1:8" ht="21" customHeight="1" thickBot="1" x14ac:dyDescent="0.3">
      <c r="A58" s="1342"/>
      <c r="B58" s="395" t="s">
        <v>272</v>
      </c>
      <c r="C58" s="426"/>
      <c r="D58" s="986"/>
      <c r="E58" s="986"/>
      <c r="F58" s="986"/>
      <c r="G58" s="1138"/>
      <c r="H58" s="986"/>
    </row>
    <row r="59" spans="1:8" ht="23.25" customHeight="1" thickBot="1" x14ac:dyDescent="0.3">
      <c r="A59" s="1342"/>
      <c r="B59" s="924" t="s">
        <v>1187</v>
      </c>
      <c r="C59" s="426"/>
      <c r="D59" s="986"/>
      <c r="E59" s="986"/>
      <c r="F59" s="1426" t="s">
        <v>699</v>
      </c>
      <c r="G59" s="1138"/>
      <c r="H59" s="986"/>
    </row>
    <row r="60" spans="1:8" ht="18.75" customHeight="1" thickBot="1" x14ac:dyDescent="0.3">
      <c r="A60" s="1342"/>
      <c r="B60" s="395" t="s">
        <v>681</v>
      </c>
      <c r="C60" s="986"/>
      <c r="D60" s="986"/>
      <c r="E60" s="986"/>
      <c r="F60" s="1426"/>
      <c r="G60" s="1138"/>
      <c r="H60" s="986"/>
    </row>
    <row r="61" spans="1:8" ht="17.100000000000001" customHeight="1" thickBot="1" x14ac:dyDescent="0.3">
      <c r="A61" s="1342"/>
      <c r="B61" s="924" t="s">
        <v>813</v>
      </c>
      <c r="C61" s="396" t="str">
        <f>IF(OR(TMP_FeedType="Feedstock",TMP_FeedType = "Utility")," Enter usage in","Enter production in")</f>
        <v xml:space="preserve"> Enter usage in</v>
      </c>
      <c r="D61" s="396" t="str">
        <f ca="1">VLOOKUP(TMP_FeedName,INDIRECT(TMP_PriceTable),4,FALSE)</f>
        <v>mmBtu</v>
      </c>
      <c r="E61" s="986"/>
      <c r="F61" s="1426"/>
      <c r="G61" s="1138"/>
      <c r="H61" s="986"/>
    </row>
    <row r="62" spans="1:8" ht="17.100000000000001" customHeight="1" thickBot="1" x14ac:dyDescent="0.3">
      <c r="A62" s="1342"/>
      <c r="B62" s="395" t="s">
        <v>682</v>
      </c>
      <c r="C62" s="396"/>
      <c r="D62" s="396"/>
      <c r="E62" s="986"/>
      <c r="F62" s="1426"/>
      <c r="G62" s="1138"/>
      <c r="H62" s="986"/>
    </row>
    <row r="63" spans="1:8" ht="17.100000000000001" customHeight="1" thickBot="1" x14ac:dyDescent="0.3">
      <c r="A63" s="1342"/>
      <c r="B63" s="924" t="s">
        <v>280</v>
      </c>
      <c r="C63" s="986"/>
      <c r="D63" s="986"/>
      <c r="E63" s="986"/>
      <c r="F63" s="1426"/>
      <c r="G63" s="1138"/>
      <c r="H63" s="986"/>
    </row>
    <row r="64" spans="1:8" ht="17.100000000000001" customHeight="1" thickBot="1" x14ac:dyDescent="0.3">
      <c r="A64" s="1342"/>
      <c r="B64" s="1264"/>
      <c r="C64" s="986"/>
      <c r="D64" s="986"/>
      <c r="E64" s="986"/>
      <c r="F64" s="1426"/>
      <c r="G64" s="1138"/>
      <c r="H64" s="986"/>
    </row>
    <row r="65" spans="1:8" ht="37.5" customHeight="1" thickBot="1" x14ac:dyDescent="0.3">
      <c r="A65" s="1342"/>
      <c r="B65" s="402" t="str">
        <f>SELECTED_FEED</f>
        <v>feedstock</v>
      </c>
      <c r="C65" s="453" t="str">
        <f>TMP_FeedName</f>
        <v>Industrial Natural Gas</v>
      </c>
      <c r="D65" s="454"/>
      <c r="E65" s="1139"/>
      <c r="F65" s="1426"/>
      <c r="G65" s="1138"/>
      <c r="H65" s="986"/>
    </row>
    <row r="66" spans="1:8" ht="19.2" customHeight="1" thickBot="1" x14ac:dyDescent="0.3">
      <c r="A66" s="1342"/>
      <c r="B66" s="403" t="str">
        <f ca="1">"Price Conversion Factor (GJ/"&amp;TMP_Units&amp;")"</f>
        <v>Price Conversion Factor (GJ/mmBtu)</v>
      </c>
      <c r="C66" s="410">
        <f ca="1">VLOOKUP(TMP_FeedName,MASTER_PROPERTY_TABLE,9,FALSE)</f>
        <v>1.0549999999999999</v>
      </c>
      <c r="D66" s="1139"/>
      <c r="E66" s="1139"/>
      <c r="F66" s="1426"/>
      <c r="G66" s="1138"/>
      <c r="H66" s="986"/>
    </row>
    <row r="67" spans="1:8" ht="19.2" customHeight="1" thickBot="1" x14ac:dyDescent="0.3">
      <c r="A67" s="1342"/>
      <c r="B67" s="666" t="str">
        <f ca="1">"Price in Startup Year ($" &amp; ref_year &amp; ")/" &amp; TMP_Units</f>
        <v>Price in Startup Year ($2016)/mmBtu</v>
      </c>
      <c r="C67" s="982">
        <f ca="1">HLOOKUP(startup_year,INDIRECT(TMP_PriceTable),MATCH(TMP_FeedName,INDIRECT(Energy_Feed_List),0),FALSE)*TMP_Conversion</f>
        <v>3.7336748144174337</v>
      </c>
      <c r="D67" s="1140"/>
      <c r="E67" s="398"/>
      <c r="F67" s="1426"/>
      <c r="G67" s="1138"/>
      <c r="H67" s="986"/>
    </row>
    <row r="68" spans="1:8" ht="19.2" customHeight="1" thickBot="1" x14ac:dyDescent="0.3">
      <c r="A68" s="1342"/>
      <c r="B68" s="403" t="str">
        <f ca="1">IF(OR(TMP_FeedType="Feedstock",TMP_FeedType = "Utility"),"Usage ("&amp;TMP_Units&amp;"/kg H2)","Production ("&amp;TMP_Units&amp;"/kg H2)")</f>
        <v>Usage (mmBtu/kg H2)</v>
      </c>
      <c r="C68" s="1230">
        <f>+ProcessFlow!C30</f>
        <v>1</v>
      </c>
      <c r="D68" s="398"/>
      <c r="E68" s="1139"/>
      <c r="F68" s="1426"/>
      <c r="G68" s="1138"/>
      <c r="H68" s="986"/>
    </row>
    <row r="69" spans="1:8" ht="19.2" customHeight="1" thickBot="1" x14ac:dyDescent="0.3">
      <c r="A69" s="1342"/>
      <c r="B69" s="404" t="str">
        <f>IF(OR(TMP_FeedType = "Feedstock",TMP_FeedType = "Utility"), "Cost in Startup Year","Income in Startup Year")</f>
        <v>Cost in Startup Year</v>
      </c>
      <c r="C69" s="415">
        <f ca="1">design_cap*365*cap_factor*TMP_Usage*TMP_StartPrice</f>
        <v>809498036.51384377</v>
      </c>
      <c r="D69" s="1139"/>
      <c r="E69" s="1139"/>
      <c r="F69" s="986"/>
      <c r="G69" s="1138"/>
      <c r="H69" s="986"/>
    </row>
    <row r="70" spans="1:8" ht="19.2" customHeight="1" thickBot="1" x14ac:dyDescent="0.3">
      <c r="A70" s="1342"/>
      <c r="B70" s="403" t="s">
        <v>259</v>
      </c>
      <c r="C70" s="409" t="s">
        <v>696</v>
      </c>
      <c r="D70" s="1139"/>
      <c r="E70" s="1139"/>
      <c r="F70" s="986"/>
      <c r="G70" s="1138"/>
      <c r="H70" s="986"/>
    </row>
    <row r="71" spans="1:8" ht="19.2" customHeight="1" x14ac:dyDescent="0.25">
      <c r="A71" s="1342"/>
      <c r="B71" s="713"/>
      <c r="C71" s="714"/>
      <c r="D71" s="1139"/>
      <c r="E71" s="1139"/>
      <c r="F71" s="986"/>
      <c r="G71" s="1138"/>
      <c r="H71" s="986"/>
    </row>
    <row r="72" spans="1:8" ht="27" customHeight="1" thickBot="1" x14ac:dyDescent="0.3">
      <c r="A72" s="1343"/>
      <c r="B72" s="1265" t="s">
        <v>700</v>
      </c>
      <c r="C72" s="1141"/>
      <c r="D72" s="1141"/>
      <c r="E72" s="1141"/>
      <c r="F72" s="1141"/>
      <c r="G72" s="1142"/>
      <c r="H72" s="986"/>
    </row>
    <row r="73" spans="1:8" ht="28.2" customHeight="1" x14ac:dyDescent="0.25">
      <c r="A73" s="1343" t="s">
        <v>12</v>
      </c>
      <c r="B73" s="411"/>
      <c r="C73" s="412"/>
      <c r="D73" s="412"/>
      <c r="E73" s="412"/>
      <c r="F73" s="413"/>
      <c r="G73" s="414"/>
      <c r="H73" s="986"/>
    </row>
    <row r="74" spans="1:8" ht="28.2" customHeight="1" x14ac:dyDescent="0.25">
      <c r="A74" s="1343"/>
      <c r="B74" s="411" t="s">
        <v>813</v>
      </c>
      <c r="C74" s="412" t="s">
        <v>1243</v>
      </c>
      <c r="D74" s="412" t="s">
        <v>1244</v>
      </c>
      <c r="E74" s="412" t="s">
        <v>1245</v>
      </c>
      <c r="F74" s="413" t="s">
        <v>814</v>
      </c>
      <c r="G74" s="414" t="s">
        <v>259</v>
      </c>
      <c r="H74" s="986"/>
    </row>
    <row r="75" spans="1:8" ht="28.2" customHeight="1" x14ac:dyDescent="0.25">
      <c r="A75" s="1343"/>
      <c r="B75" s="411" t="s">
        <v>683</v>
      </c>
      <c r="C75" s="412">
        <v>3.5999999999999995E-3</v>
      </c>
      <c r="D75" s="412">
        <v>6.9980611257164108E-2</v>
      </c>
      <c r="E75" s="1334">
        <f>+ProcessFlow!V24</f>
        <v>3.4949090909090907</v>
      </c>
      <c r="F75" s="413">
        <f ca="1">+output_kgyear*feedstockIndustrial_Electricity_Price*feedstockIndustrial_Electricity_Usage</f>
        <v>53026495.343848914</v>
      </c>
      <c r="G75" s="414" t="s">
        <v>696</v>
      </c>
      <c r="H75" s="986"/>
    </row>
    <row r="76" spans="1:8" ht="28.2" customHeight="1" x14ac:dyDescent="0.25">
      <c r="A76" s="1343"/>
      <c r="B76" s="411" t="s">
        <v>813</v>
      </c>
      <c r="C76" s="412" t="s">
        <v>1365</v>
      </c>
      <c r="D76" s="412" t="s">
        <v>1366</v>
      </c>
      <c r="E76" s="412" t="s">
        <v>1367</v>
      </c>
      <c r="F76" s="413" t="s">
        <v>814</v>
      </c>
      <c r="G76" s="414" t="s">
        <v>259</v>
      </c>
      <c r="H76" s="986"/>
    </row>
    <row r="77" spans="1:8" ht="28.2" customHeight="1" x14ac:dyDescent="0.25">
      <c r="A77" s="1343"/>
      <c r="B77" s="411" t="s">
        <v>280</v>
      </c>
      <c r="C77" s="412">
        <v>1.0549999999999999</v>
      </c>
      <c r="D77" s="412">
        <v>3.7336748144174337</v>
      </c>
      <c r="E77" s="1333">
        <f>+ProcessFlow!V20</f>
        <v>0.15768017919270516</v>
      </c>
      <c r="F77" s="413">
        <f ca="1">+output_kgyear*feedstockIndustrial_Natural_Gas_Price*feedstockIndustrial_Natural_Gas_Usage</f>
        <v>127641795.45364587</v>
      </c>
      <c r="G77" s="414" t="s">
        <v>696</v>
      </c>
      <c r="H77" s="986"/>
    </row>
    <row r="78" spans="1:8" ht="28.2" customHeight="1" x14ac:dyDescent="0.25">
      <c r="A78" s="1343" t="s">
        <v>12</v>
      </c>
      <c r="B78" s="411"/>
      <c r="C78" s="412"/>
      <c r="D78" s="412"/>
      <c r="E78" s="412"/>
      <c r="F78" s="413"/>
      <c r="G78" s="414"/>
      <c r="H78" s="986"/>
    </row>
    <row r="79" spans="1:8" ht="28.2" customHeight="1" x14ac:dyDescent="0.25">
      <c r="A79" s="1342" t="s">
        <v>270</v>
      </c>
      <c r="B79" s="411"/>
      <c r="C79" s="412"/>
      <c r="D79" s="412"/>
      <c r="E79" s="412"/>
      <c r="F79" s="413"/>
      <c r="G79" s="414"/>
      <c r="H79" s="986"/>
    </row>
    <row r="80" spans="1:8" ht="28.2" customHeight="1" x14ac:dyDescent="0.25">
      <c r="A80" s="1344" t="s">
        <v>271</v>
      </c>
      <c r="B80" s="412"/>
      <c r="C80" s="412"/>
      <c r="D80" s="412"/>
      <c r="E80" s="412"/>
      <c r="F80" s="413"/>
      <c r="G80" s="414"/>
      <c r="H80" s="986"/>
    </row>
    <row r="81" spans="1:8" ht="17.100000000000001" customHeight="1" thickBot="1" x14ac:dyDescent="0.3">
      <c r="A81" s="1344"/>
      <c r="B81" s="1143"/>
      <c r="C81" s="1143"/>
      <c r="D81" s="1144"/>
      <c r="E81" s="1144"/>
      <c r="F81" s="1145" t="s">
        <v>55</v>
      </c>
      <c r="G81" s="1146"/>
      <c r="H81" s="986"/>
    </row>
    <row r="82" spans="1:8" ht="17.100000000000001" customHeight="1" thickBot="1" x14ac:dyDescent="0.3">
      <c r="A82" s="1342" t="s">
        <v>248</v>
      </c>
      <c r="B82" s="298" t="s">
        <v>274</v>
      </c>
      <c r="C82" s="1145"/>
      <c r="D82" s="1144"/>
      <c r="E82" s="1144"/>
      <c r="F82" s="1147">
        <f ca="1">SUM(Dynamic_Feed_Total)</f>
        <v>180668290.79749477</v>
      </c>
      <c r="G82" s="1146"/>
      <c r="H82" s="986"/>
    </row>
    <row r="83" spans="1:8" ht="17.100000000000001" customHeight="1" thickBot="1" x14ac:dyDescent="0.3">
      <c r="A83" s="1342" t="s">
        <v>249</v>
      </c>
      <c r="B83" s="298" t="s">
        <v>275</v>
      </c>
      <c r="C83" s="1145"/>
      <c r="D83" s="1144"/>
      <c r="E83" s="1144"/>
      <c r="F83" s="1147">
        <f>SUM(Dynamic_Utilities_Total)</f>
        <v>0</v>
      </c>
      <c r="G83" s="1146"/>
      <c r="H83" s="986"/>
    </row>
    <row r="84" spans="1:8" ht="17.100000000000001" customHeight="1" thickBot="1" x14ac:dyDescent="0.3">
      <c r="A84" s="1342" t="s">
        <v>253</v>
      </c>
      <c r="B84" s="296" t="s">
        <v>273</v>
      </c>
      <c r="C84" s="1145"/>
      <c r="D84" s="1144"/>
      <c r="E84" s="1144"/>
      <c r="F84" s="1147">
        <f>SUM(Dynamic_Byproduct_Total)</f>
        <v>0</v>
      </c>
      <c r="G84" s="1146"/>
      <c r="H84" s="986"/>
    </row>
    <row r="85" spans="1:8" ht="38.25" customHeight="1" x14ac:dyDescent="0.25">
      <c r="A85" s="1342"/>
      <c r="B85" s="296"/>
      <c r="C85" s="1143"/>
      <c r="D85" s="1148" t="s">
        <v>314</v>
      </c>
      <c r="E85" s="1422"/>
      <c r="F85" s="1422"/>
      <c r="G85" s="1423"/>
      <c r="H85" s="986"/>
    </row>
    <row r="86" spans="1:8" ht="28.5" customHeight="1" thickBot="1" x14ac:dyDescent="0.3">
      <c r="A86" s="1342"/>
      <c r="B86" s="296"/>
      <c r="C86" s="1143"/>
      <c r="D86" s="986"/>
      <c r="E86" s="1428"/>
      <c r="F86" s="1428"/>
      <c r="G86" s="1429"/>
      <c r="H86" s="986"/>
    </row>
    <row r="87" spans="1:8" ht="17.100000000000001" customHeight="1" thickTop="1" thickBot="1" x14ac:dyDescent="0.3">
      <c r="A87" s="1342"/>
      <c r="B87" s="1262" t="s">
        <v>80</v>
      </c>
      <c r="C87" s="1136"/>
      <c r="D87" s="1136"/>
      <c r="E87" s="1424" t="s">
        <v>427</v>
      </c>
      <c r="F87" s="1424"/>
      <c r="G87" s="1425"/>
      <c r="H87" s="986"/>
    </row>
    <row r="88" spans="1:8" ht="20.100000000000001" customHeight="1" thickBot="1" x14ac:dyDescent="0.3">
      <c r="A88" s="1342" t="s">
        <v>243</v>
      </c>
      <c r="B88" s="297" t="s">
        <v>333</v>
      </c>
      <c r="C88" s="1149">
        <f ca="1">Det_scaled_cap</f>
        <v>474657350.68660557</v>
      </c>
      <c r="D88" s="1130"/>
      <c r="E88" s="1445" t="s">
        <v>517</v>
      </c>
      <c r="F88" s="1445"/>
      <c r="G88" s="1446"/>
      <c r="H88" s="986"/>
    </row>
    <row r="89" spans="1:8" ht="21.75" customHeight="1" x14ac:dyDescent="0.25">
      <c r="A89" s="1342"/>
      <c r="B89" s="297"/>
      <c r="C89" s="281"/>
      <c r="D89" s="281"/>
      <c r="E89" s="281"/>
      <c r="F89" s="281"/>
      <c r="G89" s="1150"/>
      <c r="H89" s="986"/>
    </row>
    <row r="90" spans="1:8" ht="45.75" customHeight="1" thickBot="1" x14ac:dyDescent="0.3">
      <c r="A90" s="1342"/>
      <c r="B90" s="297" t="s">
        <v>334</v>
      </c>
      <c r="C90" s="703" t="str">
        <f>"Enter values in basis year (" &amp; BasisYear &amp; ") dollars"</f>
        <v>Enter values in basis year (2018) dollars</v>
      </c>
      <c r="D90" s="703" t="s">
        <v>823</v>
      </c>
      <c r="E90" s="703" t="str">
        <f xml:space="preserve"> "Reference Year ("&amp; ref_year &amp; ") Dollars"</f>
        <v>Reference Year (2016) Dollars</v>
      </c>
      <c r="F90" s="281"/>
      <c r="G90" s="1150"/>
      <c r="H90" s="986"/>
    </row>
    <row r="91" spans="1:8" ht="17.100000000000001" customHeight="1" x14ac:dyDescent="0.25">
      <c r="A91" s="1342" t="s">
        <v>176</v>
      </c>
      <c r="B91" s="295" t="s">
        <v>697</v>
      </c>
      <c r="C91" s="1338">
        <f ca="1">0.0614512719060784*(direct_cap)/(CEPCIinflator*CPIinflator)</f>
        <v>30431726.239785891</v>
      </c>
      <c r="D91" s="1151">
        <f t="shared" ref="D91:D97" si="0">CEPCIinflator*CPIinflator</f>
        <v>0.9584831859169165</v>
      </c>
      <c r="E91" s="1152">
        <f ca="1">C91*D91</f>
        <v>29168297.919261407</v>
      </c>
      <c r="F91" s="1451" t="s">
        <v>1299</v>
      </c>
      <c r="G91" s="1452"/>
      <c r="H91" s="986"/>
    </row>
    <row r="92" spans="1:8" ht="29.25" customHeight="1" x14ac:dyDescent="0.25">
      <c r="A92" s="1342" t="s">
        <v>24</v>
      </c>
      <c r="B92" s="295" t="s">
        <v>335</v>
      </c>
      <c r="C92" s="1339">
        <f ca="1">0.106142451010464*(direct_cap)/(CEPCIinflator*CPIinflator)</f>
        <v>52563566.406032741</v>
      </c>
      <c r="D92" s="1153">
        <f t="shared" si="0"/>
        <v>0.9584831859169165</v>
      </c>
      <c r="E92" s="1154">
        <f t="shared" ref="E92:E97" ca="1" si="1">C92*D92</f>
        <v>50381294.592009664</v>
      </c>
      <c r="F92" s="1451"/>
      <c r="G92" s="1452"/>
      <c r="H92" s="986"/>
    </row>
    <row r="93" spans="1:8" ht="30.6" customHeight="1" x14ac:dyDescent="0.25">
      <c r="A93" s="1342" t="s">
        <v>168</v>
      </c>
      <c r="B93" s="295" t="s">
        <v>1301</v>
      </c>
      <c r="C93" s="1339">
        <f ca="1">0.00101283125449033*(direct_cap)/(CEPCIinflator*CPIinflator)</f>
        <v>501571.44852684304</v>
      </c>
      <c r="D93" s="1153">
        <f t="shared" si="0"/>
        <v>0.9584831859169165</v>
      </c>
      <c r="E93" s="1154">
        <f t="shared" ca="1" si="1"/>
        <v>480747.79994897119</v>
      </c>
      <c r="F93" s="1240"/>
      <c r="G93" s="1176"/>
      <c r="H93" s="986"/>
    </row>
    <row r="94" spans="1:8" ht="30.6" customHeight="1" x14ac:dyDescent="0.25">
      <c r="A94" s="1342" t="s">
        <v>170</v>
      </c>
      <c r="B94" s="295" t="s">
        <v>1300</v>
      </c>
      <c r="C94" s="1339">
        <f ca="1">0.142317201456665*(direct_cap)/(CEPCIinflator*CPIinflator)</f>
        <v>70477924.697166353</v>
      </c>
      <c r="D94" s="1153">
        <f t="shared" si="0"/>
        <v>0.9584831859169165</v>
      </c>
      <c r="E94" s="1154">
        <f t="shared" ca="1" si="1"/>
        <v>67551905.800552532</v>
      </c>
      <c r="F94" s="1240"/>
      <c r="G94" s="1176"/>
      <c r="H94" s="986"/>
    </row>
    <row r="95" spans="1:8" ht="31.5" customHeight="1" x14ac:dyDescent="0.25">
      <c r="A95" s="1342" t="s">
        <v>156</v>
      </c>
      <c r="B95" s="295" t="s">
        <v>345</v>
      </c>
      <c r="C95" s="1339">
        <f>+ProcessFlow!C126*1000</f>
        <v>105157000</v>
      </c>
      <c r="D95" s="1153">
        <f t="shared" si="0"/>
        <v>0.9584831859169165</v>
      </c>
      <c r="E95" s="1154">
        <f t="shared" si="1"/>
        <v>100791216.38146518</v>
      </c>
      <c r="F95" s="1247"/>
      <c r="G95" s="1245"/>
      <c r="H95" s="986"/>
    </row>
    <row r="96" spans="1:8" ht="17.100000000000001" customHeight="1" x14ac:dyDescent="0.25">
      <c r="A96" s="1342" t="s">
        <v>26</v>
      </c>
      <c r="B96" s="295" t="s">
        <v>344</v>
      </c>
      <c r="C96" s="1339"/>
      <c r="D96" s="1153">
        <f t="shared" si="0"/>
        <v>0.9584831859169165</v>
      </c>
      <c r="E96" s="1154">
        <f t="shared" si="1"/>
        <v>0</v>
      </c>
      <c r="F96" s="1247"/>
      <c r="G96" s="1245"/>
      <c r="H96" s="986"/>
    </row>
    <row r="97" spans="1:8" ht="21.75" customHeight="1" thickBot="1" x14ac:dyDescent="0.3">
      <c r="A97" s="1342" t="s">
        <v>166</v>
      </c>
      <c r="B97" s="295" t="s">
        <v>698</v>
      </c>
      <c r="C97" s="1340">
        <f ca="1">0.106142451010464*(direct_cap)/(CEPCIinflator*CPIinflator)</f>
        <v>52563566.406032741</v>
      </c>
      <c r="D97" s="1155">
        <f t="shared" si="0"/>
        <v>0.9584831859169165</v>
      </c>
      <c r="E97" s="1156">
        <f t="shared" ca="1" si="1"/>
        <v>50381294.592009664</v>
      </c>
      <c r="F97" s="1247"/>
      <c r="G97" s="1245"/>
      <c r="H97" s="986"/>
    </row>
    <row r="98" spans="1:8" ht="20.100000000000001" customHeight="1" thickBot="1" x14ac:dyDescent="0.3">
      <c r="A98" s="1342" t="s">
        <v>983</v>
      </c>
      <c r="B98" s="297" t="s">
        <v>954</v>
      </c>
      <c r="C98" s="281"/>
      <c r="D98" s="986"/>
      <c r="E98" s="1157">
        <f ca="1">direct_cap+SUM($E$91:$E$97)</f>
        <v>773412107.77185297</v>
      </c>
      <c r="F98" s="1158"/>
      <c r="G98" s="1159"/>
      <c r="H98" s="986"/>
    </row>
    <row r="99" spans="1:8" x14ac:dyDescent="0.25">
      <c r="A99" s="1342"/>
      <c r="B99" s="295"/>
      <c r="C99" s="1143"/>
      <c r="D99" s="1443" t="s">
        <v>823</v>
      </c>
      <c r="E99" s="281"/>
      <c r="F99" s="1112"/>
      <c r="G99" s="1160"/>
      <c r="H99" s="986"/>
    </row>
    <row r="100" spans="1:8" ht="30.75" customHeight="1" thickBot="1" x14ac:dyDescent="0.3">
      <c r="A100" s="1342"/>
      <c r="B100" s="297" t="s">
        <v>346</v>
      </c>
      <c r="C100" s="703" t="str">
        <f>"Enter values in basis year (" &amp; BasisYear &amp; ") dollars"</f>
        <v>Enter values in basis year (2018) dollars</v>
      </c>
      <c r="D100" s="1444"/>
      <c r="E100" s="703" t="str">
        <f xml:space="preserve"> "Reference Year ("&amp; ref_year &amp; ") Dollars"</f>
        <v>Reference Year (2016) Dollars</v>
      </c>
      <c r="F100" s="1112"/>
      <c r="G100" s="1160"/>
      <c r="H100" s="986"/>
    </row>
    <row r="101" spans="1:8" ht="27.75" customHeight="1" thickBot="1" x14ac:dyDescent="0.3">
      <c r="A101" s="1342" t="s">
        <v>1066</v>
      </c>
      <c r="B101" s="295" t="s">
        <v>347</v>
      </c>
      <c r="C101" s="1115">
        <v>50000</v>
      </c>
      <c r="D101" s="1151">
        <f>CPIinflator</f>
        <v>0.9584831859169165</v>
      </c>
      <c r="E101" s="1161">
        <f>C101*D101</f>
        <v>47924.159295845828</v>
      </c>
      <c r="F101" s="1112"/>
      <c r="G101" s="1160"/>
      <c r="H101" s="986"/>
    </row>
    <row r="102" spans="1:8" ht="25.5" customHeight="1" thickBot="1" x14ac:dyDescent="0.3">
      <c r="A102" s="1342" t="s">
        <v>1067</v>
      </c>
      <c r="B102" s="295" t="s">
        <v>348</v>
      </c>
      <c r="C102" s="1335">
        <v>100</v>
      </c>
      <c r="D102" s="1162">
        <f ca="1">Scale_Factor *1</f>
        <v>1</v>
      </c>
      <c r="E102" s="1163">
        <f ca="1">C102*D102</f>
        <v>100</v>
      </c>
      <c r="F102" s="1451" t="s">
        <v>1291</v>
      </c>
      <c r="G102" s="1452"/>
      <c r="H102" s="986"/>
    </row>
    <row r="103" spans="1:8" ht="27" customHeight="1" thickBot="1" x14ac:dyDescent="0.3">
      <c r="A103" s="1342" t="s">
        <v>984</v>
      </c>
      <c r="B103" s="295" t="s">
        <v>955</v>
      </c>
      <c r="C103" s="1164"/>
      <c r="D103" s="1164"/>
      <c r="E103" s="1157">
        <f ca="1">acre_cost*acres</f>
        <v>4792415.9295845823</v>
      </c>
      <c r="F103" s="1112"/>
      <c r="G103" s="1160"/>
      <c r="H103" s="986"/>
    </row>
    <row r="104" spans="1:8" ht="17.100000000000001" customHeight="1" thickBot="1" x14ac:dyDescent="0.3">
      <c r="A104" s="1342"/>
      <c r="B104" s="295" t="s">
        <v>985</v>
      </c>
      <c r="C104" s="1115"/>
      <c r="D104" s="1151">
        <f>CPIinflator</f>
        <v>0.9584831859169165</v>
      </c>
      <c r="E104" s="1157">
        <f>C104*D104</f>
        <v>0</v>
      </c>
      <c r="F104" s="1158"/>
      <c r="G104" s="1159"/>
      <c r="H104" s="986"/>
    </row>
    <row r="105" spans="1:8" ht="20.100000000000001" customHeight="1" thickBot="1" x14ac:dyDescent="0.3">
      <c r="A105" s="1342" t="s">
        <v>991</v>
      </c>
      <c r="B105" s="297" t="s">
        <v>956</v>
      </c>
      <c r="C105" s="1164"/>
      <c r="D105" s="1164"/>
      <c r="E105" s="1194">
        <f ca="1">land_cost+$E$104</f>
        <v>4792415.9295845823</v>
      </c>
      <c r="F105" s="1112"/>
      <c r="G105" s="1160"/>
      <c r="H105" s="986"/>
    </row>
    <row r="106" spans="1:8" ht="13.8" thickBot="1" x14ac:dyDescent="0.3">
      <c r="A106" s="1342"/>
      <c r="B106" s="295"/>
      <c r="C106" s="1143"/>
      <c r="D106" s="1164"/>
      <c r="E106" s="1112"/>
      <c r="F106" s="1112"/>
      <c r="G106" s="1160"/>
      <c r="H106" s="986"/>
    </row>
    <row r="107" spans="1:8" ht="20.100000000000001" customHeight="1" thickBot="1" x14ac:dyDescent="0.3">
      <c r="A107" s="1342" t="s">
        <v>992</v>
      </c>
      <c r="B107" s="297" t="s">
        <v>970</v>
      </c>
      <c r="C107" s="1149">
        <f ca="1">(depr_cap+non_dep_cap)*sensitivity_06</f>
        <v>778204523.70143759</v>
      </c>
      <c r="D107" s="1164"/>
      <c r="E107" s="1166"/>
      <c r="F107" s="1112"/>
      <c r="G107" s="1160"/>
      <c r="H107" s="986"/>
    </row>
    <row r="108" spans="1:8" ht="13.8" thickBot="1" x14ac:dyDescent="0.3">
      <c r="A108" s="1342"/>
      <c r="B108" s="295"/>
      <c r="C108" s="1143"/>
      <c r="D108" s="1164"/>
      <c r="E108" s="1112"/>
      <c r="F108" s="1112"/>
      <c r="G108" s="1160"/>
      <c r="H108" s="986"/>
    </row>
    <row r="109" spans="1:8" ht="44.25" customHeight="1" thickTop="1" thickBot="1" x14ac:dyDescent="0.3">
      <c r="A109" s="1342"/>
      <c r="B109" s="1262" t="s">
        <v>349</v>
      </c>
      <c r="C109" s="778" t="str">
        <f>"Enter values in basis year (" &amp; BasisYear &amp; ") dollars"</f>
        <v>Enter values in basis year (2018) dollars</v>
      </c>
      <c r="D109" s="778" t="s">
        <v>823</v>
      </c>
      <c r="E109" s="778" t="str">
        <f xml:space="preserve"> "Reference Year ("&amp; ref_year &amp; ") Dollars"</f>
        <v>Reference Year (2016) Dollars</v>
      </c>
      <c r="F109" s="1136"/>
      <c r="G109" s="1137"/>
      <c r="H109" s="986"/>
    </row>
    <row r="110" spans="1:8" s="32" customFormat="1" ht="29.25" customHeight="1" thickBot="1" x14ac:dyDescent="0.3">
      <c r="A110" s="1342" t="s">
        <v>995</v>
      </c>
      <c r="B110" s="295" t="s">
        <v>350</v>
      </c>
      <c r="C110" s="1266">
        <v>22</v>
      </c>
      <c r="D110" s="1167">
        <f ca="1">Scale_Ratio^0.25</f>
        <v>1</v>
      </c>
      <c r="E110" s="1168">
        <f ca="1">C110*D110</f>
        <v>22</v>
      </c>
      <c r="F110" s="1112"/>
      <c r="G110" s="1160"/>
      <c r="H110" s="986"/>
    </row>
    <row r="111" spans="1:8" s="32" customFormat="1" ht="17.25" customHeight="1" thickBot="1" x14ac:dyDescent="0.3">
      <c r="A111" s="1342" t="s">
        <v>996</v>
      </c>
      <c r="B111" s="295" t="s">
        <v>351</v>
      </c>
      <c r="C111" s="1115">
        <v>50</v>
      </c>
      <c r="D111" s="1151">
        <f>VLOOKUP(ref_year,Tbl_labor_indexes,2,FALSE)/VLOOKUP(BasisYear,Tbl_labor_indexes,2,FALSE)</f>
        <v>0.89209621993127108</v>
      </c>
      <c r="E111" s="1169">
        <f>C111*D111</f>
        <v>44.604810996563558</v>
      </c>
      <c r="F111" s="1112" t="s">
        <v>1294</v>
      </c>
      <c r="G111" s="1160"/>
      <c r="H111" s="986"/>
    </row>
    <row r="112" spans="1:8" s="32" customFormat="1" ht="17.100000000000001" customHeight="1" thickBot="1" x14ac:dyDescent="0.3">
      <c r="A112" s="1342" t="s">
        <v>986</v>
      </c>
      <c r="B112" s="295" t="s">
        <v>971</v>
      </c>
      <c r="C112" s="1164"/>
      <c r="D112" s="1164"/>
      <c r="E112" s="1170">
        <f ca="1">FTEs*2080*FTE_cost</f>
        <v>2041116.1512027483</v>
      </c>
      <c r="F112" s="1112"/>
      <c r="G112" s="1160"/>
      <c r="H112" s="986"/>
    </row>
    <row r="113" spans="1:8" s="32" customFormat="1" ht="17.100000000000001" customHeight="1" thickBot="1" x14ac:dyDescent="0.3">
      <c r="A113" s="1342" t="s">
        <v>157</v>
      </c>
      <c r="B113" s="295" t="s">
        <v>352</v>
      </c>
      <c r="C113" s="1117">
        <v>0.2</v>
      </c>
      <c r="D113" s="1164"/>
      <c r="E113" s="986"/>
      <c r="F113" s="1112" t="s">
        <v>1294</v>
      </c>
      <c r="G113" s="1160"/>
      <c r="H113" s="986"/>
    </row>
    <row r="114" spans="1:8" s="32" customFormat="1" ht="17.100000000000001" customHeight="1" thickBot="1" x14ac:dyDescent="0.3">
      <c r="A114" s="1342" t="s">
        <v>989</v>
      </c>
      <c r="B114" s="295" t="s">
        <v>964</v>
      </c>
      <c r="C114" s="1164"/>
      <c r="D114" s="1164"/>
      <c r="E114" s="1171">
        <f ca="1">labor_cost*overhead_rate</f>
        <v>408223.23024054966</v>
      </c>
      <c r="F114" s="1112"/>
      <c r="G114" s="1160"/>
      <c r="H114" s="986"/>
    </row>
    <row r="115" spans="1:8" s="32" customFormat="1" ht="17.100000000000001" customHeight="1" thickBot="1" x14ac:dyDescent="0.3">
      <c r="A115" s="1342" t="s">
        <v>28</v>
      </c>
      <c r="B115" s="295" t="s">
        <v>353</v>
      </c>
      <c r="C115" s="1115">
        <v>0</v>
      </c>
      <c r="D115" s="1151">
        <f ca="1">Scale_Factor *CEPCIinflator*CPIinflator</f>
        <v>0.9584831859169165</v>
      </c>
      <c r="E115" s="1165">
        <f ca="1">C115*D115</f>
        <v>0</v>
      </c>
      <c r="F115" s="1112"/>
      <c r="G115" s="1160"/>
      <c r="H115" s="986"/>
    </row>
    <row r="116" spans="1:8" s="32" customFormat="1" ht="26.25" customHeight="1" thickBot="1" x14ac:dyDescent="0.3">
      <c r="A116" s="1342" t="s">
        <v>183</v>
      </c>
      <c r="B116" s="295" t="s">
        <v>1069</v>
      </c>
      <c r="C116" s="1116">
        <v>0.02</v>
      </c>
      <c r="D116" s="1172"/>
      <c r="E116" s="986"/>
      <c r="F116" s="1112"/>
      <c r="G116" s="1160"/>
      <c r="H116" s="986"/>
    </row>
    <row r="117" spans="1:8" s="32" customFormat="1" ht="17.100000000000001" customHeight="1" thickBot="1" x14ac:dyDescent="0.3">
      <c r="A117" s="1342" t="s">
        <v>987</v>
      </c>
      <c r="B117" s="295" t="s">
        <v>969</v>
      </c>
      <c r="C117" s="1164"/>
      <c r="D117" s="1172"/>
      <c r="E117" s="1173">
        <f ca="1">tax_ins_rate*total_cap</f>
        <v>15564090.474028751</v>
      </c>
      <c r="F117" s="1112"/>
      <c r="G117" s="1160"/>
      <c r="H117" s="986"/>
    </row>
    <row r="118" spans="1:8" s="32" customFormat="1" ht="17.100000000000001" customHeight="1" thickBot="1" x14ac:dyDescent="0.3">
      <c r="A118" s="1342" t="s">
        <v>172</v>
      </c>
      <c r="B118" s="295" t="s">
        <v>354</v>
      </c>
      <c r="C118" s="1115">
        <v>0</v>
      </c>
      <c r="D118" s="1151">
        <f ca="1">Scale_Factor *CPIinflator</f>
        <v>0.9584831859169165</v>
      </c>
      <c r="E118" s="1161">
        <f ca="1">C118*D118</f>
        <v>0</v>
      </c>
      <c r="F118" s="1112"/>
      <c r="G118" s="1160"/>
      <c r="H118" s="986"/>
    </row>
    <row r="119" spans="1:8" s="32" customFormat="1" ht="27" customHeight="1" thickBot="1" x14ac:dyDescent="0.3">
      <c r="A119" s="1342" t="s">
        <v>997</v>
      </c>
      <c r="B119" s="295" t="s">
        <v>355</v>
      </c>
      <c r="C119" s="1115">
        <v>8215323</v>
      </c>
      <c r="D119" s="1151">
        <f ca="1">Scale_Factor *CEPCIinflator*CPIinflator</f>
        <v>0.9584831859169165</v>
      </c>
      <c r="E119" s="1174">
        <f ca="1">C119*D119</f>
        <v>7874248.96237652</v>
      </c>
      <c r="F119" s="1112"/>
      <c r="G119" s="1160"/>
      <c r="H119" s="1175"/>
    </row>
    <row r="120" spans="1:8" s="32" customFormat="1" ht="17.100000000000001" customHeight="1" thickBot="1" x14ac:dyDescent="0.3">
      <c r="A120" s="1342" t="s">
        <v>169</v>
      </c>
      <c r="B120" s="295" t="s">
        <v>356</v>
      </c>
      <c r="C120" s="1115">
        <v>5476882</v>
      </c>
      <c r="D120" s="1151">
        <f ca="1">Scale_Factor *CEPCIinflator*CPIinflator</f>
        <v>0.9584831859169165</v>
      </c>
      <c r="E120" s="1161">
        <f ca="1">C120*D120</f>
        <v>5249499.308251013</v>
      </c>
      <c r="F120" s="1112" t="s">
        <v>1302</v>
      </c>
      <c r="G120" s="1160"/>
      <c r="H120" s="986"/>
    </row>
    <row r="121" spans="1:8" s="32" customFormat="1" ht="17.100000000000001" customHeight="1" thickBot="1" x14ac:dyDescent="0.3">
      <c r="A121" s="1342" t="s">
        <v>154</v>
      </c>
      <c r="B121" s="295" t="s">
        <v>357</v>
      </c>
      <c r="C121" s="1115">
        <v>2063377</v>
      </c>
      <c r="D121" s="1151">
        <f ca="1">Scale_Ratio * CEPCIinflator*CPIinflator</f>
        <v>0.9584831859169165</v>
      </c>
      <c r="E121" s="1174">
        <f ca="1">C121*D121</f>
        <v>1977712.1607076894</v>
      </c>
      <c r="F121" s="1112" t="s">
        <v>1295</v>
      </c>
      <c r="G121" s="1160"/>
      <c r="H121" s="986"/>
    </row>
    <row r="122" spans="1:8" s="32" customFormat="1" ht="17.100000000000001" customHeight="1" thickBot="1" x14ac:dyDescent="0.3">
      <c r="A122" s="1342" t="s">
        <v>155</v>
      </c>
      <c r="B122" s="295" t="s">
        <v>358</v>
      </c>
      <c r="C122" s="1336">
        <v>0</v>
      </c>
      <c r="D122" s="1151">
        <f ca="1">Scale_Factor *CEPCIinflator*CPIinflator</f>
        <v>0.9584831859169165</v>
      </c>
      <c r="E122" s="1165">
        <f ca="1">C122*D122</f>
        <v>0</v>
      </c>
      <c r="F122" s="1112"/>
      <c r="G122" s="1160"/>
      <c r="H122" s="986"/>
    </row>
    <row r="123" spans="1:8" s="32" customFormat="1" ht="24" customHeight="1" thickBot="1" x14ac:dyDescent="0.3">
      <c r="A123" s="1342" t="s">
        <v>988</v>
      </c>
      <c r="B123" s="297" t="s">
        <v>972</v>
      </c>
      <c r="C123" s="1164"/>
      <c r="D123" s="1164"/>
      <c r="E123" s="1157">
        <f ca="1">(labor_cost+overhead_GA+tax_insurance+licensing+SUM(E118:E122))*sensitivity_07</f>
        <v>33114890.286807273</v>
      </c>
      <c r="F123" s="1166"/>
      <c r="G123" s="1176"/>
      <c r="H123" s="986"/>
    </row>
    <row r="124" spans="1:8" s="32" customFormat="1" ht="13.8" thickBot="1" x14ac:dyDescent="0.3">
      <c r="A124" s="1342"/>
      <c r="B124" s="295"/>
      <c r="C124" s="1143"/>
      <c r="D124" s="1177"/>
      <c r="E124" s="1143"/>
      <c r="F124" s="1143"/>
      <c r="G124" s="1178"/>
      <c r="H124" s="986"/>
    </row>
    <row r="125" spans="1:8" s="32" customFormat="1" ht="26.25" customHeight="1" thickTop="1" thickBot="1" x14ac:dyDescent="0.3">
      <c r="A125" s="1342"/>
      <c r="B125" s="1267" t="s">
        <v>927</v>
      </c>
      <c r="C125" s="1179"/>
      <c r="D125" s="1180"/>
      <c r="E125" s="1181"/>
      <c r="F125" s="1180"/>
      <c r="G125" s="1182"/>
      <c r="H125" s="986"/>
    </row>
    <row r="126" spans="1:8" customFormat="1" ht="15" customHeight="1" thickTop="1" x14ac:dyDescent="0.25">
      <c r="A126" s="1342"/>
      <c r="B126" s="1263" t="s">
        <v>1017</v>
      </c>
      <c r="C126" s="1183"/>
      <c r="D126" s="1183"/>
      <c r="E126" s="1183"/>
      <c r="F126" s="1183"/>
      <c r="G126" s="1184"/>
      <c r="H126" s="281"/>
    </row>
    <row r="127" spans="1:8" customFormat="1" ht="15" customHeight="1" x14ac:dyDescent="0.25">
      <c r="A127" s="1342"/>
      <c r="B127" s="1268"/>
      <c r="C127" s="1185"/>
      <c r="D127" s="1185"/>
      <c r="E127" s="1185"/>
      <c r="F127" s="1185"/>
      <c r="G127" s="1150"/>
      <c r="H127" s="281"/>
    </row>
    <row r="128" spans="1:8" customFormat="1" ht="24" customHeight="1" thickBot="1" x14ac:dyDescent="0.3">
      <c r="A128" s="1342"/>
      <c r="B128" s="395" t="s">
        <v>1024</v>
      </c>
      <c r="C128" s="1185"/>
      <c r="D128" s="1185"/>
      <c r="E128" s="1185"/>
      <c r="F128" s="1185"/>
      <c r="G128" s="1150"/>
      <c r="H128" s="281"/>
    </row>
    <row r="129" spans="1:8" customFormat="1" ht="24" customHeight="1" thickBot="1" x14ac:dyDescent="0.3">
      <c r="A129" s="1342"/>
      <c r="B129" s="924" t="s">
        <v>1020</v>
      </c>
      <c r="C129" s="1185"/>
      <c r="D129" s="1185"/>
      <c r="E129" s="1185"/>
      <c r="F129" s="1185"/>
      <c r="G129" s="1150"/>
      <c r="H129" s="281"/>
    </row>
    <row r="130" spans="1:8" customFormat="1" ht="24" customHeight="1" thickBot="1" x14ac:dyDescent="0.3">
      <c r="A130" s="1342"/>
      <c r="B130" s="1269" t="s">
        <v>1045</v>
      </c>
      <c r="C130" s="1439" t="str">
        <f>B129</f>
        <v>Process Water</v>
      </c>
      <c r="D130" s="1440"/>
      <c r="E130" s="1185"/>
      <c r="F130" s="1185"/>
      <c r="G130" s="1150"/>
      <c r="H130" s="281"/>
    </row>
    <row r="131" spans="1:8" customFormat="1" ht="18.75" customHeight="1" thickBot="1" x14ac:dyDescent="0.3">
      <c r="A131" s="1342"/>
      <c r="B131" s="397" t="str">
        <f ca="1">"$(" &amp; ref_year &amp; ")/ " &amp; VLOOKUP(TMP_NonE_Feed,Tbl_Other_Inputs_and_Byproducts,2,FALSE)</f>
        <v>$(2016)/ gal</v>
      </c>
      <c r="C131" s="418">
        <f ca="1">HLOOKUP(startup_year,Tbl_Other_Inputs_and_Byproducts,MATCH(TMP_NonE_Feed,Other_Inputs_List,0),FALSE)</f>
        <v>2.374951094500801E-3</v>
      </c>
      <c r="D131" s="1185"/>
      <c r="E131" s="1185"/>
      <c r="F131" s="1185"/>
      <c r="G131" s="1150"/>
      <c r="H131" s="281"/>
    </row>
    <row r="132" spans="1:8" customFormat="1" ht="18" customHeight="1" thickBot="1" x14ac:dyDescent="0.3">
      <c r="A132" s="1342"/>
      <c r="B132" s="399" t="str">
        <f>IF(TMP_NonE_Type="Feed or utility","Usage per kg H2","Production per kg H2")</f>
        <v>Usage per kg H2</v>
      </c>
      <c r="C132" s="1231"/>
      <c r="D132" s="1185"/>
      <c r="E132" s="1185"/>
      <c r="F132" s="1185"/>
      <c r="G132" s="1150"/>
      <c r="H132" s="281"/>
    </row>
    <row r="133" spans="1:8" customFormat="1" ht="19.5" customHeight="1" thickBot="1" x14ac:dyDescent="0.3">
      <c r="A133" s="1342"/>
      <c r="B133" s="399" t="str">
        <f>IF(TMP_NonE_Type = "Feed or utility", "Cost in Startup Year","Income in Startup Year")</f>
        <v>Cost in Startup Year</v>
      </c>
      <c r="C133" s="407">
        <f ca="1">design_cap*365*cap_factor*TMP_NonE_Usage*TMP_NonE_StartPrice</f>
        <v>0</v>
      </c>
      <c r="D133" s="1185"/>
      <c r="E133" s="1185"/>
      <c r="F133" s="1185"/>
      <c r="G133" s="1150"/>
      <c r="H133" s="281"/>
    </row>
    <row r="134" spans="1:8" customFormat="1" ht="24" customHeight="1" thickBot="1" x14ac:dyDescent="0.3">
      <c r="A134" s="1342"/>
      <c r="B134" s="406" t="s">
        <v>259</v>
      </c>
      <c r="C134" s="408" t="s">
        <v>20</v>
      </c>
      <c r="D134" s="1186"/>
      <c r="E134" s="1186"/>
      <c r="F134" s="1186"/>
      <c r="G134" s="1142"/>
      <c r="H134" s="281"/>
    </row>
    <row r="135" spans="1:8" customFormat="1" ht="24" customHeight="1" x14ac:dyDescent="0.25">
      <c r="A135" s="1345" t="s">
        <v>1026</v>
      </c>
      <c r="B135" s="1270"/>
      <c r="C135" s="1145"/>
      <c r="D135" s="1145"/>
      <c r="E135" s="1187"/>
      <c r="F135" s="1145"/>
      <c r="G135" s="1146"/>
      <c r="H135" s="281"/>
    </row>
    <row r="136" spans="1:8" customFormat="1" ht="24" customHeight="1" x14ac:dyDescent="0.25">
      <c r="A136" s="1345"/>
      <c r="B136" s="1270" t="s">
        <v>1045</v>
      </c>
      <c r="C136" s="1145" t="s">
        <v>1197</v>
      </c>
      <c r="D136" s="1145" t="s">
        <v>817</v>
      </c>
      <c r="E136" s="1187" t="s">
        <v>814</v>
      </c>
      <c r="F136" s="1145" t="s">
        <v>259</v>
      </c>
      <c r="G136" s="1146"/>
      <c r="H136" s="281"/>
    </row>
    <row r="137" spans="1:8" customFormat="1" ht="24" customHeight="1" x14ac:dyDescent="0.25">
      <c r="A137" s="1345"/>
      <c r="B137" s="1270" t="s">
        <v>1020</v>
      </c>
      <c r="C137" s="1145">
        <v>2.374951094500801E-3</v>
      </c>
      <c r="D137" s="1271">
        <f>+ProcessFlow!V22</f>
        <v>8.1163636363636371</v>
      </c>
      <c r="E137" s="1187">
        <f ca="1">+output_kgyear*C137*D137</f>
        <v>4179222.3405626914</v>
      </c>
      <c r="F137" s="1145" t="s">
        <v>20</v>
      </c>
      <c r="G137" s="1146"/>
      <c r="H137" s="281"/>
    </row>
    <row r="138" spans="1:8" customFormat="1" ht="16.2" customHeight="1" x14ac:dyDescent="0.25">
      <c r="A138" s="1342" t="s">
        <v>1027</v>
      </c>
      <c r="B138" s="1270"/>
      <c r="C138" s="1188"/>
      <c r="D138" s="1188"/>
      <c r="E138" s="1189"/>
      <c r="F138" s="1188"/>
      <c r="G138" s="1146"/>
      <c r="H138" s="281"/>
    </row>
    <row r="139" spans="1:8" customFormat="1" ht="16.2" customHeight="1" thickBot="1" x14ac:dyDescent="0.3">
      <c r="A139" s="1342" t="s">
        <v>1028</v>
      </c>
      <c r="B139" s="1270"/>
      <c r="C139" s="1145"/>
      <c r="D139" s="1145"/>
      <c r="E139" s="1189"/>
      <c r="F139" s="1145"/>
      <c r="G139" s="1146"/>
      <c r="H139" s="281"/>
    </row>
    <row r="140" spans="1:8" customFormat="1" ht="17.100000000000001" customHeight="1" thickBot="1" x14ac:dyDescent="0.3">
      <c r="A140" s="1342"/>
      <c r="B140" s="298" t="s">
        <v>841</v>
      </c>
      <c r="C140" s="1147">
        <f ca="1">SUM(Dynamic_NonE_Feed_Total)</f>
        <v>4179222.3405626914</v>
      </c>
      <c r="D140" s="1130"/>
      <c r="E140" s="1422"/>
      <c r="F140" s="1422"/>
      <c r="G140" s="1423"/>
      <c r="H140" s="281"/>
    </row>
    <row r="141" spans="1:8" customFormat="1" ht="17.100000000000001" customHeight="1" thickBot="1" x14ac:dyDescent="0.3">
      <c r="A141" s="1342" t="s">
        <v>254</v>
      </c>
      <c r="B141" s="298" t="s">
        <v>276</v>
      </c>
      <c r="C141" s="1147">
        <f>SUM(Dynamic_NonE_Byprod_Total)</f>
        <v>0</v>
      </c>
      <c r="D141" s="1130"/>
      <c r="E141" s="1422"/>
      <c r="F141" s="1422"/>
      <c r="G141" s="1423"/>
      <c r="H141" s="281"/>
    </row>
    <row r="142" spans="1:8" customFormat="1" ht="26.7" customHeight="1" thickBot="1" x14ac:dyDescent="0.3">
      <c r="A142" s="1342"/>
      <c r="B142" s="298"/>
      <c r="C142" s="1145"/>
      <c r="D142" s="1190"/>
      <c r="E142" s="1422"/>
      <c r="F142" s="1422"/>
      <c r="G142" s="1423"/>
      <c r="H142" s="281"/>
    </row>
    <row r="143" spans="1:8" customFormat="1" ht="17.100000000000001" customHeight="1" thickBot="1" x14ac:dyDescent="0.3">
      <c r="A143" s="1342" t="s">
        <v>247</v>
      </c>
      <c r="B143" s="297" t="s">
        <v>250</v>
      </c>
      <c r="C143" s="1149">
        <f ca="1">Total_Energy_Feed_Cost</f>
        <v>180668290.79749477</v>
      </c>
      <c r="D143" s="1130"/>
      <c r="E143" s="1441"/>
      <c r="F143" s="1441"/>
      <c r="G143" s="1442"/>
      <c r="H143" s="281"/>
    </row>
    <row r="144" spans="1:8" customFormat="1" ht="17.100000000000001" customHeight="1" thickBot="1" x14ac:dyDescent="0.3">
      <c r="A144" s="1342" t="s">
        <v>649</v>
      </c>
      <c r="B144" s="297" t="s">
        <v>251</v>
      </c>
      <c r="C144" s="1149">
        <f ca="1">Total_Energy_Utilities_Cost+Total_Non_Energy_Feed_Cost</f>
        <v>4179222.3405626914</v>
      </c>
      <c r="D144" s="1130"/>
      <c r="E144" s="1441"/>
      <c r="F144" s="1441"/>
      <c r="G144" s="1442"/>
      <c r="H144" s="281"/>
    </row>
    <row r="145" spans="1:8" customFormat="1" ht="31.5" customHeight="1" thickBot="1" x14ac:dyDescent="0.3">
      <c r="A145" s="1342" t="s">
        <v>650</v>
      </c>
      <c r="B145" s="297" t="s">
        <v>252</v>
      </c>
      <c r="C145" s="1174">
        <f>Total_Energy_Byproduct_Credit+total_non_energy_byproduct_credit</f>
        <v>0</v>
      </c>
      <c r="D145" s="1130"/>
      <c r="E145" s="1427"/>
      <c r="F145" s="1427"/>
      <c r="G145" s="1450"/>
      <c r="H145" s="281"/>
    </row>
    <row r="146" spans="1:8" customFormat="1" ht="45.75" customHeight="1" thickTop="1" thickBot="1" x14ac:dyDescent="0.3">
      <c r="A146" s="1342"/>
      <c r="B146" s="1263" t="s">
        <v>801</v>
      </c>
      <c r="C146" s="778" t="str">
        <f>"Enter values in basis year (" &amp; BasisYear &amp; ") dollars"</f>
        <v>Enter values in basis year (2018) dollars</v>
      </c>
      <c r="D146" s="778" t="s">
        <v>823</v>
      </c>
      <c r="E146" s="778" t="str">
        <f xml:space="preserve"> "Reference Year ("&amp; ref_year &amp; ") Dollars"</f>
        <v>Reference Year (2016) Dollars</v>
      </c>
      <c r="F146" s="1183"/>
      <c r="G146" s="1191"/>
      <c r="H146" s="281"/>
    </row>
    <row r="147" spans="1:8" s="32" customFormat="1" ht="39" customHeight="1" thickBot="1" x14ac:dyDescent="0.3">
      <c r="A147" s="1342" t="s">
        <v>184</v>
      </c>
      <c r="B147" s="295" t="s">
        <v>359</v>
      </c>
      <c r="C147" s="1115">
        <v>0</v>
      </c>
      <c r="D147" s="1151">
        <f ca="1">Scale_Ratio * VLOOKUP(ref_year,Chemical_price_indexes,2,FALSE)/VLOOKUP(BasisYear,Chemical_price_indexes,2,FALSE)</f>
        <v>0.920580847553085</v>
      </c>
      <c r="E147" s="1174">
        <f ca="1">C147*D147</f>
        <v>0</v>
      </c>
      <c r="F147" s="1449"/>
      <c r="G147" s="1423"/>
      <c r="H147" s="986"/>
    </row>
    <row r="148" spans="1:8" s="32" customFormat="1" ht="38.25" customHeight="1" thickBot="1" x14ac:dyDescent="0.3">
      <c r="A148" s="1342" t="s">
        <v>277</v>
      </c>
      <c r="B148" s="1272" t="s">
        <v>908</v>
      </c>
      <c r="C148" s="1115">
        <f>69447248-1671599-62282859</f>
        <v>5492790</v>
      </c>
      <c r="D148" s="1151">
        <f ca="1">Scale_Ratio * VLOOKUP(ref_year,Chemical_price_indexes,2,FALSE)/VLOOKUP(BasisYear,Chemical_price_indexes,2,FALSE)</f>
        <v>0.920580847553085</v>
      </c>
      <c r="E148" s="1174">
        <f ca="1">C148*D148</f>
        <v>5056557.2736311099</v>
      </c>
      <c r="F148" s="1112"/>
      <c r="G148" s="1160"/>
      <c r="H148" s="986"/>
    </row>
    <row r="149" spans="1:8" s="32" customFormat="1" ht="17.100000000000001" customHeight="1" thickBot="1" x14ac:dyDescent="0.3">
      <c r="A149" s="1342" t="s">
        <v>185</v>
      </c>
      <c r="B149" s="295" t="s">
        <v>360</v>
      </c>
      <c r="C149" s="1115">
        <f>92798</f>
        <v>92798</v>
      </c>
      <c r="D149" s="1151">
        <f ca="1">Scale_Ratio * VLOOKUP(ref_year,Chemical_price_indexes,2,FALSE)/VLOOKUP(BasisYear,Chemical_price_indexes,2,FALSE)</f>
        <v>0.920580847553085</v>
      </c>
      <c r="E149" s="1174">
        <f ca="1">C149*D149</f>
        <v>85428.061491231187</v>
      </c>
      <c r="F149" s="1112"/>
      <c r="G149" s="1160"/>
      <c r="H149" s="986"/>
    </row>
    <row r="150" spans="1:8" s="32" customFormat="1" ht="17.100000000000001" customHeight="1" thickBot="1" x14ac:dyDescent="0.3">
      <c r="A150" s="1342" t="s">
        <v>177</v>
      </c>
      <c r="B150" s="295" t="s">
        <v>361</v>
      </c>
      <c r="C150" s="1115">
        <v>0</v>
      </c>
      <c r="D150" s="1151">
        <f ca="1">Scale_Ratio * VLOOKUP(ref_year,Chemical_price_indexes,2,FALSE)/VLOOKUP(BasisYear,Chemical_price_indexes,2,FALSE)</f>
        <v>0.920580847553085</v>
      </c>
      <c r="E150" s="1174">
        <f ca="1">C150*D150</f>
        <v>0</v>
      </c>
      <c r="F150" s="1112"/>
      <c r="G150" s="1160"/>
      <c r="H150" s="986"/>
    </row>
    <row r="151" spans="1:8" s="32" customFormat="1" ht="28.5" customHeight="1" thickBot="1" x14ac:dyDescent="0.3">
      <c r="A151" s="1342" t="s">
        <v>173</v>
      </c>
      <c r="B151" s="295" t="s">
        <v>362</v>
      </c>
      <c r="C151" s="1192">
        <v>5.0000000000000001E-3</v>
      </c>
      <c r="D151" s="281"/>
      <c r="E151" s="1447" t="s">
        <v>1176</v>
      </c>
      <c r="F151" s="1447"/>
      <c r="G151" s="1448"/>
      <c r="H151" s="986"/>
    </row>
    <row r="152" spans="1:8" s="32" customFormat="1" ht="17.100000000000001" customHeight="1" thickBot="1" x14ac:dyDescent="0.3">
      <c r="A152" s="1342" t="s">
        <v>174</v>
      </c>
      <c r="B152" s="295" t="s">
        <v>363</v>
      </c>
      <c r="C152" s="1115">
        <v>0</v>
      </c>
      <c r="D152" s="1151">
        <f ca="1">Scale_Ratio * CPIinflator</f>
        <v>0.9584831859169165</v>
      </c>
      <c r="E152" s="1174">
        <v>0</v>
      </c>
      <c r="F152" s="1112"/>
      <c r="G152" s="1160"/>
      <c r="H152" s="986"/>
    </row>
    <row r="153" spans="1:8" s="32" customFormat="1" ht="17.100000000000001" customHeight="1" thickBot="1" x14ac:dyDescent="0.3">
      <c r="A153" s="1342" t="s">
        <v>153</v>
      </c>
      <c r="B153" s="295" t="s">
        <v>364</v>
      </c>
      <c r="C153" s="1115">
        <v>0</v>
      </c>
      <c r="D153" s="1151">
        <f ca="1">Scale_Ratio * CPIinflator</f>
        <v>0.9584831859169165</v>
      </c>
      <c r="E153" s="1174">
        <v>0</v>
      </c>
      <c r="F153" s="1112"/>
      <c r="G153" s="1160"/>
      <c r="H153" s="986"/>
    </row>
    <row r="154" spans="1:8" s="32" customFormat="1" ht="17.100000000000001" customHeight="1" thickBot="1" x14ac:dyDescent="0.3">
      <c r="A154" s="1342" t="s">
        <v>182</v>
      </c>
      <c r="B154" s="295" t="s">
        <v>365</v>
      </c>
      <c r="C154" s="1115">
        <v>0</v>
      </c>
      <c r="D154" s="1151">
        <f ca="1">Scale_Ratio * CPIinflator</f>
        <v>0.9584831859169165</v>
      </c>
      <c r="E154" s="1174">
        <v>0</v>
      </c>
      <c r="F154" s="776"/>
      <c r="G154" s="777"/>
      <c r="H154" s="986"/>
    </row>
    <row r="155" spans="1:8" s="32" customFormat="1" ht="17.100000000000001" customHeight="1" thickBot="1" x14ac:dyDescent="0.3">
      <c r="A155" s="1342" t="s">
        <v>6</v>
      </c>
      <c r="B155" s="295" t="s">
        <v>937</v>
      </c>
      <c r="C155" s="281"/>
      <c r="D155" s="1193"/>
      <c r="E155" s="1174">
        <f ca="1">+'Carbon Sequestration'!F39</f>
        <v>40376175.195471562</v>
      </c>
      <c r="F155" s="776"/>
      <c r="G155" s="1423"/>
      <c r="H155" s="986"/>
    </row>
    <row r="156" spans="1:8" s="32" customFormat="1" ht="17.100000000000001" customHeight="1" thickBot="1" x14ac:dyDescent="0.3">
      <c r="A156" s="1342"/>
      <c r="B156" s="295" t="s">
        <v>934</v>
      </c>
      <c r="C156" s="1115">
        <v>0</v>
      </c>
      <c r="D156" s="1151">
        <f>CPIinflator</f>
        <v>0.9584831859169165</v>
      </c>
      <c r="E156" s="1174">
        <v>0</v>
      </c>
      <c r="F156" s="776"/>
      <c r="G156" s="1423"/>
      <c r="H156" s="986"/>
    </row>
    <row r="157" spans="1:8" s="32" customFormat="1" ht="17.100000000000001" customHeight="1" thickBot="1" x14ac:dyDescent="0.3">
      <c r="A157" s="1342"/>
      <c r="B157" s="295" t="s">
        <v>933</v>
      </c>
      <c r="C157" s="281"/>
      <c r="D157" s="1193"/>
      <c r="E157" s="1194">
        <f ca="1">ROUND(Proc_CO2_tax*12/44*Proc_CO2_MTpY,-2)</f>
        <v>0</v>
      </c>
      <c r="F157" s="776"/>
      <c r="G157" s="1423"/>
      <c r="H157" s="986"/>
    </row>
    <row r="158" spans="1:8" s="32" customFormat="1" ht="17.100000000000001" customHeight="1" thickBot="1" x14ac:dyDescent="0.3">
      <c r="A158" s="1342"/>
      <c r="B158" s="295" t="s">
        <v>935</v>
      </c>
      <c r="C158" s="1115">
        <v>0</v>
      </c>
      <c r="D158" s="1151">
        <f>CPIinflator</f>
        <v>0.9584831859169165</v>
      </c>
      <c r="E158" s="1194">
        <v>0</v>
      </c>
      <c r="F158" s="776"/>
      <c r="G158" s="1423"/>
      <c r="H158" s="986"/>
    </row>
    <row r="159" spans="1:8" s="32" customFormat="1" ht="17.100000000000001" customHeight="1" thickBot="1" x14ac:dyDescent="0.3">
      <c r="A159" s="1342"/>
      <c r="B159" s="295" t="s">
        <v>936</v>
      </c>
      <c r="C159" s="1195"/>
      <c r="D159" s="1196"/>
      <c r="E159" s="1194">
        <f ca="1">ROUND(Upstream_CO2_tax/1000*Upstream_GHG_total*output_kgyear,2)</f>
        <v>0</v>
      </c>
      <c r="F159" s="1244"/>
      <c r="G159" s="1423"/>
      <c r="H159" s="986"/>
    </row>
    <row r="160" spans="1:8" s="32" customFormat="1" ht="23.25" customHeight="1" thickBot="1" x14ac:dyDescent="0.3">
      <c r="A160" s="1342" t="s">
        <v>257</v>
      </c>
      <c r="B160" s="299" t="s">
        <v>255</v>
      </c>
      <c r="C160" s="1141"/>
      <c r="D160" s="1142"/>
      <c r="E160" s="1197">
        <f ca="1">ROUND(total_feedstock+total_utilities+total_other_raw-total_byproducts+var_misc+waste_treat+solidwaste_treat+royalties+operator_profit-tax_credit+CO2_OandMcost+Proc_CO2_taxpYear + Upstream_CO2_taxpYear,-2)</f>
        <v>230365700</v>
      </c>
      <c r="F160" s="1198"/>
      <c r="G160" s="1438"/>
      <c r="H160" s="986"/>
    </row>
    <row r="161" spans="1:8" s="32" customFormat="1" x14ac:dyDescent="0.25">
      <c r="A161" s="986"/>
      <c r="B161" s="986"/>
      <c r="C161" s="986"/>
      <c r="D161" s="986"/>
      <c r="E161" s="986"/>
      <c r="F161" s="986"/>
      <c r="G161" s="986"/>
      <c r="H161" s="986"/>
    </row>
    <row r="162" spans="1:8" s="32" customFormat="1" x14ac:dyDescent="0.25">
      <c r="A162" s="986"/>
      <c r="B162" s="986"/>
      <c r="C162" s="986"/>
      <c r="D162" s="986"/>
      <c r="E162" s="986"/>
      <c r="F162" s="986"/>
      <c r="G162" s="986"/>
      <c r="H162" s="986"/>
    </row>
    <row r="163" spans="1:8" s="32" customFormat="1" x14ac:dyDescent="0.25">
      <c r="A163" s="986"/>
      <c r="B163" s="986"/>
      <c r="C163" s="986"/>
      <c r="D163" s="986"/>
      <c r="E163" s="986"/>
      <c r="F163" s="986"/>
      <c r="G163" s="986"/>
      <c r="H163" s="986"/>
    </row>
    <row r="164" spans="1:8" s="32" customFormat="1" x14ac:dyDescent="0.25">
      <c r="A164" s="986"/>
      <c r="B164" s="986"/>
      <c r="C164" s="986"/>
      <c r="D164" s="986"/>
      <c r="E164" s="986"/>
      <c r="F164" s="986"/>
      <c r="G164" s="986"/>
      <c r="H164" s="986"/>
    </row>
    <row r="165" spans="1:8" s="32" customFormat="1" x14ac:dyDescent="0.25">
      <c r="A165" s="986"/>
      <c r="B165" s="986"/>
      <c r="C165" s="986"/>
      <c r="D165" s="986"/>
      <c r="E165" s="986"/>
      <c r="F165" s="986"/>
      <c r="G165" s="986"/>
      <c r="H165" s="986"/>
    </row>
    <row r="166" spans="1:8" s="32" customFormat="1" x14ac:dyDescent="0.25">
      <c r="A166" s="986"/>
      <c r="B166" s="986"/>
      <c r="C166" s="986"/>
      <c r="D166" s="986"/>
      <c r="E166" s="986"/>
      <c r="F166" s="986"/>
      <c r="G166" s="986"/>
      <c r="H166" s="986"/>
    </row>
    <row r="167" spans="1:8" s="32" customFormat="1" x14ac:dyDescent="0.25">
      <c r="A167" s="986"/>
      <c r="B167" s="986"/>
      <c r="C167" s="986"/>
      <c r="D167" s="986"/>
      <c r="E167" s="986"/>
      <c r="F167" s="986"/>
      <c r="G167" s="986"/>
      <c r="H167" s="986"/>
    </row>
    <row r="168" spans="1:8" s="32" customFormat="1" x14ac:dyDescent="0.25">
      <c r="A168" s="986"/>
      <c r="B168" s="986"/>
      <c r="C168" s="986"/>
      <c r="D168" s="986"/>
      <c r="E168" s="986"/>
      <c r="F168" s="986"/>
      <c r="G168" s="986"/>
      <c r="H168" s="986"/>
    </row>
    <row r="169" spans="1:8" s="32" customFormat="1" x14ac:dyDescent="0.25">
      <c r="A169" s="986"/>
      <c r="B169" s="986"/>
      <c r="C169" s="986"/>
      <c r="D169" s="986"/>
      <c r="E169" s="986"/>
      <c r="F169" s="986"/>
      <c r="G169" s="986"/>
      <c r="H169" s="986"/>
    </row>
    <row r="170" spans="1:8" s="32" customFormat="1" x14ac:dyDescent="0.25">
      <c r="A170" s="986"/>
      <c r="B170" s="986"/>
      <c r="C170" s="986"/>
      <c r="D170" s="986"/>
      <c r="E170" s="986"/>
      <c r="F170" s="986"/>
      <c r="G170" s="986"/>
      <c r="H170" s="986"/>
    </row>
    <row r="171" spans="1:8" s="32" customFormat="1" x14ac:dyDescent="0.25">
      <c r="A171" s="986"/>
      <c r="B171" s="986"/>
      <c r="C171" s="986"/>
      <c r="D171" s="986"/>
      <c r="E171" s="986"/>
      <c r="F171" s="986"/>
      <c r="G171" s="986"/>
      <c r="H171" s="986"/>
    </row>
    <row r="172" spans="1:8" s="32" customFormat="1" x14ac:dyDescent="0.25">
      <c r="A172" s="986"/>
      <c r="B172" s="986"/>
      <c r="C172" s="986"/>
      <c r="D172" s="986"/>
      <c r="E172" s="986"/>
      <c r="F172" s="986"/>
      <c r="G172" s="986"/>
      <c r="H172" s="986"/>
    </row>
    <row r="173" spans="1:8" s="32" customFormat="1" x14ac:dyDescent="0.25">
      <c r="A173" s="986"/>
      <c r="B173" s="986"/>
      <c r="C173" s="986"/>
      <c r="D173" s="986"/>
      <c r="E173" s="986"/>
      <c r="F173" s="986"/>
      <c r="G173" s="986"/>
      <c r="H173" s="986"/>
    </row>
    <row r="174" spans="1:8" s="32" customFormat="1" x14ac:dyDescent="0.25">
      <c r="A174" s="986"/>
      <c r="B174" s="986"/>
      <c r="C174" s="986"/>
      <c r="D174" s="986"/>
      <c r="E174" s="986"/>
      <c r="F174" s="986"/>
      <c r="G174" s="986"/>
      <c r="H174" s="986"/>
    </row>
    <row r="175" spans="1:8" s="32" customFormat="1" x14ac:dyDescent="0.25">
      <c r="A175" s="986"/>
      <c r="B175" s="986"/>
      <c r="C175" s="986"/>
      <c r="D175" s="986"/>
      <c r="E175" s="986"/>
      <c r="F175" s="986"/>
      <c r="G175" s="986"/>
      <c r="H175" s="986"/>
    </row>
    <row r="176" spans="1:8" s="32" customFormat="1" x14ac:dyDescent="0.25">
      <c r="A176" s="986"/>
      <c r="B176" s="986"/>
      <c r="C176" s="986"/>
      <c r="D176" s="986"/>
      <c r="E176" s="986"/>
      <c r="F176" s="986"/>
      <c r="G176" s="986"/>
      <c r="H176" s="986"/>
    </row>
    <row r="177" spans="1:8" s="32" customFormat="1" x14ac:dyDescent="0.25">
      <c r="A177" s="986"/>
      <c r="B177" s="986"/>
      <c r="C177" s="986"/>
      <c r="D177" s="986"/>
      <c r="E177" s="986"/>
      <c r="F177" s="986"/>
      <c r="G177" s="986"/>
      <c r="H177" s="986"/>
    </row>
    <row r="178" spans="1:8" s="32" customFormat="1" x14ac:dyDescent="0.25">
      <c r="A178" s="986"/>
      <c r="B178" s="986"/>
      <c r="C178" s="986"/>
      <c r="D178" s="986"/>
      <c r="E178" s="986"/>
      <c r="F178" s="986"/>
      <c r="G178" s="986"/>
      <c r="H178" s="986"/>
    </row>
    <row r="179" spans="1:8" s="32" customFormat="1" x14ac:dyDescent="0.25">
      <c r="A179" s="986"/>
      <c r="B179" s="986"/>
      <c r="C179" s="986"/>
      <c r="D179" s="986"/>
      <c r="E179" s="986"/>
      <c r="F179" s="986"/>
      <c r="G179" s="986"/>
      <c r="H179" s="986"/>
    </row>
    <row r="180" spans="1:8" s="32" customFormat="1" x14ac:dyDescent="0.25">
      <c r="A180" s="986"/>
      <c r="B180" s="986"/>
      <c r="C180" s="986"/>
      <c r="D180" s="986"/>
      <c r="E180" s="986"/>
      <c r="F180" s="986"/>
      <c r="G180" s="986"/>
      <c r="H180" s="986"/>
    </row>
    <row r="181" spans="1:8" s="32" customFormat="1" x14ac:dyDescent="0.25">
      <c r="A181" s="986"/>
      <c r="B181" s="986"/>
      <c r="C181" s="986"/>
      <c r="D181" s="986"/>
      <c r="E181" s="986"/>
      <c r="F181" s="986"/>
      <c r="G181" s="986"/>
      <c r="H181" s="986"/>
    </row>
    <row r="182" spans="1:8" s="32" customFormat="1" x14ac:dyDescent="0.25">
      <c r="A182" s="986"/>
      <c r="B182" s="986"/>
      <c r="C182" s="986"/>
      <c r="D182" s="986"/>
      <c r="E182" s="986"/>
      <c r="F182" s="986"/>
      <c r="G182" s="986"/>
      <c r="H182" s="986"/>
    </row>
    <row r="183" spans="1:8" s="32" customFormat="1" x14ac:dyDescent="0.25">
      <c r="A183" s="986"/>
      <c r="B183" s="986"/>
      <c r="C183" s="986"/>
      <c r="D183" s="986"/>
      <c r="E183" s="986"/>
      <c r="F183" s="986"/>
      <c r="G183" s="986"/>
      <c r="H183" s="986"/>
    </row>
    <row r="184" spans="1:8" s="32" customFormat="1" x14ac:dyDescent="0.25">
      <c r="A184" s="986"/>
      <c r="B184" s="986"/>
      <c r="C184" s="986"/>
      <c r="D184" s="986"/>
      <c r="E184" s="986"/>
      <c r="F184" s="986"/>
      <c r="G184" s="986"/>
      <c r="H184" s="986"/>
    </row>
    <row r="185" spans="1:8" s="32" customFormat="1" x14ac:dyDescent="0.25">
      <c r="A185" s="986"/>
      <c r="B185" s="986"/>
      <c r="C185" s="986"/>
      <c r="D185" s="986"/>
      <c r="E185" s="986"/>
      <c r="F185" s="986"/>
      <c r="G185" s="986"/>
      <c r="H185" s="986"/>
    </row>
    <row r="186" spans="1:8" s="32" customFormat="1" x14ac:dyDescent="0.25">
      <c r="A186" s="986"/>
      <c r="B186" s="986"/>
      <c r="C186" s="986"/>
      <c r="D186" s="986"/>
      <c r="E186" s="986"/>
      <c r="F186" s="986"/>
      <c r="G186" s="986"/>
      <c r="H186" s="986"/>
    </row>
    <row r="187" spans="1:8" s="32" customFormat="1" x14ac:dyDescent="0.25">
      <c r="A187" s="986"/>
      <c r="B187" s="986"/>
      <c r="C187" s="986"/>
      <c r="D187" s="986"/>
      <c r="E187" s="986"/>
      <c r="F187" s="986"/>
      <c r="G187" s="986"/>
      <c r="H187" s="986"/>
    </row>
    <row r="188" spans="1:8" s="32" customFormat="1" x14ac:dyDescent="0.25">
      <c r="A188" s="986"/>
      <c r="B188" s="986"/>
      <c r="C188" s="986"/>
      <c r="D188" s="986"/>
      <c r="E188" s="986"/>
      <c r="F188" s="986"/>
      <c r="G188" s="986"/>
      <c r="H188" s="986"/>
    </row>
    <row r="189" spans="1:8" s="32" customFormat="1" x14ac:dyDescent="0.25">
      <c r="A189" s="986"/>
      <c r="B189" s="986"/>
      <c r="C189" s="986"/>
      <c r="D189" s="986"/>
      <c r="E189" s="986"/>
      <c r="F189" s="986"/>
      <c r="G189" s="986"/>
      <c r="H189" s="986"/>
    </row>
    <row r="190" spans="1:8" s="32" customFormat="1" x14ac:dyDescent="0.25">
      <c r="A190" s="986"/>
      <c r="B190" s="986"/>
      <c r="C190" s="986"/>
      <c r="D190" s="986"/>
      <c r="E190" s="986"/>
      <c r="F190" s="986"/>
      <c r="G190" s="986"/>
      <c r="H190" s="986"/>
    </row>
    <row r="191" spans="1:8" s="32" customFormat="1" x14ac:dyDescent="0.25">
      <c r="A191" s="986"/>
      <c r="B191" s="986"/>
      <c r="C191" s="986"/>
      <c r="D191" s="986"/>
      <c r="E191" s="986"/>
      <c r="F191" s="986"/>
      <c r="G191" s="986"/>
      <c r="H191" s="986"/>
    </row>
    <row r="192" spans="1:8" s="32" customFormat="1" x14ac:dyDescent="0.25">
      <c r="A192" s="986"/>
      <c r="B192" s="986"/>
      <c r="C192" s="986"/>
      <c r="D192" s="986"/>
      <c r="E192" s="986"/>
      <c r="F192" s="986"/>
      <c r="G192" s="986"/>
      <c r="H192" s="986"/>
    </row>
    <row r="193" spans="1:8" s="32" customFormat="1" x14ac:dyDescent="0.25">
      <c r="A193" s="986"/>
      <c r="B193" s="986"/>
      <c r="C193" s="986"/>
      <c r="D193" s="986"/>
      <c r="E193" s="986"/>
      <c r="F193" s="986"/>
      <c r="G193" s="986"/>
      <c r="H193" s="986"/>
    </row>
    <row r="194" spans="1:8" s="32" customFormat="1" x14ac:dyDescent="0.25">
      <c r="A194" s="986"/>
      <c r="B194" s="986"/>
      <c r="C194" s="986"/>
      <c r="D194" s="986"/>
      <c r="E194" s="986"/>
      <c r="F194" s="986"/>
      <c r="G194" s="986"/>
      <c r="H194" s="986"/>
    </row>
    <row r="195" spans="1:8" s="32" customFormat="1" x14ac:dyDescent="0.25">
      <c r="A195" s="986"/>
      <c r="B195" s="986"/>
      <c r="C195" s="986"/>
      <c r="D195" s="986"/>
      <c r="E195" s="986"/>
      <c r="F195" s="986"/>
      <c r="G195" s="986"/>
      <c r="H195" s="986"/>
    </row>
    <row r="196" spans="1:8" s="32" customFormat="1" x14ac:dyDescent="0.25">
      <c r="A196" s="986"/>
      <c r="B196" s="986"/>
      <c r="C196" s="986"/>
      <c r="D196" s="986"/>
      <c r="E196" s="986"/>
      <c r="F196" s="986"/>
      <c r="G196" s="986"/>
      <c r="H196" s="986"/>
    </row>
    <row r="197" spans="1:8" s="32" customFormat="1" x14ac:dyDescent="0.25">
      <c r="A197" s="986"/>
      <c r="B197" s="986"/>
      <c r="C197" s="986"/>
      <c r="D197" s="986"/>
      <c r="E197" s="986"/>
      <c r="F197" s="986"/>
      <c r="G197" s="986"/>
      <c r="H197" s="986"/>
    </row>
    <row r="198" spans="1:8" s="32" customFormat="1" x14ac:dyDescent="0.25">
      <c r="A198" s="986"/>
      <c r="B198" s="986"/>
      <c r="C198" s="986"/>
      <c r="D198" s="986"/>
      <c r="E198" s="986"/>
      <c r="F198" s="986"/>
      <c r="G198" s="986"/>
      <c r="H198" s="986"/>
    </row>
    <row r="199" spans="1:8" s="32" customFormat="1" x14ac:dyDescent="0.25">
      <c r="A199" s="986"/>
      <c r="B199" s="986"/>
      <c r="C199" s="986"/>
      <c r="D199" s="986"/>
      <c r="E199" s="986"/>
      <c r="F199" s="986"/>
      <c r="G199" s="986"/>
      <c r="H199" s="986"/>
    </row>
    <row r="200" spans="1:8" s="32" customFormat="1" x14ac:dyDescent="0.25">
      <c r="A200" s="986"/>
      <c r="B200" s="986"/>
      <c r="C200" s="986"/>
      <c r="D200" s="986"/>
      <c r="E200" s="986"/>
      <c r="F200" s="986"/>
      <c r="G200" s="986"/>
      <c r="H200" s="986"/>
    </row>
    <row r="201" spans="1:8" s="32" customFormat="1" x14ac:dyDescent="0.25">
      <c r="A201" s="986"/>
      <c r="B201" s="986"/>
      <c r="C201" s="986"/>
      <c r="D201" s="986"/>
      <c r="E201" s="986"/>
      <c r="F201" s="986"/>
      <c r="G201" s="986"/>
      <c r="H201" s="986"/>
    </row>
    <row r="202" spans="1:8" s="32" customFormat="1" x14ac:dyDescent="0.25">
      <c r="A202" s="986"/>
      <c r="B202" s="986"/>
      <c r="C202" s="986"/>
      <c r="D202" s="986"/>
      <c r="E202" s="986"/>
      <c r="F202" s="986"/>
      <c r="G202" s="986"/>
      <c r="H202" s="986"/>
    </row>
    <row r="203" spans="1:8" s="32" customFormat="1" x14ac:dyDescent="0.25">
      <c r="A203" s="986"/>
      <c r="B203" s="986"/>
      <c r="C203" s="986"/>
      <c r="D203" s="986"/>
      <c r="E203" s="986"/>
      <c r="F203" s="986"/>
      <c r="G203" s="986"/>
      <c r="H203" s="986"/>
    </row>
    <row r="204" spans="1:8" s="32" customFormat="1" x14ac:dyDescent="0.25">
      <c r="A204" s="986"/>
      <c r="B204" s="986"/>
      <c r="C204" s="986"/>
      <c r="D204" s="986"/>
      <c r="E204" s="986"/>
      <c r="F204" s="986"/>
      <c r="G204" s="986"/>
      <c r="H204" s="986"/>
    </row>
    <row r="205" spans="1:8" s="32" customFormat="1" x14ac:dyDescent="0.25">
      <c r="A205" s="986"/>
      <c r="B205" s="986"/>
      <c r="C205" s="986"/>
      <c r="D205" s="986"/>
      <c r="E205" s="986"/>
      <c r="F205" s="986"/>
      <c r="G205" s="986"/>
      <c r="H205" s="986"/>
    </row>
    <row r="206" spans="1:8" s="32" customFormat="1" x14ac:dyDescent="0.25">
      <c r="A206" s="986"/>
      <c r="B206" s="986"/>
      <c r="C206" s="986"/>
      <c r="D206" s="986"/>
      <c r="E206" s="986"/>
      <c r="F206" s="986"/>
      <c r="G206" s="986"/>
      <c r="H206" s="986"/>
    </row>
    <row r="207" spans="1:8" s="32" customFormat="1" x14ac:dyDescent="0.25">
      <c r="A207" s="986"/>
      <c r="B207" s="986"/>
      <c r="C207" s="986"/>
      <c r="D207" s="986"/>
      <c r="E207" s="986"/>
      <c r="F207" s="986"/>
      <c r="G207" s="986"/>
      <c r="H207" s="986"/>
    </row>
    <row r="208" spans="1:8" s="32" customFormat="1" x14ac:dyDescent="0.25">
      <c r="A208" s="986"/>
      <c r="B208" s="986"/>
      <c r="C208" s="986"/>
      <c r="D208" s="986"/>
      <c r="E208" s="986"/>
      <c r="F208" s="986"/>
      <c r="G208" s="986"/>
      <c r="H208" s="986"/>
    </row>
    <row r="209" spans="1:8" s="32" customFormat="1" x14ac:dyDescent="0.25">
      <c r="A209" s="986"/>
      <c r="B209" s="986"/>
      <c r="C209" s="986"/>
      <c r="D209" s="986"/>
      <c r="E209" s="986"/>
      <c r="F209" s="986"/>
      <c r="G209" s="986"/>
      <c r="H209" s="986"/>
    </row>
    <row r="210" spans="1:8" s="32" customFormat="1" x14ac:dyDescent="0.25">
      <c r="A210" s="986"/>
      <c r="B210" s="986"/>
      <c r="C210" s="986"/>
      <c r="D210" s="986"/>
      <c r="E210" s="986"/>
      <c r="F210" s="986"/>
      <c r="G210" s="986"/>
      <c r="H210" s="986"/>
    </row>
    <row r="211" spans="1:8" s="32" customFormat="1" x14ac:dyDescent="0.25">
      <c r="A211" s="986"/>
      <c r="B211" s="986"/>
      <c r="C211" s="986"/>
      <c r="D211" s="986"/>
      <c r="E211" s="986"/>
      <c r="F211" s="986"/>
      <c r="G211" s="986"/>
      <c r="H211" s="986"/>
    </row>
    <row r="212" spans="1:8" s="32" customFormat="1" x14ac:dyDescent="0.25">
      <c r="A212" s="986"/>
      <c r="B212" s="986"/>
      <c r="C212" s="986"/>
      <c r="D212" s="986"/>
      <c r="E212" s="986"/>
      <c r="F212" s="986"/>
      <c r="G212" s="986"/>
      <c r="H212" s="986"/>
    </row>
    <row r="213" spans="1:8" s="32" customFormat="1" x14ac:dyDescent="0.25">
      <c r="A213" s="986"/>
      <c r="B213" s="986"/>
      <c r="C213" s="986"/>
      <c r="D213" s="986"/>
      <c r="E213" s="986"/>
      <c r="F213" s="986"/>
      <c r="G213" s="986"/>
      <c r="H213" s="986"/>
    </row>
    <row r="214" spans="1:8" s="32" customFormat="1" x14ac:dyDescent="0.25">
      <c r="A214" s="986"/>
      <c r="B214" s="986"/>
      <c r="C214" s="986"/>
      <c r="D214" s="986"/>
      <c r="E214" s="986"/>
      <c r="F214" s="986"/>
      <c r="G214" s="986"/>
      <c r="H214" s="986"/>
    </row>
    <row r="215" spans="1:8" s="32" customFormat="1" x14ac:dyDescent="0.25">
      <c r="A215" s="986"/>
      <c r="B215" s="986"/>
      <c r="C215" s="986"/>
      <c r="D215" s="986"/>
      <c r="E215" s="986"/>
      <c r="F215" s="986"/>
      <c r="G215" s="986"/>
      <c r="H215" s="986"/>
    </row>
    <row r="216" spans="1:8" s="32" customFormat="1" x14ac:dyDescent="0.25">
      <c r="A216" s="986"/>
      <c r="B216" s="986"/>
      <c r="C216" s="986"/>
      <c r="D216" s="986"/>
      <c r="E216" s="986"/>
      <c r="F216" s="986"/>
      <c r="G216" s="986"/>
      <c r="H216" s="986"/>
    </row>
    <row r="217" spans="1:8" s="32" customFormat="1" x14ac:dyDescent="0.25">
      <c r="A217" s="986"/>
      <c r="B217" s="986"/>
      <c r="C217" s="986"/>
      <c r="D217" s="986"/>
      <c r="E217" s="986"/>
      <c r="F217" s="986"/>
      <c r="G217" s="986"/>
      <c r="H217" s="986"/>
    </row>
    <row r="218" spans="1:8" s="32" customFormat="1" x14ac:dyDescent="0.25">
      <c r="A218" s="986"/>
      <c r="B218" s="986"/>
      <c r="C218" s="986"/>
      <c r="D218" s="986"/>
      <c r="E218" s="986"/>
      <c r="F218" s="986"/>
      <c r="G218" s="986"/>
      <c r="H218" s="986"/>
    </row>
    <row r="219" spans="1:8" s="32" customFormat="1" x14ac:dyDescent="0.25">
      <c r="A219" s="986"/>
      <c r="B219" s="986"/>
      <c r="C219" s="986"/>
      <c r="D219" s="986"/>
      <c r="E219" s="986"/>
      <c r="F219" s="986"/>
      <c r="G219" s="986"/>
      <c r="H219" s="986"/>
    </row>
    <row r="220" spans="1:8" s="32" customFormat="1" x14ac:dyDescent="0.25">
      <c r="A220" s="986"/>
      <c r="B220" s="986"/>
      <c r="C220" s="986"/>
      <c r="D220" s="986"/>
      <c r="E220" s="986"/>
      <c r="F220" s="986"/>
      <c r="G220" s="986"/>
      <c r="H220" s="986"/>
    </row>
    <row r="221" spans="1:8" s="32" customFormat="1" x14ac:dyDescent="0.25">
      <c r="A221" s="986"/>
      <c r="B221" s="986"/>
      <c r="C221" s="986"/>
      <c r="D221" s="986"/>
      <c r="E221" s="986"/>
      <c r="F221" s="986"/>
      <c r="G221" s="986"/>
      <c r="H221" s="986"/>
    </row>
    <row r="222" spans="1:8" s="32" customFormat="1" x14ac:dyDescent="0.25">
      <c r="A222" s="986"/>
      <c r="B222" s="986"/>
      <c r="C222" s="986"/>
      <c r="D222" s="986"/>
      <c r="E222" s="986"/>
      <c r="F222" s="986"/>
      <c r="G222" s="986"/>
      <c r="H222" s="986"/>
    </row>
  </sheetData>
  <mergeCells count="52">
    <mergeCell ref="G155:G160"/>
    <mergeCell ref="C130:D130"/>
    <mergeCell ref="E143:G143"/>
    <mergeCell ref="D99:D100"/>
    <mergeCell ref="E88:G88"/>
    <mergeCell ref="E140:G142"/>
    <mergeCell ref="E151:G151"/>
    <mergeCell ref="F147:G147"/>
    <mergeCell ref="E144:G144"/>
    <mergeCell ref="E145:G145"/>
    <mergeCell ref="F91:G91"/>
    <mergeCell ref="F92:G92"/>
    <mergeCell ref="F102:G102"/>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53:G53"/>
    <mergeCell ref="E52:G52"/>
    <mergeCell ref="E51:G51"/>
    <mergeCell ref="E55:G55"/>
    <mergeCell ref="E85:G85"/>
    <mergeCell ref="E86:G86"/>
  </mergeCells>
  <phoneticPr fontId="3" type="noConversion"/>
  <conditionalFormatting sqref="H16:H17">
    <cfRule type="expression" dxfId="3" priority="10">
      <formula>$H$17 &gt; 0.3</formula>
    </cfRule>
  </conditionalFormatting>
  <dataValidations xWindow="543" yWindow="734" count="17">
    <dataValidation allowBlank="1" showInputMessage="1" showErrorMessage="1" prompt="Tax covers all fuel and utilities.  Result may be negative (credit) for biomass derived feed." sqref="E158" xr:uid="{00000000-0002-0000-0300-000000000000}"/>
    <dataValidation allowBlank="1" showInputMessage="1" showErrorMessage="1" prompt="Enter specific year replacement costs on Replacement Costs sheet" sqref="C151"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type="list" allowBlank="1" showInputMessage="1" showErrorMessage="1" sqref="B129"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 allowBlank="1" showInputMessage="1" showErrorMessage="1" prompt="If the field is blue (linked), enter values on the &quot;Carbon Sequestration&quot; sheet only. If gold (unlinked) enter values here. Click the button to link or unlink the field." sqref="C89" xr:uid="{00000000-0002-0000-0300-000003000000}"/>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213360</xdr:rowOff>
                  </from>
                  <to>
                    <xdr:col>3</xdr:col>
                    <xdr:colOff>1066800</xdr:colOff>
                    <xdr:row>41</xdr:row>
                    <xdr:rowOff>213360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213360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112</xdr:row>
                    <xdr:rowOff>0</xdr:rowOff>
                  </from>
                  <to>
                    <xdr:col>3</xdr:col>
                    <xdr:colOff>1066800</xdr:colOff>
                    <xdr:row>113</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115</xdr:row>
                    <xdr:rowOff>22860</xdr:rowOff>
                  </from>
                  <to>
                    <xdr:col>3</xdr:col>
                    <xdr:colOff>1066800</xdr:colOff>
                    <xdr:row>115</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workbookViewId="0"/>
  </sheetViews>
  <sheetFormatPr defaultColWidth="9.33203125" defaultRowHeight="13.2" x14ac:dyDescent="0.25"/>
  <cols>
    <col min="1" max="1" width="16.33203125" style="197" customWidth="1"/>
    <col min="2" max="2" width="17.44140625" style="197" customWidth="1"/>
    <col min="3" max="5" width="19.5546875" style="197" customWidth="1"/>
    <col min="6" max="6" width="19.44140625" style="197" customWidth="1"/>
    <col min="7" max="7" width="21.6640625" style="197" customWidth="1"/>
    <col min="8" max="8" width="23.33203125" style="197" customWidth="1"/>
    <col min="9" max="10" width="19.33203125" style="197" customWidth="1"/>
    <col min="11" max="11" width="47.33203125" style="197" customWidth="1"/>
    <col min="12" max="12" width="30.33203125" style="197" customWidth="1"/>
    <col min="13" max="13" width="40.33203125" style="197" customWidth="1"/>
    <col min="14" max="14" width="20" style="197" customWidth="1"/>
    <col min="15" max="16384" width="9.33203125" style="197"/>
  </cols>
  <sheetData>
    <row r="1" spans="1:12" x14ac:dyDescent="0.25">
      <c r="B1"/>
      <c r="C1"/>
      <c r="D1"/>
      <c r="E1"/>
      <c r="F1"/>
      <c r="G1"/>
    </row>
    <row r="2" spans="1:12" ht="21" x14ac:dyDescent="0.5">
      <c r="A2" s="660" t="s">
        <v>1000</v>
      </c>
      <c r="B2"/>
      <c r="C2"/>
      <c r="D2"/>
      <c r="E2"/>
      <c r="F2"/>
      <c r="G2"/>
    </row>
    <row r="3" spans="1:12" x14ac:dyDescent="0.25">
      <c r="B3" s="36"/>
      <c r="C3" s="36"/>
      <c r="D3" s="36"/>
      <c r="E3" s="36"/>
      <c r="F3" s="36"/>
      <c r="G3" s="39"/>
      <c r="H3" s="198"/>
      <c r="I3" s="198"/>
      <c r="J3" s="198"/>
    </row>
    <row r="4" spans="1:12" x14ac:dyDescent="0.25">
      <c r="B4" s="36"/>
      <c r="C4" s="36"/>
      <c r="D4" s="36"/>
      <c r="E4" s="36"/>
      <c r="F4" s="36"/>
      <c r="G4" s="39"/>
      <c r="H4" s="198"/>
      <c r="I4" s="198"/>
      <c r="J4" s="198"/>
    </row>
    <row r="5" spans="1:12" customFormat="1" ht="15.6" x14ac:dyDescent="0.3">
      <c r="C5" s="662" t="s">
        <v>230</v>
      </c>
      <c r="D5" s="662"/>
      <c r="E5" s="662"/>
    </row>
    <row r="6" spans="1:12" customFormat="1" x14ac:dyDescent="0.25"/>
    <row r="7" spans="1:12" customFormat="1" x14ac:dyDescent="0.25"/>
    <row r="8" spans="1:12" customFormat="1" x14ac:dyDescent="0.25"/>
    <row r="9" spans="1:12" customFormat="1" x14ac:dyDescent="0.25">
      <c r="A9" s="661" t="str">
        <f>"NOTE: Enter costs in year "&amp;TEXT(BasisYear,"0")&amp;" $ - Do not inflate"</f>
        <v>NOTE: Enter costs in year 2018 $ - Do not inflate</v>
      </c>
    </row>
    <row r="10" spans="1:12" customFormat="1" x14ac:dyDescent="0.25">
      <c r="A10" s="661" t="s">
        <v>1001</v>
      </c>
    </row>
    <row r="11" spans="1:12" customFormat="1" x14ac:dyDescent="0.25"/>
    <row r="12" spans="1:12" ht="13.8" thickBot="1" x14ac:dyDescent="0.3">
      <c r="A12" s="1"/>
      <c r="B12" s="1"/>
      <c r="C12" s="1"/>
      <c r="D12" s="1"/>
      <c r="E12" s="1"/>
      <c r="F12" s="1"/>
      <c r="G12" s="1"/>
      <c r="H12" s="199"/>
      <c r="I12" s="199"/>
      <c r="J12" s="199"/>
    </row>
    <row r="13" spans="1:12" ht="14.4" thickTop="1" thickBot="1" x14ac:dyDescent="0.3">
      <c r="A13" s="300" t="s">
        <v>1002</v>
      </c>
      <c r="B13" s="301"/>
      <c r="C13" s="302"/>
      <c r="D13" s="302"/>
      <c r="E13" s="302"/>
      <c r="F13" s="303"/>
      <c r="G13" s="304"/>
    </row>
    <row r="14" spans="1:12" ht="14.4" thickTop="1" thickBot="1" x14ac:dyDescent="0.3">
      <c r="A14" s="305"/>
      <c r="B14" s="306"/>
      <c r="C14" s="307" t="s">
        <v>1003</v>
      </c>
      <c r="D14" s="307"/>
      <c r="E14" s="307"/>
      <c r="F14" s="307" t="s">
        <v>1004</v>
      </c>
      <c r="G14" s="308" t="s">
        <v>1005</v>
      </c>
    </row>
    <row r="15" spans="1:12" s="196" customFormat="1" ht="93.6" thickTop="1" thickBot="1" x14ac:dyDescent="0.3">
      <c r="A15" s="309" t="s">
        <v>180</v>
      </c>
      <c r="B15" s="438">
        <f>replace_factor</f>
        <v>5.0000000000000001E-3</v>
      </c>
      <c r="C15" s="310"/>
      <c r="D15" s="310"/>
      <c r="E15" s="310"/>
      <c r="F15" s="311"/>
      <c r="G15" s="312" t="s">
        <v>1006</v>
      </c>
      <c r="I15" s="207"/>
      <c r="J15" s="197"/>
      <c r="K15" s="200"/>
    </row>
    <row r="16" spans="1:12" ht="54" thickTop="1" thickBot="1" x14ac:dyDescent="0.3">
      <c r="A16" s="313" t="s">
        <v>1007</v>
      </c>
      <c r="B16" s="314" t="s">
        <v>37</v>
      </c>
      <c r="C16" s="315" t="s">
        <v>1008</v>
      </c>
      <c r="D16" s="315" t="s">
        <v>1009</v>
      </c>
      <c r="E16" s="315" t="s">
        <v>1189</v>
      </c>
      <c r="F16" s="315" t="s">
        <v>1009</v>
      </c>
      <c r="G16" s="315" t="s">
        <v>1010</v>
      </c>
      <c r="H16" s="315" t="s">
        <v>1048</v>
      </c>
      <c r="I16" s="315" t="s">
        <v>1049</v>
      </c>
      <c r="J16" s="315" t="s">
        <v>1050</v>
      </c>
      <c r="K16" s="316" t="s">
        <v>1051</v>
      </c>
      <c r="L16" s="317" t="s">
        <v>1052</v>
      </c>
    </row>
    <row r="17" spans="1:12" ht="14.4" thickTop="1" thickBot="1" x14ac:dyDescent="0.3">
      <c r="A17" s="318"/>
      <c r="B17" s="319"/>
      <c r="C17" s="319"/>
      <c r="D17" s="319" t="str">
        <f>"Year "&amp;TEXT(BasisYear,"0")&amp;" $"</f>
        <v>Year 2018 $</v>
      </c>
      <c r="E17" s="319" t="str">
        <f>"Year "&amp;TEXT(ref_year,"0")&amp;" $"</f>
        <v>Year 2016 $</v>
      </c>
      <c r="F17" s="319" t="str">
        <f>"Year "&amp;TEXT(ref_year,"0")&amp;" $"</f>
        <v>Year 2016 $</v>
      </c>
      <c r="G17" s="319" t="str">
        <f>"Year "&amp;TEXT(ref_year,"0")&amp;" $"</f>
        <v>Year 2016 $</v>
      </c>
      <c r="H17" s="319" t="s">
        <v>1053</v>
      </c>
      <c r="I17" s="319"/>
      <c r="J17" s="319"/>
      <c r="K17" s="320"/>
      <c r="L17" s="321"/>
    </row>
    <row r="18" spans="1:12" ht="13.8" thickTop="1" x14ac:dyDescent="0.25">
      <c r="A18" s="86">
        <f>IF(C18&lt;&gt;"",'Cash Flow Analysis'!A65,"")</f>
        <v>2012</v>
      </c>
      <c r="B18" s="289">
        <f>construct+1</f>
        <v>4</v>
      </c>
      <c r="C18" s="289">
        <v>1</v>
      </c>
      <c r="D18" s="419"/>
      <c r="E18" s="201">
        <v>0</v>
      </c>
      <c r="F18" s="201">
        <f t="shared" ref="F18:F57" si="0">(D18)*CPIinflator*CEPCIinflator+E18</f>
        <v>0</v>
      </c>
      <c r="G18" s="201">
        <f ca="1">IF(C18&gt;anal_period,0,IF(replace_factor&lt;&gt;"",replace_factor*depr_cap,0))</f>
        <v>3867060.5388592649</v>
      </c>
      <c r="H18" s="202">
        <f ca="1">(F18+G18)*((1+inflation_rate)^(startup_year-ref_year))</f>
        <v>3794956.3678697404</v>
      </c>
      <c r="I18" s="322"/>
      <c r="J18" s="323"/>
      <c r="K18" s="324"/>
      <c r="L18" s="325"/>
    </row>
    <row r="19" spans="1:12" x14ac:dyDescent="0.25">
      <c r="A19" s="88">
        <f>IF(C19&lt;&gt;"",'Cash Flow Analysis'!A66,"")</f>
        <v>2013</v>
      </c>
      <c r="B19" s="290">
        <f t="shared" ref="B19:B57" si="1">IF(B18&lt;anal_period+construct,B18+1,"")</f>
        <v>5</v>
      </c>
      <c r="C19" s="290">
        <f t="shared" ref="C19:C57" si="2">IF(B19="","",C18+1)</f>
        <v>2</v>
      </c>
      <c r="D19" s="420"/>
      <c r="E19" s="203">
        <v>0</v>
      </c>
      <c r="F19" s="203">
        <f t="shared" si="0"/>
        <v>0</v>
      </c>
      <c r="G19" s="203">
        <f t="shared" ref="G19:G57" ca="1" si="3">IF(C19&gt;anal_period,0,IF(replace_factor&lt;&gt;"",replace_factor*depr_cap,0))</f>
        <v>3867060.5388592649</v>
      </c>
      <c r="H19" s="204">
        <f t="shared" ref="H19:H57" ca="1" si="4">(F19+G19)*((1+inflation_rate)^(startup_year-ref_year))</f>
        <v>3794956.3678697404</v>
      </c>
      <c r="I19" s="326"/>
      <c r="J19" s="327"/>
      <c r="K19" s="328"/>
      <c r="L19" s="329"/>
    </row>
    <row r="20" spans="1:12" x14ac:dyDescent="0.25">
      <c r="A20" s="88">
        <f>IF(C20&lt;&gt;"",'Cash Flow Analysis'!A67,"")</f>
        <v>2014</v>
      </c>
      <c r="B20" s="290">
        <f t="shared" si="1"/>
        <v>6</v>
      </c>
      <c r="C20" s="290">
        <f t="shared" si="2"/>
        <v>3</v>
      </c>
      <c r="D20" s="420"/>
      <c r="E20" s="203">
        <v>0</v>
      </c>
      <c r="F20" s="203">
        <f t="shared" si="0"/>
        <v>0</v>
      </c>
      <c r="G20" s="203">
        <f t="shared" ca="1" si="3"/>
        <v>3867060.5388592649</v>
      </c>
      <c r="H20" s="204">
        <f t="shared" ca="1" si="4"/>
        <v>3794956.3678697404</v>
      </c>
      <c r="I20" s="326"/>
      <c r="J20" s="327"/>
      <c r="K20" s="328"/>
      <c r="L20" s="329"/>
    </row>
    <row r="21" spans="1:12" x14ac:dyDescent="0.25">
      <c r="A21" s="88">
        <f>IF(C21&lt;&gt;"",'Cash Flow Analysis'!A68,"")</f>
        <v>2015</v>
      </c>
      <c r="B21" s="290">
        <f t="shared" si="1"/>
        <v>7</v>
      </c>
      <c r="C21" s="290">
        <f t="shared" si="2"/>
        <v>4</v>
      </c>
      <c r="D21" s="420"/>
      <c r="E21" s="203">
        <v>0</v>
      </c>
      <c r="F21" s="203">
        <f t="shared" si="0"/>
        <v>0</v>
      </c>
      <c r="G21" s="203">
        <f t="shared" ca="1" si="3"/>
        <v>3867060.5388592649</v>
      </c>
      <c r="H21" s="204">
        <f t="shared" ca="1" si="4"/>
        <v>3794956.3678697404</v>
      </c>
      <c r="I21" s="326"/>
      <c r="J21" s="327"/>
      <c r="K21" s="328"/>
      <c r="L21" s="329"/>
    </row>
    <row r="22" spans="1:12" x14ac:dyDescent="0.25">
      <c r="A22" s="88">
        <f>IF(C22&lt;&gt;"",'Cash Flow Analysis'!A69,"")</f>
        <v>2016</v>
      </c>
      <c r="B22" s="290">
        <f t="shared" si="1"/>
        <v>8</v>
      </c>
      <c r="C22" s="290">
        <f t="shared" si="2"/>
        <v>5</v>
      </c>
      <c r="D22" s="420"/>
      <c r="E22" s="203">
        <v>0</v>
      </c>
      <c r="F22" s="203">
        <f t="shared" si="0"/>
        <v>0</v>
      </c>
      <c r="G22" s="203">
        <f t="shared" ca="1" si="3"/>
        <v>3867060.5388592649</v>
      </c>
      <c r="H22" s="204">
        <f t="shared" ca="1" si="4"/>
        <v>3794956.3678697404</v>
      </c>
      <c r="I22" s="326"/>
      <c r="J22" s="327"/>
      <c r="K22" s="711"/>
      <c r="L22" s="712"/>
    </row>
    <row r="23" spans="1:12" x14ac:dyDescent="0.25">
      <c r="A23" s="88">
        <f>IF(C23&lt;&gt;"",'Cash Flow Analysis'!A70,"")</f>
        <v>2017</v>
      </c>
      <c r="B23" s="290">
        <f t="shared" si="1"/>
        <v>9</v>
      </c>
      <c r="C23" s="290">
        <f t="shared" si="2"/>
        <v>6</v>
      </c>
      <c r="D23" s="420"/>
      <c r="E23" s="203">
        <v>0</v>
      </c>
      <c r="F23" s="203">
        <f t="shared" si="0"/>
        <v>0</v>
      </c>
      <c r="G23" s="203">
        <f t="shared" ca="1" si="3"/>
        <v>3867060.5388592649</v>
      </c>
      <c r="H23" s="204">
        <f t="shared" ca="1" si="4"/>
        <v>3794956.3678697404</v>
      </c>
      <c r="I23" s="326"/>
      <c r="J23" s="327"/>
      <c r="K23" s="328"/>
      <c r="L23" s="329"/>
    </row>
    <row r="24" spans="1:12" x14ac:dyDescent="0.25">
      <c r="A24" s="88">
        <f>IF(C24&lt;&gt;"",'Cash Flow Analysis'!A71,"")</f>
        <v>2018</v>
      </c>
      <c r="B24" s="290">
        <f t="shared" si="1"/>
        <v>10</v>
      </c>
      <c r="C24" s="290">
        <f t="shared" si="2"/>
        <v>7</v>
      </c>
      <c r="D24" s="420"/>
      <c r="E24" s="203">
        <v>0</v>
      </c>
      <c r="F24" s="203">
        <f t="shared" si="0"/>
        <v>0</v>
      </c>
      <c r="G24" s="203">
        <f t="shared" ca="1" si="3"/>
        <v>3867060.5388592649</v>
      </c>
      <c r="H24" s="204">
        <f t="shared" ca="1" si="4"/>
        <v>3794956.3678697404</v>
      </c>
      <c r="I24" s="326"/>
      <c r="J24" s="327"/>
      <c r="K24" s="328"/>
      <c r="L24" s="329"/>
    </row>
    <row r="25" spans="1:12" x14ac:dyDescent="0.25">
      <c r="A25" s="88">
        <f>IF(C25&lt;&gt;"",'Cash Flow Analysis'!A72,"")</f>
        <v>2019</v>
      </c>
      <c r="B25" s="290">
        <f t="shared" si="1"/>
        <v>11</v>
      </c>
      <c r="C25" s="290">
        <f t="shared" si="2"/>
        <v>8</v>
      </c>
      <c r="D25" s="420"/>
      <c r="E25" s="203">
        <v>0</v>
      </c>
      <c r="F25" s="203">
        <f t="shared" si="0"/>
        <v>0</v>
      </c>
      <c r="G25" s="203">
        <f t="shared" ca="1" si="3"/>
        <v>3867060.5388592649</v>
      </c>
      <c r="H25" s="204">
        <f t="shared" ca="1" si="4"/>
        <v>3794956.3678697404</v>
      </c>
      <c r="I25" s="326"/>
      <c r="J25" s="327"/>
      <c r="K25" s="328"/>
      <c r="L25" s="329"/>
    </row>
    <row r="26" spans="1:12" x14ac:dyDescent="0.25">
      <c r="A26" s="88">
        <f>IF(C26&lt;&gt;"",'Cash Flow Analysis'!A73,"")</f>
        <v>2020</v>
      </c>
      <c r="B26" s="290">
        <f t="shared" si="1"/>
        <v>12</v>
      </c>
      <c r="C26" s="290">
        <f t="shared" si="2"/>
        <v>9</v>
      </c>
      <c r="D26" s="420"/>
      <c r="E26" s="203">
        <v>0</v>
      </c>
      <c r="F26" s="203">
        <f t="shared" si="0"/>
        <v>0</v>
      </c>
      <c r="G26" s="203">
        <f t="shared" ca="1" si="3"/>
        <v>3867060.5388592649</v>
      </c>
      <c r="H26" s="204">
        <f t="shared" ca="1" si="4"/>
        <v>3794956.3678697404</v>
      </c>
      <c r="I26" s="326"/>
      <c r="J26" s="327"/>
      <c r="K26" s="328"/>
      <c r="L26" s="329"/>
    </row>
    <row r="27" spans="1:12" x14ac:dyDescent="0.25">
      <c r="A27" s="88">
        <f>IF(C27&lt;&gt;"",'Cash Flow Analysis'!A74,"")</f>
        <v>2021</v>
      </c>
      <c r="B27" s="290">
        <f t="shared" si="1"/>
        <v>13</v>
      </c>
      <c r="C27" s="290">
        <f t="shared" si="2"/>
        <v>10</v>
      </c>
      <c r="D27" s="420"/>
      <c r="E27" s="203">
        <v>0</v>
      </c>
      <c r="F27" s="203">
        <f t="shared" si="0"/>
        <v>0</v>
      </c>
      <c r="G27" s="203">
        <f t="shared" ca="1" si="3"/>
        <v>3867060.5388592649</v>
      </c>
      <c r="H27" s="204">
        <f t="shared" ca="1" si="4"/>
        <v>3794956.3678697404</v>
      </c>
      <c r="I27" s="326"/>
      <c r="J27" s="327"/>
      <c r="K27" s="328"/>
      <c r="L27" s="329"/>
    </row>
    <row r="28" spans="1:12" x14ac:dyDescent="0.25">
      <c r="A28" s="88">
        <f>IF(C28&lt;&gt;"",'Cash Flow Analysis'!A75,"")</f>
        <v>2022</v>
      </c>
      <c r="B28" s="290">
        <f t="shared" si="1"/>
        <v>14</v>
      </c>
      <c r="C28" s="290">
        <f t="shared" si="2"/>
        <v>11</v>
      </c>
      <c r="D28" s="420"/>
      <c r="E28" s="203">
        <v>0</v>
      </c>
      <c r="F28" s="203">
        <f t="shared" si="0"/>
        <v>0</v>
      </c>
      <c r="G28" s="203">
        <f t="shared" ca="1" si="3"/>
        <v>3867060.5388592649</v>
      </c>
      <c r="H28" s="204">
        <f t="shared" ca="1" si="4"/>
        <v>3794956.3678697404</v>
      </c>
      <c r="I28" s="326"/>
      <c r="J28" s="327"/>
      <c r="K28" s="328"/>
      <c r="L28" s="329"/>
    </row>
    <row r="29" spans="1:12" x14ac:dyDescent="0.25">
      <c r="A29" s="88">
        <f>IF(C29&lt;&gt;"",'Cash Flow Analysis'!A76,"")</f>
        <v>2023</v>
      </c>
      <c r="B29" s="290">
        <f t="shared" si="1"/>
        <v>15</v>
      </c>
      <c r="C29" s="290">
        <f t="shared" si="2"/>
        <v>12</v>
      </c>
      <c r="D29" s="420"/>
      <c r="E29" s="203">
        <v>0</v>
      </c>
      <c r="F29" s="203">
        <f t="shared" si="0"/>
        <v>0</v>
      </c>
      <c r="G29" s="203">
        <f t="shared" ca="1" si="3"/>
        <v>3867060.5388592649</v>
      </c>
      <c r="H29" s="204">
        <f t="shared" ca="1" si="4"/>
        <v>3794956.3678697404</v>
      </c>
      <c r="I29" s="326"/>
      <c r="J29" s="327"/>
      <c r="K29" s="328"/>
      <c r="L29" s="329"/>
    </row>
    <row r="30" spans="1:12" x14ac:dyDescent="0.25">
      <c r="A30" s="88">
        <f>IF(C30&lt;&gt;"",'Cash Flow Analysis'!A77,"")</f>
        <v>2024</v>
      </c>
      <c r="B30" s="290">
        <f t="shared" si="1"/>
        <v>16</v>
      </c>
      <c r="C30" s="290">
        <f t="shared" si="2"/>
        <v>13</v>
      </c>
      <c r="D30" s="420"/>
      <c r="E30" s="203">
        <v>0</v>
      </c>
      <c r="F30" s="203">
        <f t="shared" si="0"/>
        <v>0</v>
      </c>
      <c r="G30" s="203">
        <f t="shared" ca="1" si="3"/>
        <v>3867060.5388592649</v>
      </c>
      <c r="H30" s="204">
        <f t="shared" ca="1" si="4"/>
        <v>3794956.3678697404</v>
      </c>
      <c r="I30" s="326"/>
      <c r="J30" s="327"/>
      <c r="K30" s="328"/>
      <c r="L30" s="329"/>
    </row>
    <row r="31" spans="1:12" x14ac:dyDescent="0.25">
      <c r="A31" s="88">
        <f>IF(C31&lt;&gt;"",'Cash Flow Analysis'!A78,"")</f>
        <v>2025</v>
      </c>
      <c r="B31" s="290">
        <f t="shared" si="1"/>
        <v>17</v>
      </c>
      <c r="C31" s="290">
        <f t="shared" si="2"/>
        <v>14</v>
      </c>
      <c r="D31" s="420"/>
      <c r="E31" s="203">
        <v>0</v>
      </c>
      <c r="F31" s="203">
        <f t="shared" si="0"/>
        <v>0</v>
      </c>
      <c r="G31" s="203">
        <f t="shared" ca="1" si="3"/>
        <v>3867060.5388592649</v>
      </c>
      <c r="H31" s="204">
        <f t="shared" ca="1" si="4"/>
        <v>3794956.3678697404</v>
      </c>
      <c r="I31" s="326"/>
      <c r="J31" s="327"/>
      <c r="K31" s="328"/>
      <c r="L31" s="329"/>
    </row>
    <row r="32" spans="1:12" x14ac:dyDescent="0.25">
      <c r="A32" s="88">
        <f>IF(C32&lt;&gt;"",'Cash Flow Analysis'!A79,"")</f>
        <v>2026</v>
      </c>
      <c r="B32" s="290">
        <f t="shared" si="1"/>
        <v>18</v>
      </c>
      <c r="C32" s="290">
        <f t="shared" si="2"/>
        <v>15</v>
      </c>
      <c r="D32" s="420"/>
      <c r="E32" s="203">
        <v>0</v>
      </c>
      <c r="F32" s="203">
        <f t="shared" si="0"/>
        <v>0</v>
      </c>
      <c r="G32" s="203">
        <f t="shared" ca="1" si="3"/>
        <v>3867060.5388592649</v>
      </c>
      <c r="H32" s="204">
        <f t="shared" ca="1" si="4"/>
        <v>3794956.3678697404</v>
      </c>
      <c r="I32" s="326"/>
      <c r="J32" s="327"/>
      <c r="K32" s="328"/>
      <c r="L32" s="329"/>
    </row>
    <row r="33" spans="1:12" x14ac:dyDescent="0.25">
      <c r="A33" s="88">
        <f>IF(C33&lt;&gt;"",'Cash Flow Analysis'!A80,"")</f>
        <v>2027</v>
      </c>
      <c r="B33" s="290">
        <f t="shared" si="1"/>
        <v>19</v>
      </c>
      <c r="C33" s="290">
        <f t="shared" si="2"/>
        <v>16</v>
      </c>
      <c r="D33" s="420"/>
      <c r="E33" s="203">
        <v>0</v>
      </c>
      <c r="F33" s="203">
        <f t="shared" si="0"/>
        <v>0</v>
      </c>
      <c r="G33" s="203">
        <f t="shared" ca="1" si="3"/>
        <v>3867060.5388592649</v>
      </c>
      <c r="H33" s="204">
        <f t="shared" ca="1" si="4"/>
        <v>3794956.3678697404</v>
      </c>
      <c r="I33" s="326"/>
      <c r="J33" s="327"/>
      <c r="K33" s="328"/>
      <c r="L33" s="329"/>
    </row>
    <row r="34" spans="1:12" x14ac:dyDescent="0.25">
      <c r="A34" s="88">
        <f>IF(C34&lt;&gt;"",'Cash Flow Analysis'!A81,"")</f>
        <v>2028</v>
      </c>
      <c r="B34" s="290">
        <f t="shared" si="1"/>
        <v>20</v>
      </c>
      <c r="C34" s="290">
        <f t="shared" si="2"/>
        <v>17</v>
      </c>
      <c r="D34" s="420"/>
      <c r="E34" s="203">
        <v>0</v>
      </c>
      <c r="F34" s="203">
        <f t="shared" si="0"/>
        <v>0</v>
      </c>
      <c r="G34" s="203">
        <f t="shared" ca="1" si="3"/>
        <v>3867060.5388592649</v>
      </c>
      <c r="H34" s="204">
        <f t="shared" ca="1" si="4"/>
        <v>3794956.3678697404</v>
      </c>
      <c r="I34" s="326"/>
      <c r="J34" s="327"/>
      <c r="K34" s="328"/>
      <c r="L34" s="329"/>
    </row>
    <row r="35" spans="1:12" x14ac:dyDescent="0.25">
      <c r="A35" s="88">
        <f>IF(C35&lt;&gt;"",'Cash Flow Analysis'!A82,"")</f>
        <v>2029</v>
      </c>
      <c r="B35" s="290">
        <f t="shared" si="1"/>
        <v>21</v>
      </c>
      <c r="C35" s="290">
        <f t="shared" si="2"/>
        <v>18</v>
      </c>
      <c r="D35" s="420"/>
      <c r="E35" s="203">
        <v>0</v>
      </c>
      <c r="F35" s="203">
        <f t="shared" si="0"/>
        <v>0</v>
      </c>
      <c r="G35" s="203">
        <f t="shared" ca="1" si="3"/>
        <v>3867060.5388592649</v>
      </c>
      <c r="H35" s="204">
        <f t="shared" ca="1" si="4"/>
        <v>3794956.3678697404</v>
      </c>
      <c r="I35" s="326"/>
      <c r="J35" s="327"/>
      <c r="K35" s="328"/>
      <c r="L35" s="329"/>
    </row>
    <row r="36" spans="1:12" x14ac:dyDescent="0.25">
      <c r="A36" s="88">
        <f>IF(C36&lt;&gt;"",'Cash Flow Analysis'!A83,"")</f>
        <v>2030</v>
      </c>
      <c r="B36" s="290">
        <f t="shared" si="1"/>
        <v>22</v>
      </c>
      <c r="C36" s="290">
        <f t="shared" si="2"/>
        <v>19</v>
      </c>
      <c r="D36" s="420"/>
      <c r="E36" s="203">
        <v>0</v>
      </c>
      <c r="F36" s="203">
        <f t="shared" si="0"/>
        <v>0</v>
      </c>
      <c r="G36" s="203">
        <f t="shared" ca="1" si="3"/>
        <v>3867060.5388592649</v>
      </c>
      <c r="H36" s="204">
        <f t="shared" ca="1" si="4"/>
        <v>3794956.3678697404</v>
      </c>
      <c r="I36" s="326"/>
      <c r="J36" s="327"/>
      <c r="K36" s="328"/>
      <c r="L36" s="329"/>
    </row>
    <row r="37" spans="1:12" x14ac:dyDescent="0.25">
      <c r="A37" s="88">
        <f>IF(C37&lt;&gt;"",'Cash Flow Analysis'!A84,"")</f>
        <v>2031</v>
      </c>
      <c r="B37" s="290">
        <f t="shared" si="1"/>
        <v>23</v>
      </c>
      <c r="C37" s="290">
        <f t="shared" si="2"/>
        <v>20</v>
      </c>
      <c r="D37" s="420"/>
      <c r="E37" s="203">
        <v>0</v>
      </c>
      <c r="F37" s="203">
        <f t="shared" si="0"/>
        <v>0</v>
      </c>
      <c r="G37" s="203">
        <f t="shared" ca="1" si="3"/>
        <v>3867060.5388592649</v>
      </c>
      <c r="H37" s="204">
        <f t="shared" ca="1" si="4"/>
        <v>3794956.3678697404</v>
      </c>
      <c r="I37" s="326"/>
      <c r="J37" s="327"/>
      <c r="K37" s="328"/>
      <c r="L37" s="329"/>
    </row>
    <row r="38" spans="1:12" x14ac:dyDescent="0.25">
      <c r="A38" s="88">
        <f>IF(C38&lt;&gt;"",'Cash Flow Analysis'!A85,"")</f>
        <v>2032</v>
      </c>
      <c r="B38" s="290">
        <f t="shared" si="1"/>
        <v>24</v>
      </c>
      <c r="C38" s="290">
        <f t="shared" si="2"/>
        <v>21</v>
      </c>
      <c r="D38" s="420"/>
      <c r="E38" s="203">
        <v>0</v>
      </c>
      <c r="F38" s="203">
        <f t="shared" si="0"/>
        <v>0</v>
      </c>
      <c r="G38" s="203">
        <f t="shared" ca="1" si="3"/>
        <v>3867060.5388592649</v>
      </c>
      <c r="H38" s="204">
        <f t="shared" ca="1" si="4"/>
        <v>3794956.3678697404</v>
      </c>
      <c r="I38" s="326"/>
      <c r="J38" s="327"/>
      <c r="K38" s="328"/>
      <c r="L38" s="329"/>
    </row>
    <row r="39" spans="1:12" x14ac:dyDescent="0.25">
      <c r="A39" s="88">
        <f>IF(C39&lt;&gt;"",'Cash Flow Analysis'!A86,"")</f>
        <v>2033</v>
      </c>
      <c r="B39" s="290">
        <f t="shared" si="1"/>
        <v>25</v>
      </c>
      <c r="C39" s="290">
        <f t="shared" si="2"/>
        <v>22</v>
      </c>
      <c r="D39" s="420"/>
      <c r="E39" s="203">
        <v>0</v>
      </c>
      <c r="F39" s="203">
        <f t="shared" si="0"/>
        <v>0</v>
      </c>
      <c r="G39" s="203">
        <f t="shared" ca="1" si="3"/>
        <v>3867060.5388592649</v>
      </c>
      <c r="H39" s="204">
        <f t="shared" ca="1" si="4"/>
        <v>3794956.3678697404</v>
      </c>
      <c r="I39" s="326"/>
      <c r="J39" s="327"/>
      <c r="K39" s="328"/>
      <c r="L39" s="329"/>
    </row>
    <row r="40" spans="1:12" x14ac:dyDescent="0.25">
      <c r="A40" s="88">
        <f>IF(C40&lt;&gt;"",'Cash Flow Analysis'!A87,"")</f>
        <v>2034</v>
      </c>
      <c r="B40" s="290">
        <f t="shared" si="1"/>
        <v>26</v>
      </c>
      <c r="C40" s="290">
        <f t="shared" si="2"/>
        <v>23</v>
      </c>
      <c r="D40" s="420"/>
      <c r="E40" s="203">
        <v>0</v>
      </c>
      <c r="F40" s="203">
        <f t="shared" si="0"/>
        <v>0</v>
      </c>
      <c r="G40" s="203">
        <f t="shared" ca="1" si="3"/>
        <v>3867060.5388592649</v>
      </c>
      <c r="H40" s="204">
        <f t="shared" ca="1" si="4"/>
        <v>3794956.3678697404</v>
      </c>
      <c r="I40" s="326"/>
      <c r="J40" s="327"/>
      <c r="K40" s="328"/>
      <c r="L40" s="329"/>
    </row>
    <row r="41" spans="1:12" x14ac:dyDescent="0.25">
      <c r="A41" s="88">
        <f>IF(C41&lt;&gt;"",'Cash Flow Analysis'!A88,"")</f>
        <v>2035</v>
      </c>
      <c r="B41" s="290">
        <f t="shared" si="1"/>
        <v>27</v>
      </c>
      <c r="C41" s="290">
        <f t="shared" si="2"/>
        <v>24</v>
      </c>
      <c r="D41" s="420"/>
      <c r="E41" s="203">
        <v>0</v>
      </c>
      <c r="F41" s="203">
        <f t="shared" si="0"/>
        <v>0</v>
      </c>
      <c r="G41" s="203">
        <f t="shared" ca="1" si="3"/>
        <v>3867060.5388592649</v>
      </c>
      <c r="H41" s="204">
        <f t="shared" ca="1" si="4"/>
        <v>3794956.3678697404</v>
      </c>
      <c r="I41" s="326"/>
      <c r="J41" s="327"/>
      <c r="K41" s="328"/>
      <c r="L41" s="329"/>
    </row>
    <row r="42" spans="1:12" x14ac:dyDescent="0.25">
      <c r="A42" s="88">
        <f>IF(C42&lt;&gt;"",'Cash Flow Analysis'!A89,"")</f>
        <v>2036</v>
      </c>
      <c r="B42" s="290">
        <f t="shared" si="1"/>
        <v>28</v>
      </c>
      <c r="C42" s="290">
        <f t="shared" si="2"/>
        <v>25</v>
      </c>
      <c r="D42" s="420"/>
      <c r="E42" s="203">
        <v>0</v>
      </c>
      <c r="F42" s="203">
        <f t="shared" si="0"/>
        <v>0</v>
      </c>
      <c r="G42" s="203">
        <f t="shared" ca="1" si="3"/>
        <v>3867060.5388592649</v>
      </c>
      <c r="H42" s="204">
        <f t="shared" ca="1" si="4"/>
        <v>3794956.3678697404</v>
      </c>
      <c r="I42" s="326"/>
      <c r="J42" s="327"/>
      <c r="K42" s="328"/>
      <c r="L42" s="329"/>
    </row>
    <row r="43" spans="1:12" x14ac:dyDescent="0.25">
      <c r="A43" s="88">
        <f>IF(C43&lt;&gt;"",'Cash Flow Analysis'!A90,"")</f>
        <v>2037</v>
      </c>
      <c r="B43" s="290">
        <f t="shared" si="1"/>
        <v>29</v>
      </c>
      <c r="C43" s="290">
        <f t="shared" si="2"/>
        <v>26</v>
      </c>
      <c r="D43" s="420"/>
      <c r="E43" s="203">
        <v>0</v>
      </c>
      <c r="F43" s="203">
        <f t="shared" si="0"/>
        <v>0</v>
      </c>
      <c r="G43" s="203">
        <f t="shared" ca="1" si="3"/>
        <v>3867060.5388592649</v>
      </c>
      <c r="H43" s="204">
        <f t="shared" ca="1" si="4"/>
        <v>3794956.3678697404</v>
      </c>
      <c r="I43" s="326"/>
      <c r="J43" s="327"/>
      <c r="K43" s="328"/>
      <c r="L43" s="329"/>
    </row>
    <row r="44" spans="1:12" x14ac:dyDescent="0.25">
      <c r="A44" s="88">
        <f>IF(C44&lt;&gt;"",'Cash Flow Analysis'!A91,"")</f>
        <v>2038</v>
      </c>
      <c r="B44" s="290">
        <f t="shared" si="1"/>
        <v>30</v>
      </c>
      <c r="C44" s="290">
        <f t="shared" si="2"/>
        <v>27</v>
      </c>
      <c r="D44" s="420"/>
      <c r="E44" s="203">
        <v>0</v>
      </c>
      <c r="F44" s="203">
        <f t="shared" si="0"/>
        <v>0</v>
      </c>
      <c r="G44" s="203">
        <f t="shared" ca="1" si="3"/>
        <v>3867060.5388592649</v>
      </c>
      <c r="H44" s="204">
        <f t="shared" ca="1" si="4"/>
        <v>3794956.3678697404</v>
      </c>
      <c r="I44" s="326"/>
      <c r="J44" s="327"/>
      <c r="K44" s="328"/>
      <c r="L44" s="329"/>
    </row>
    <row r="45" spans="1:12" x14ac:dyDescent="0.25">
      <c r="A45" s="88">
        <f>IF(C45&lt;&gt;"",'Cash Flow Analysis'!A92,"")</f>
        <v>2039</v>
      </c>
      <c r="B45" s="290">
        <f t="shared" si="1"/>
        <v>31</v>
      </c>
      <c r="C45" s="290">
        <f t="shared" si="2"/>
        <v>28</v>
      </c>
      <c r="D45" s="420"/>
      <c r="E45" s="203">
        <v>0</v>
      </c>
      <c r="F45" s="203">
        <f t="shared" si="0"/>
        <v>0</v>
      </c>
      <c r="G45" s="203">
        <f t="shared" ca="1" si="3"/>
        <v>3867060.5388592649</v>
      </c>
      <c r="H45" s="204">
        <f t="shared" ca="1" si="4"/>
        <v>3794956.3678697404</v>
      </c>
      <c r="I45" s="326"/>
      <c r="J45" s="327"/>
      <c r="K45" s="328"/>
      <c r="L45" s="329"/>
    </row>
    <row r="46" spans="1:12" x14ac:dyDescent="0.25">
      <c r="A46" s="88">
        <f>IF(C46&lt;&gt;"",'Cash Flow Analysis'!A93,"")</f>
        <v>2040</v>
      </c>
      <c r="B46" s="290">
        <f t="shared" si="1"/>
        <v>32</v>
      </c>
      <c r="C46" s="290">
        <f t="shared" si="2"/>
        <v>29</v>
      </c>
      <c r="D46" s="420"/>
      <c r="E46" s="203">
        <v>0</v>
      </c>
      <c r="F46" s="203">
        <f t="shared" si="0"/>
        <v>0</v>
      </c>
      <c r="G46" s="203">
        <f t="shared" ca="1" si="3"/>
        <v>3867060.5388592649</v>
      </c>
      <c r="H46" s="204">
        <f t="shared" ca="1" si="4"/>
        <v>3794956.3678697404</v>
      </c>
      <c r="I46" s="326"/>
      <c r="J46" s="327"/>
      <c r="K46" s="328"/>
      <c r="L46" s="329"/>
    </row>
    <row r="47" spans="1:12" x14ac:dyDescent="0.25">
      <c r="A47" s="88">
        <f>IF(C47&lt;&gt;"",'Cash Flow Analysis'!A94,"")</f>
        <v>2041</v>
      </c>
      <c r="B47" s="290">
        <f t="shared" si="1"/>
        <v>33</v>
      </c>
      <c r="C47" s="290">
        <f t="shared" si="2"/>
        <v>30</v>
      </c>
      <c r="D47" s="420"/>
      <c r="E47" s="203">
        <v>0</v>
      </c>
      <c r="F47" s="203">
        <f t="shared" si="0"/>
        <v>0</v>
      </c>
      <c r="G47" s="203">
        <f t="shared" ca="1" si="3"/>
        <v>3867060.5388592649</v>
      </c>
      <c r="H47" s="204">
        <f t="shared" ca="1" si="4"/>
        <v>3794956.3678697404</v>
      </c>
      <c r="I47" s="326"/>
      <c r="J47" s="327"/>
      <c r="K47" s="328"/>
      <c r="L47" s="329"/>
    </row>
    <row r="48" spans="1:12" x14ac:dyDescent="0.25">
      <c r="A48" s="88">
        <f>IF(C48&lt;&gt;"",'Cash Flow Analysis'!A95,"")</f>
        <v>2042</v>
      </c>
      <c r="B48" s="290">
        <f t="shared" si="1"/>
        <v>34</v>
      </c>
      <c r="C48" s="290">
        <f t="shared" si="2"/>
        <v>31</v>
      </c>
      <c r="D48" s="420"/>
      <c r="E48" s="203">
        <v>0</v>
      </c>
      <c r="F48" s="203">
        <f t="shared" si="0"/>
        <v>0</v>
      </c>
      <c r="G48" s="203">
        <f t="shared" ca="1" si="3"/>
        <v>3867060.5388592649</v>
      </c>
      <c r="H48" s="204">
        <f t="shared" ca="1" si="4"/>
        <v>3794956.3678697404</v>
      </c>
      <c r="I48" s="326"/>
      <c r="J48" s="327"/>
      <c r="K48" s="328"/>
      <c r="L48" s="329"/>
    </row>
    <row r="49" spans="1:12" x14ac:dyDescent="0.25">
      <c r="A49" s="88">
        <f>IF(C49&lt;&gt;"",'Cash Flow Analysis'!A96,"")</f>
        <v>2043</v>
      </c>
      <c r="B49" s="290">
        <f t="shared" si="1"/>
        <v>35</v>
      </c>
      <c r="C49" s="290">
        <f t="shared" si="2"/>
        <v>32</v>
      </c>
      <c r="D49" s="420"/>
      <c r="E49" s="203">
        <v>0</v>
      </c>
      <c r="F49" s="203">
        <f t="shared" si="0"/>
        <v>0</v>
      </c>
      <c r="G49" s="203">
        <f t="shared" ca="1" si="3"/>
        <v>3867060.5388592649</v>
      </c>
      <c r="H49" s="204">
        <f t="shared" ca="1" si="4"/>
        <v>3794956.3678697404</v>
      </c>
      <c r="I49" s="326"/>
      <c r="J49" s="327"/>
      <c r="K49" s="328"/>
      <c r="L49" s="329"/>
    </row>
    <row r="50" spans="1:12" x14ac:dyDescent="0.25">
      <c r="A50" s="88">
        <f>IF(C50&lt;&gt;"",'Cash Flow Analysis'!A97,"")</f>
        <v>2044</v>
      </c>
      <c r="B50" s="290">
        <f t="shared" si="1"/>
        <v>36</v>
      </c>
      <c r="C50" s="290">
        <f t="shared" si="2"/>
        <v>33</v>
      </c>
      <c r="D50" s="420"/>
      <c r="E50" s="203">
        <v>0</v>
      </c>
      <c r="F50" s="203">
        <f t="shared" si="0"/>
        <v>0</v>
      </c>
      <c r="G50" s="203">
        <f t="shared" ca="1" si="3"/>
        <v>3867060.5388592649</v>
      </c>
      <c r="H50" s="204">
        <f t="shared" ca="1" si="4"/>
        <v>3794956.3678697404</v>
      </c>
      <c r="I50" s="326"/>
      <c r="J50" s="327"/>
      <c r="K50" s="328"/>
      <c r="L50" s="329"/>
    </row>
    <row r="51" spans="1:12" x14ac:dyDescent="0.25">
      <c r="A51" s="88">
        <f>IF(C51&lt;&gt;"",'Cash Flow Analysis'!A98,"")</f>
        <v>2045</v>
      </c>
      <c r="B51" s="290">
        <f t="shared" si="1"/>
        <v>37</v>
      </c>
      <c r="C51" s="290">
        <f t="shared" si="2"/>
        <v>34</v>
      </c>
      <c r="D51" s="420"/>
      <c r="E51" s="203">
        <v>0</v>
      </c>
      <c r="F51" s="203">
        <f t="shared" si="0"/>
        <v>0</v>
      </c>
      <c r="G51" s="203">
        <f t="shared" ca="1" si="3"/>
        <v>3867060.5388592649</v>
      </c>
      <c r="H51" s="204">
        <f t="shared" ca="1" si="4"/>
        <v>3794956.3678697404</v>
      </c>
      <c r="I51" s="326"/>
      <c r="J51" s="327"/>
      <c r="K51" s="328"/>
      <c r="L51" s="329"/>
    </row>
    <row r="52" spans="1:12" x14ac:dyDescent="0.25">
      <c r="A52" s="88">
        <f>IF(C52&lt;&gt;"",'Cash Flow Analysis'!A99,"")</f>
        <v>2046</v>
      </c>
      <c r="B52" s="290">
        <f t="shared" si="1"/>
        <v>38</v>
      </c>
      <c r="C52" s="290">
        <f t="shared" si="2"/>
        <v>35</v>
      </c>
      <c r="D52" s="420"/>
      <c r="E52" s="203">
        <v>0</v>
      </c>
      <c r="F52" s="203">
        <f t="shared" si="0"/>
        <v>0</v>
      </c>
      <c r="G52" s="203">
        <f t="shared" ca="1" si="3"/>
        <v>3867060.5388592649</v>
      </c>
      <c r="H52" s="204">
        <f t="shared" ca="1" si="4"/>
        <v>3794956.3678697404</v>
      </c>
      <c r="I52" s="326"/>
      <c r="J52" s="327"/>
      <c r="K52" s="328"/>
      <c r="L52" s="329"/>
    </row>
    <row r="53" spans="1:12" x14ac:dyDescent="0.25">
      <c r="A53" s="88">
        <f>IF(C53&lt;&gt;"",'Cash Flow Analysis'!A100,"")</f>
        <v>2047</v>
      </c>
      <c r="B53" s="290">
        <f t="shared" si="1"/>
        <v>39</v>
      </c>
      <c r="C53" s="290">
        <f t="shared" si="2"/>
        <v>36</v>
      </c>
      <c r="D53" s="420"/>
      <c r="E53" s="203">
        <v>0</v>
      </c>
      <c r="F53" s="203">
        <f t="shared" si="0"/>
        <v>0</v>
      </c>
      <c r="G53" s="203">
        <f t="shared" ca="1" si="3"/>
        <v>3867060.5388592649</v>
      </c>
      <c r="H53" s="204">
        <f t="shared" ca="1" si="4"/>
        <v>3794956.3678697404</v>
      </c>
      <c r="I53" s="326"/>
      <c r="J53" s="327"/>
      <c r="K53" s="328"/>
      <c r="L53" s="329"/>
    </row>
    <row r="54" spans="1:12" x14ac:dyDescent="0.25">
      <c r="A54" s="88">
        <f>IF(C54&lt;&gt;"",'Cash Flow Analysis'!A101,"")</f>
        <v>2048</v>
      </c>
      <c r="B54" s="290">
        <f t="shared" si="1"/>
        <v>40</v>
      </c>
      <c r="C54" s="290">
        <f t="shared" si="2"/>
        <v>37</v>
      </c>
      <c r="D54" s="420"/>
      <c r="E54" s="203">
        <v>0</v>
      </c>
      <c r="F54" s="203">
        <f t="shared" si="0"/>
        <v>0</v>
      </c>
      <c r="G54" s="203">
        <f t="shared" ca="1" si="3"/>
        <v>3867060.5388592649</v>
      </c>
      <c r="H54" s="204">
        <f t="shared" ca="1" si="4"/>
        <v>3794956.3678697404</v>
      </c>
      <c r="I54" s="326"/>
      <c r="J54" s="327"/>
      <c r="K54" s="328"/>
      <c r="L54" s="329"/>
    </row>
    <row r="55" spans="1:12" x14ac:dyDescent="0.25">
      <c r="A55" s="88">
        <f>IF(C55&lt;&gt;"",'Cash Flow Analysis'!A102,"")</f>
        <v>2049</v>
      </c>
      <c r="B55" s="290">
        <f t="shared" si="1"/>
        <v>41</v>
      </c>
      <c r="C55" s="290">
        <f t="shared" si="2"/>
        <v>38</v>
      </c>
      <c r="D55" s="420"/>
      <c r="E55" s="203">
        <v>0</v>
      </c>
      <c r="F55" s="203">
        <f t="shared" si="0"/>
        <v>0</v>
      </c>
      <c r="G55" s="203">
        <f t="shared" ca="1" si="3"/>
        <v>3867060.5388592649</v>
      </c>
      <c r="H55" s="204">
        <f t="shared" ca="1" si="4"/>
        <v>3794956.3678697404</v>
      </c>
      <c r="I55" s="326"/>
      <c r="J55" s="327"/>
      <c r="K55" s="328"/>
      <c r="L55" s="329"/>
    </row>
    <row r="56" spans="1:12" x14ac:dyDescent="0.25">
      <c r="A56" s="88">
        <f>IF(C56&lt;&gt;"",'Cash Flow Analysis'!A103,"")</f>
        <v>2050</v>
      </c>
      <c r="B56" s="290">
        <f t="shared" si="1"/>
        <v>42</v>
      </c>
      <c r="C56" s="290">
        <f t="shared" si="2"/>
        <v>39</v>
      </c>
      <c r="D56" s="420"/>
      <c r="E56" s="203">
        <v>0</v>
      </c>
      <c r="F56" s="203">
        <f t="shared" si="0"/>
        <v>0</v>
      </c>
      <c r="G56" s="203">
        <f t="shared" ca="1" si="3"/>
        <v>3867060.5388592649</v>
      </c>
      <c r="H56" s="204">
        <f t="shared" ca="1" si="4"/>
        <v>3794956.3678697404</v>
      </c>
      <c r="I56" s="326"/>
      <c r="J56" s="327"/>
      <c r="K56" s="328"/>
      <c r="L56" s="329"/>
    </row>
    <row r="57" spans="1:12" ht="13.8" thickBot="1" x14ac:dyDescent="0.3">
      <c r="A57" s="90">
        <f>IF(C57&lt;&gt;"",'Cash Flow Analysis'!A104,"")</f>
        <v>2051</v>
      </c>
      <c r="B57" s="291">
        <f t="shared" si="1"/>
        <v>43</v>
      </c>
      <c r="C57" s="291">
        <f t="shared" si="2"/>
        <v>40</v>
      </c>
      <c r="D57" s="421"/>
      <c r="E57" s="205">
        <v>0</v>
      </c>
      <c r="F57" s="205">
        <f t="shared" si="0"/>
        <v>0</v>
      </c>
      <c r="G57" s="205">
        <f t="shared" ca="1" si="3"/>
        <v>3867060.5388592649</v>
      </c>
      <c r="H57" s="206">
        <f t="shared" ca="1" si="4"/>
        <v>3794956.3678697404</v>
      </c>
      <c r="I57" s="330"/>
      <c r="J57" s="331"/>
      <c r="K57" s="332"/>
      <c r="L57" s="333"/>
    </row>
    <row r="58" spans="1:12" ht="13.8"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48"/>
  <sheetViews>
    <sheetView workbookViewId="0">
      <selection activeCell="B20" sqref="B20"/>
    </sheetView>
  </sheetViews>
  <sheetFormatPr defaultRowHeight="13.2" x14ac:dyDescent="0.25"/>
  <cols>
    <col min="2" max="2" width="38.33203125" customWidth="1"/>
    <col min="3" max="3" width="19.6640625" customWidth="1"/>
    <col min="4" max="5" width="18.6640625" customWidth="1"/>
    <col min="6" max="6" width="22.5546875" customWidth="1"/>
    <col min="7" max="7" width="87.33203125" customWidth="1"/>
    <col min="8" max="8" width="27.33203125" customWidth="1"/>
  </cols>
  <sheetData>
    <row r="1" spans="1:8" x14ac:dyDescent="0.25">
      <c r="A1" s="281"/>
      <c r="B1" s="281"/>
      <c r="C1" s="281"/>
      <c r="D1" s="281"/>
      <c r="E1" s="281"/>
      <c r="F1" s="281"/>
      <c r="G1" s="281"/>
      <c r="H1" s="281"/>
    </row>
    <row r="2" spans="1:8" ht="22.5" customHeight="1" x14ac:dyDescent="0.5">
      <c r="A2" s="281"/>
      <c r="B2" s="292" t="s">
        <v>80</v>
      </c>
      <c r="C2" s="281"/>
      <c r="D2" s="281"/>
      <c r="E2" s="281"/>
      <c r="F2" s="1460"/>
      <c r="G2" s="1460"/>
      <c r="H2" s="1460"/>
    </row>
    <row r="3" spans="1:8" x14ac:dyDescent="0.25">
      <c r="A3" s="281"/>
      <c r="B3" s="281"/>
      <c r="C3" s="281"/>
      <c r="D3" s="281"/>
      <c r="E3" s="281"/>
      <c r="F3" s="1460"/>
      <c r="G3" s="1460"/>
      <c r="H3" s="1460"/>
    </row>
    <row r="4" spans="1:8" ht="15.6" x14ac:dyDescent="0.3">
      <c r="A4" s="281"/>
      <c r="B4" s="281"/>
      <c r="C4" s="1200" t="s">
        <v>230</v>
      </c>
      <c r="D4" s="281"/>
      <c r="E4" s="281"/>
      <c r="F4" s="1460"/>
      <c r="G4" s="1460"/>
      <c r="H4" s="1460"/>
    </row>
    <row r="5" spans="1:8" ht="15.6" x14ac:dyDescent="0.3">
      <c r="A5" s="281"/>
      <c r="B5" s="281"/>
      <c r="C5" s="1200"/>
      <c r="D5" s="281"/>
      <c r="E5" s="281"/>
      <c r="F5" s="281"/>
      <c r="G5" s="281"/>
      <c r="H5" s="281"/>
    </row>
    <row r="6" spans="1:8" ht="16.2" thickBot="1" x14ac:dyDescent="0.35">
      <c r="A6" s="281"/>
      <c r="B6" s="281"/>
      <c r="C6" s="1200"/>
      <c r="D6" s="281"/>
      <c r="E6" s="281"/>
      <c r="F6" s="281"/>
      <c r="G6" s="281"/>
      <c r="H6" s="281"/>
    </row>
    <row r="7" spans="1:8" ht="27" thickBot="1" x14ac:dyDescent="0.3">
      <c r="A7" s="281"/>
      <c r="B7" s="703" t="s">
        <v>808</v>
      </c>
      <c r="C7" s="1278">
        <v>660000</v>
      </c>
      <c r="D7" s="1461" t="s">
        <v>809</v>
      </c>
      <c r="E7" s="1462"/>
      <c r="F7" s="1462"/>
      <c r="G7" s="1462"/>
      <c r="H7" s="1463"/>
    </row>
    <row r="8" spans="1:8" ht="13.8" thickBot="1" x14ac:dyDescent="0.3">
      <c r="A8" s="281"/>
      <c r="B8" s="281"/>
      <c r="C8" s="281"/>
      <c r="D8" s="1459" t="s">
        <v>1003</v>
      </c>
      <c r="E8" s="1457"/>
      <c r="F8" s="1457"/>
      <c r="G8" s="1457"/>
      <c r="H8" s="1457"/>
    </row>
    <row r="9" spans="1:8" x14ac:dyDescent="0.25">
      <c r="A9" s="281"/>
      <c r="B9" s="1" t="s">
        <v>822</v>
      </c>
      <c r="C9" s="1201">
        <f>BasisYear</f>
        <v>2018</v>
      </c>
      <c r="D9" s="1464"/>
      <c r="E9" s="1465"/>
      <c r="F9" s="1465"/>
      <c r="G9" s="1465"/>
      <c r="H9" s="1466"/>
    </row>
    <row r="10" spans="1:8" x14ac:dyDescent="0.25">
      <c r="A10" s="281"/>
      <c r="B10" s="1" t="s">
        <v>758</v>
      </c>
      <c r="C10" s="1279">
        <v>2018</v>
      </c>
      <c r="D10" s="1453"/>
      <c r="E10" s="1454"/>
      <c r="F10" s="1454"/>
      <c r="G10" s="1454"/>
      <c r="H10" s="1455"/>
    </row>
    <row r="11" spans="1:8" x14ac:dyDescent="0.25">
      <c r="A11" s="281"/>
      <c r="B11" s="1" t="str">
        <f>"CEPCI Inflator ("&amp;BasisYear&amp;" to "&amp;CurrentYear&amp;")"</f>
        <v>CEPCI Inflator (2018 to 2018)</v>
      </c>
      <c r="C11" s="1202">
        <f>VLOOKUP(CurrentYear,Tbl_PlantCostIndexes,2,FALSE)/VLOOKUP(BasisYear,Tbl_PlantCostIndexes,2,FALSE)</f>
        <v>1</v>
      </c>
      <c r="D11" s="1453" t="s">
        <v>802</v>
      </c>
      <c r="E11" s="1454"/>
      <c r="F11" s="1454"/>
      <c r="G11" s="1454"/>
      <c r="H11" s="1455"/>
    </row>
    <row r="12" spans="1:8" ht="13.8" thickBot="1" x14ac:dyDescent="0.3">
      <c r="A12" s="281"/>
      <c r="B12" s="1" t="str">
        <f>"Consumer Price Inflator ("&amp;CurrentYear&amp;" to "&amp;ref_year&amp;")"</f>
        <v>Consumer Price Inflator (2018 to 2016)</v>
      </c>
      <c r="C12" s="1203">
        <f>VLOOKUP(ref_year,DeflatorTable,2,FALSE)/VLOOKUP(CurrentYear,DeflatorTable,2,FALSE)</f>
        <v>0.9584831859169165</v>
      </c>
      <c r="D12" s="1456" t="s">
        <v>803</v>
      </c>
      <c r="E12" s="1457"/>
      <c r="F12" s="1457"/>
      <c r="G12" s="1457"/>
      <c r="H12" s="1458"/>
    </row>
    <row r="13" spans="1:8" ht="13.8" thickBot="1" x14ac:dyDescent="0.3">
      <c r="A13" s="281"/>
      <c r="B13" s="281"/>
      <c r="C13" s="281"/>
      <c r="D13" s="281"/>
      <c r="E13" s="281"/>
      <c r="F13" s="281"/>
      <c r="G13" s="281"/>
      <c r="H13" s="281"/>
    </row>
    <row r="14" spans="1:8" ht="16.8" thickTop="1" thickBot="1" x14ac:dyDescent="0.35">
      <c r="A14" s="281"/>
      <c r="B14" s="1204" t="str">
        <f xml:space="preserve"> "CAPITAL INVESTMENT (Inputs REQUIRED in Basis Year, (" &amp; BasisYear &amp; ") $)"</f>
        <v>CAPITAL INVESTMENT (Inputs REQUIRED in Basis Year, (2018) $)</v>
      </c>
      <c r="C14" s="1205"/>
      <c r="D14" s="1205"/>
      <c r="E14" s="1205"/>
      <c r="F14" s="1205"/>
      <c r="G14" s="1205"/>
      <c r="H14" s="1206"/>
    </row>
    <row r="15" spans="1:8" ht="41.4" thickTop="1" thickBot="1" x14ac:dyDescent="0.35">
      <c r="A15" s="281"/>
      <c r="B15" s="1207" t="s">
        <v>652</v>
      </c>
      <c r="C15" s="1208" t="str">
        <f>"Baseline Uninstalled Costs $"&amp;BasisYear&amp;" Dollars"</f>
        <v>Baseline Uninstalled Costs $2018 Dollars</v>
      </c>
      <c r="D15" s="1208" t="str">
        <f>"Baseline Uninstalled Costs $"&amp;ref_year&amp;" Dollars"</f>
        <v>Baseline Uninstalled Costs $2016 Dollars</v>
      </c>
      <c r="E15" s="1208" t="s">
        <v>653</v>
      </c>
      <c r="F15" s="1209" t="s">
        <v>1033</v>
      </c>
      <c r="G15" s="1208" t="s">
        <v>1003</v>
      </c>
      <c r="H15" s="1210" t="s">
        <v>655</v>
      </c>
    </row>
    <row r="16" spans="1:8" x14ac:dyDescent="0.25">
      <c r="A16" s="281"/>
      <c r="B16" s="1275" t="s">
        <v>1368</v>
      </c>
      <c r="C16" s="1276">
        <v>3274000</v>
      </c>
      <c r="D16" s="1211">
        <f>C16*CEPCIinflator*CPIinflator</f>
        <v>3138073.9506919845</v>
      </c>
      <c r="E16" s="1277">
        <v>2.1692119731215636</v>
      </c>
      <c r="F16" s="1211">
        <f>D16*E16</f>
        <v>6807147.5863819402</v>
      </c>
      <c r="G16" s="1212"/>
      <c r="H16" s="1213"/>
    </row>
    <row r="17" spans="1:8" x14ac:dyDescent="0.25">
      <c r="A17" s="281"/>
      <c r="B17" s="983" t="s">
        <v>1297</v>
      </c>
      <c r="C17" s="1110">
        <v>23054000</v>
      </c>
      <c r="D17" s="1211">
        <f t="shared" ref="D17:D35" si="0">C17*CEPCIinflator*CPIinflator</f>
        <v>22096871.368128594</v>
      </c>
      <c r="E17" s="984">
        <v>1.3476186345102801</v>
      </c>
      <c r="F17" s="1211">
        <f t="shared" ref="F17:F35" si="1">D17*E17</f>
        <v>29778155.620066762</v>
      </c>
      <c r="G17" s="1109"/>
      <c r="H17" s="1119"/>
    </row>
    <row r="18" spans="1:8" x14ac:dyDescent="0.25">
      <c r="A18" s="281"/>
      <c r="B18" s="983" t="s">
        <v>1287</v>
      </c>
      <c r="C18" s="1110">
        <v>42423000</v>
      </c>
      <c r="D18" s="1211">
        <f t="shared" si="0"/>
        <v>40661732.19615335</v>
      </c>
      <c r="E18" s="984">
        <v>1.5482639134431793</v>
      </c>
      <c r="F18" s="1211">
        <f t="shared" si="1"/>
        <v>62955092.617394909</v>
      </c>
      <c r="G18" s="1109"/>
      <c r="H18" s="1119"/>
    </row>
    <row r="19" spans="1:8" x14ac:dyDescent="0.25">
      <c r="A19" s="281"/>
      <c r="B19" s="983" t="s">
        <v>1369</v>
      </c>
      <c r="C19" s="1110">
        <v>7051000</v>
      </c>
      <c r="D19" s="1211">
        <f t="shared" si="0"/>
        <v>6758264.9439001782</v>
      </c>
      <c r="E19" s="984">
        <v>1.4793646291306197</v>
      </c>
      <c r="F19" s="1211">
        <f t="shared" si="1"/>
        <v>9997938.1122993547</v>
      </c>
      <c r="G19" s="1109"/>
      <c r="H19" s="1119"/>
    </row>
    <row r="20" spans="1:8" x14ac:dyDescent="0.25">
      <c r="A20" s="281"/>
      <c r="B20" s="983" t="s">
        <v>1370</v>
      </c>
      <c r="C20" s="1110">
        <v>35825000</v>
      </c>
      <c r="D20" s="1211">
        <f t="shared" si="0"/>
        <v>34337660.135473534</v>
      </c>
      <c r="E20" s="984">
        <v>1.2125889741800417</v>
      </c>
      <c r="F20" s="1211">
        <f t="shared" si="1"/>
        <v>41637468.079416767</v>
      </c>
      <c r="G20" s="1109"/>
      <c r="H20" s="1119"/>
    </row>
    <row r="21" spans="1:8" ht="13.8" x14ac:dyDescent="0.3">
      <c r="A21" s="281"/>
      <c r="B21" s="983" t="s">
        <v>1288</v>
      </c>
      <c r="C21" s="1110">
        <v>20163000</v>
      </c>
      <c r="D21" s="1211">
        <f t="shared" si="0"/>
        <v>19325896.477642786</v>
      </c>
      <c r="E21" s="984">
        <v>1.0792540792540792</v>
      </c>
      <c r="F21" s="1211">
        <f t="shared" si="1"/>
        <v>20857552.608738016</v>
      </c>
      <c r="G21" s="1109" t="s">
        <v>1290</v>
      </c>
      <c r="H21" s="1119"/>
    </row>
    <row r="22" spans="1:8" x14ac:dyDescent="0.25">
      <c r="A22" s="281"/>
      <c r="B22" s="983" t="s">
        <v>1289</v>
      </c>
      <c r="C22" s="1110">
        <v>11200000</v>
      </c>
      <c r="D22" s="1211">
        <f t="shared" si="0"/>
        <v>10735011.682269465</v>
      </c>
      <c r="E22" s="984">
        <v>1.1575</v>
      </c>
      <c r="F22" s="1211">
        <f t="shared" si="1"/>
        <v>12425776.022226905</v>
      </c>
      <c r="G22" s="1109"/>
      <c r="H22" s="1119"/>
    </row>
    <row r="23" spans="1:8" x14ac:dyDescent="0.25">
      <c r="A23" s="281"/>
      <c r="B23" s="983" t="s">
        <v>1371</v>
      </c>
      <c r="C23" s="1110">
        <v>173839000</v>
      </c>
      <c r="D23" s="1211">
        <f t="shared" si="0"/>
        <v>166621758.55661085</v>
      </c>
      <c r="E23" s="984">
        <v>1.445590460138404</v>
      </c>
      <c r="F23" s="1211">
        <f t="shared" si="1"/>
        <v>240866824.62092113</v>
      </c>
      <c r="G23" s="1109"/>
      <c r="H23" s="1119"/>
    </row>
    <row r="24" spans="1:8" x14ac:dyDescent="0.25">
      <c r="A24" s="281"/>
      <c r="B24" s="983" t="s">
        <v>1419</v>
      </c>
      <c r="C24" s="1110">
        <f>(43958+2052)*1000</f>
        <v>46010000</v>
      </c>
      <c r="D24" s="1211">
        <f t="shared" si="0"/>
        <v>44099811.384037331</v>
      </c>
      <c r="E24" s="984">
        <v>1.1186305308556519</v>
      </c>
      <c r="F24" s="1211">
        <f t="shared" si="1"/>
        <v>49331395.4191598</v>
      </c>
      <c r="G24" s="1109"/>
      <c r="H24" s="1119"/>
    </row>
    <row r="25" spans="1:8" x14ac:dyDescent="0.25">
      <c r="A25" s="281"/>
      <c r="B25" s="983"/>
      <c r="C25" s="1110"/>
      <c r="D25" s="1211">
        <f t="shared" si="0"/>
        <v>0</v>
      </c>
      <c r="E25" s="984"/>
      <c r="F25" s="1211">
        <f t="shared" si="1"/>
        <v>0</v>
      </c>
      <c r="G25" s="1109"/>
      <c r="H25" s="1119"/>
    </row>
    <row r="26" spans="1:8" x14ac:dyDescent="0.25">
      <c r="A26" s="281"/>
      <c r="B26" s="983"/>
      <c r="C26" s="1110"/>
      <c r="D26" s="1211">
        <f t="shared" si="0"/>
        <v>0</v>
      </c>
      <c r="E26" s="984"/>
      <c r="F26" s="1211">
        <f t="shared" si="1"/>
        <v>0</v>
      </c>
      <c r="G26" s="1109"/>
      <c r="H26" s="1119"/>
    </row>
    <row r="27" spans="1:8" x14ac:dyDescent="0.25">
      <c r="A27" s="281"/>
      <c r="B27" s="983"/>
      <c r="C27" s="1110"/>
      <c r="D27" s="1211">
        <f t="shared" si="0"/>
        <v>0</v>
      </c>
      <c r="E27" s="984"/>
      <c r="F27" s="1211">
        <f t="shared" si="1"/>
        <v>0</v>
      </c>
      <c r="G27" s="1109"/>
      <c r="H27" s="1119"/>
    </row>
    <row r="28" spans="1:8" x14ac:dyDescent="0.25">
      <c r="A28" s="281"/>
      <c r="B28" s="983"/>
      <c r="C28" s="1110"/>
      <c r="D28" s="1211">
        <f t="shared" si="0"/>
        <v>0</v>
      </c>
      <c r="E28" s="1214"/>
      <c r="F28" s="1211">
        <f t="shared" si="1"/>
        <v>0</v>
      </c>
      <c r="G28" s="1109"/>
      <c r="H28" s="1119"/>
    </row>
    <row r="29" spans="1:8" x14ac:dyDescent="0.25">
      <c r="A29" s="281"/>
      <c r="B29" s="983"/>
      <c r="C29" s="1110"/>
      <c r="D29" s="1211">
        <f t="shared" si="0"/>
        <v>0</v>
      </c>
      <c r="E29" s="1214"/>
      <c r="F29" s="1211">
        <f t="shared" si="1"/>
        <v>0</v>
      </c>
      <c r="G29" s="1109"/>
      <c r="H29" s="1119"/>
    </row>
    <row r="30" spans="1:8" x14ac:dyDescent="0.25">
      <c r="A30" s="281"/>
      <c r="B30" s="983"/>
      <c r="C30" s="1110"/>
      <c r="D30" s="1211">
        <f t="shared" si="0"/>
        <v>0</v>
      </c>
      <c r="E30" s="984"/>
      <c r="F30" s="1211">
        <f t="shared" si="1"/>
        <v>0</v>
      </c>
      <c r="G30" s="1109"/>
      <c r="H30" s="1119"/>
    </row>
    <row r="31" spans="1:8" x14ac:dyDescent="0.25">
      <c r="A31" s="281"/>
      <c r="B31" s="983"/>
      <c r="C31" s="1110"/>
      <c r="D31" s="1211">
        <f t="shared" si="0"/>
        <v>0</v>
      </c>
      <c r="E31" s="984"/>
      <c r="F31" s="1211">
        <f t="shared" si="1"/>
        <v>0</v>
      </c>
      <c r="G31" s="1109"/>
      <c r="H31" s="1119"/>
    </row>
    <row r="32" spans="1:8" x14ac:dyDescent="0.25">
      <c r="A32" s="281"/>
      <c r="B32" s="983"/>
      <c r="C32" s="1110"/>
      <c r="D32" s="1211">
        <f t="shared" si="0"/>
        <v>0</v>
      </c>
      <c r="E32" s="984"/>
      <c r="F32" s="1211">
        <f t="shared" si="1"/>
        <v>0</v>
      </c>
      <c r="G32" s="1109"/>
      <c r="H32" s="1119"/>
    </row>
    <row r="33" spans="1:8" x14ac:dyDescent="0.25">
      <c r="A33" s="281"/>
      <c r="B33" s="983"/>
      <c r="C33" s="1110"/>
      <c r="D33" s="1211">
        <f t="shared" si="0"/>
        <v>0</v>
      </c>
      <c r="E33" s="984"/>
      <c r="F33" s="1211">
        <f t="shared" si="1"/>
        <v>0</v>
      </c>
      <c r="G33" s="1109"/>
      <c r="H33" s="1119"/>
    </row>
    <row r="34" spans="1:8" x14ac:dyDescent="0.25">
      <c r="A34" s="281"/>
      <c r="B34" s="983"/>
      <c r="C34" s="1110"/>
      <c r="D34" s="1211">
        <f t="shared" si="0"/>
        <v>0</v>
      </c>
      <c r="E34" s="984"/>
      <c r="F34" s="1211">
        <f t="shared" si="1"/>
        <v>0</v>
      </c>
      <c r="G34" s="1109"/>
      <c r="H34" s="1119"/>
    </row>
    <row r="35" spans="1:8" ht="13.8" thickBot="1" x14ac:dyDescent="0.3">
      <c r="A35" s="281"/>
      <c r="B35" s="1215"/>
      <c r="C35" s="1110"/>
      <c r="D35" s="1211">
        <f t="shared" si="0"/>
        <v>0</v>
      </c>
      <c r="E35" s="1216"/>
      <c r="F35" s="1211">
        <f t="shared" si="1"/>
        <v>0</v>
      </c>
      <c r="G35" s="1217"/>
      <c r="H35" s="1218"/>
    </row>
    <row r="36" spans="1:8" ht="13.8" thickBot="1" x14ac:dyDescent="0.3">
      <c r="A36" s="281"/>
      <c r="B36" s="1219"/>
      <c r="C36" s="1220">
        <f>SUM(C16:C35)</f>
        <v>362839000</v>
      </c>
      <c r="D36" s="1221">
        <f>SUM(D16:D35)</f>
        <v>347775080.69490808</v>
      </c>
      <c r="E36" s="1222"/>
      <c r="F36" s="1221">
        <f>SUM(F16:F35)</f>
        <v>474657350.68660557</v>
      </c>
      <c r="G36" s="1223"/>
      <c r="H36" s="1224"/>
    </row>
    <row r="37" spans="1:8" ht="13.8" thickTop="1" x14ac:dyDescent="0.25">
      <c r="A37" s="281"/>
      <c r="B37" s="281"/>
      <c r="C37" s="1225"/>
      <c r="D37" s="1225"/>
      <c r="E37" s="281"/>
      <c r="F37" s="281"/>
      <c r="G37" s="281"/>
      <c r="H37" s="281"/>
    </row>
    <row r="38" spans="1:8" x14ac:dyDescent="0.25">
      <c r="A38" s="281"/>
      <c r="B38" s="281"/>
      <c r="C38" s="1226"/>
      <c r="D38" s="281"/>
      <c r="E38" s="281"/>
      <c r="F38" s="281"/>
      <c r="G38" s="281"/>
      <c r="H38" s="281"/>
    </row>
    <row r="39" spans="1:8" x14ac:dyDescent="0.25">
      <c r="A39" s="281"/>
      <c r="B39" s="281"/>
      <c r="C39" s="281"/>
      <c r="D39" s="281"/>
      <c r="E39" s="281"/>
      <c r="F39" s="281"/>
      <c r="G39" s="281"/>
      <c r="H39" s="281"/>
    </row>
    <row r="40" spans="1:8" x14ac:dyDescent="0.25">
      <c r="A40" s="281"/>
      <c r="B40" s="281"/>
      <c r="C40" s="281"/>
      <c r="D40" s="281"/>
      <c r="E40" s="281"/>
      <c r="F40" s="281"/>
      <c r="G40" s="281"/>
      <c r="H40" s="281"/>
    </row>
    <row r="41" spans="1:8" x14ac:dyDescent="0.25">
      <c r="A41" s="281"/>
      <c r="B41" s="281"/>
      <c r="C41" s="281"/>
      <c r="D41" s="281"/>
      <c r="E41" s="281"/>
      <c r="F41" s="281"/>
      <c r="G41" s="281"/>
      <c r="H41" s="281"/>
    </row>
    <row r="42" spans="1:8" x14ac:dyDescent="0.25">
      <c r="A42" s="281"/>
      <c r="B42" s="281"/>
      <c r="C42" s="281"/>
      <c r="D42" s="281"/>
      <c r="E42" s="281"/>
      <c r="F42" s="281"/>
      <c r="G42" s="281"/>
      <c r="H42" s="281"/>
    </row>
    <row r="43" spans="1:8" x14ac:dyDescent="0.25">
      <c r="A43" s="281"/>
      <c r="B43" s="281"/>
      <c r="C43" s="281"/>
      <c r="D43" s="281"/>
      <c r="E43" s="281"/>
      <c r="F43" s="281"/>
      <c r="G43" s="281"/>
      <c r="H43" s="281"/>
    </row>
    <row r="44" spans="1:8" x14ac:dyDescent="0.25">
      <c r="A44" s="281"/>
      <c r="B44" s="281"/>
      <c r="C44" s="281"/>
      <c r="D44" s="281"/>
      <c r="E44" s="281"/>
      <c r="F44" s="281"/>
      <c r="G44" s="281"/>
      <c r="H44" s="281"/>
    </row>
    <row r="45" spans="1:8" x14ac:dyDescent="0.25">
      <c r="A45" s="281"/>
      <c r="B45" s="281"/>
      <c r="C45" s="281"/>
      <c r="D45" s="281"/>
      <c r="E45" s="281"/>
      <c r="F45" s="281"/>
      <c r="G45" s="281"/>
      <c r="H45" s="281"/>
    </row>
    <row r="46" spans="1:8" x14ac:dyDescent="0.25">
      <c r="A46" s="281"/>
      <c r="B46" s="281"/>
      <c r="C46" s="281"/>
      <c r="D46" s="281"/>
      <c r="E46" s="281"/>
      <c r="F46" s="281"/>
      <c r="G46" s="281"/>
      <c r="H46" s="281"/>
    </row>
    <row r="47" spans="1:8" x14ac:dyDescent="0.25">
      <c r="A47" s="281"/>
      <c r="B47" s="281"/>
      <c r="C47" s="281"/>
      <c r="D47" s="281"/>
      <c r="E47" s="281"/>
      <c r="F47" s="281"/>
      <c r="G47" s="281"/>
      <c r="H47" s="281"/>
    </row>
    <row r="48" spans="1:8" x14ac:dyDescent="0.25">
      <c r="A48" s="281"/>
      <c r="B48" s="281"/>
      <c r="C48" s="281"/>
      <c r="D48" s="281"/>
      <c r="E48" s="281"/>
      <c r="F48" s="281"/>
      <c r="G48" s="281"/>
      <c r="H48" s="281"/>
    </row>
  </sheetData>
  <mergeCells count="7">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38"/>
  <sheetViews>
    <sheetView workbookViewId="0"/>
  </sheetViews>
  <sheetFormatPr defaultColWidth="9.33203125" defaultRowHeight="13.2" x14ac:dyDescent="0.25"/>
  <cols>
    <col min="1" max="1" width="9.33203125" style="197"/>
    <col min="2" max="2" width="50.6640625" style="197" customWidth="1"/>
    <col min="3" max="3" width="19.6640625" style="197" customWidth="1"/>
    <col min="4" max="4" width="17" style="197" customWidth="1"/>
    <col min="5" max="7" width="18.6640625" style="197" customWidth="1"/>
    <col min="8" max="8" width="16.44140625" style="197" customWidth="1"/>
    <col min="9" max="9" width="38" style="197" customWidth="1"/>
    <col min="10" max="10" width="120.109375" style="197" customWidth="1"/>
    <col min="11" max="11" width="27.33203125" style="197" customWidth="1"/>
    <col min="12" max="16384" width="9.33203125" style="197"/>
  </cols>
  <sheetData>
    <row r="1" spans="2:11" ht="13.8" thickBot="1" x14ac:dyDescent="0.3">
      <c r="B1" s="197" t="s">
        <v>318</v>
      </c>
    </row>
    <row r="2" spans="2:11" ht="18.600000000000001" thickTop="1" thickBot="1" x14ac:dyDescent="0.35">
      <c r="B2" s="633" t="s">
        <v>828</v>
      </c>
      <c r="C2" s="634"/>
      <c r="D2" s="634"/>
      <c r="E2" s="634"/>
      <c r="F2" s="634"/>
      <c r="G2" s="634"/>
      <c r="H2" s="634"/>
      <c r="I2" s="634"/>
      <c r="J2" s="634"/>
      <c r="K2" s="635"/>
    </row>
    <row r="3" spans="2:11" ht="24" customHeight="1" thickBot="1" x14ac:dyDescent="0.3">
      <c r="B3" s="636" t="s">
        <v>658</v>
      </c>
      <c r="C3" s="637">
        <f>Baseline_Design_Capacity</f>
        <v>660000</v>
      </c>
      <c r="D3" s="1469" t="s">
        <v>810</v>
      </c>
      <c r="E3" s="1469"/>
      <c r="F3" s="1469"/>
      <c r="G3" s="638"/>
      <c r="H3" s="638"/>
      <c r="I3" s="638"/>
      <c r="J3" s="638"/>
    </row>
    <row r="4" spans="2:11" ht="29.25" customHeight="1" thickBot="1" x14ac:dyDescent="0.3">
      <c r="B4" s="636" t="s">
        <v>656</v>
      </c>
      <c r="C4" s="639">
        <f ca="1">design_cap/Baseline_Design_Capacity</f>
        <v>1</v>
      </c>
      <c r="D4" s="1470" t="s">
        <v>662</v>
      </c>
      <c r="E4" s="1470"/>
      <c r="F4" s="1470"/>
      <c r="G4" s="638"/>
      <c r="H4" s="638"/>
      <c r="I4" s="638"/>
      <c r="J4" s="638"/>
    </row>
    <row r="5" spans="2:11" ht="29.25" customHeight="1" thickBot="1" x14ac:dyDescent="0.3">
      <c r="B5" s="636" t="s">
        <v>825</v>
      </c>
      <c r="C5" s="639">
        <f ca="1">$G$27/Det_direct_cap</f>
        <v>1</v>
      </c>
      <c r="D5" s="1470" t="s">
        <v>827</v>
      </c>
      <c r="E5" s="1470"/>
      <c r="F5" s="1470"/>
      <c r="G5" s="638"/>
      <c r="H5" s="638"/>
      <c r="I5" s="638"/>
      <c r="J5" s="638"/>
    </row>
    <row r="6" spans="2:11" ht="29.25" customHeight="1" thickBot="1" x14ac:dyDescent="0.3">
      <c r="B6" s="636" t="s">
        <v>1037</v>
      </c>
      <c r="C6" s="641">
        <v>0.6</v>
      </c>
      <c r="D6" s="1470" t="s">
        <v>824</v>
      </c>
      <c r="E6" s="1470"/>
      <c r="F6" s="1470"/>
      <c r="G6" s="638"/>
      <c r="H6" s="638"/>
      <c r="I6" s="638"/>
      <c r="J6" s="638"/>
    </row>
    <row r="7" spans="2:11" ht="41.25" customHeight="1" thickBot="1" x14ac:dyDescent="0.3">
      <c r="B7" s="636" t="s">
        <v>925</v>
      </c>
      <c r="C7" s="642">
        <f>660000*0.5</f>
        <v>330000</v>
      </c>
      <c r="D7" s="1471" t="s">
        <v>901</v>
      </c>
      <c r="E7" s="1472"/>
      <c r="F7" s="1472"/>
      <c r="G7" s="638"/>
      <c r="H7" s="638"/>
      <c r="I7" s="638"/>
      <c r="J7" s="638"/>
    </row>
    <row r="8" spans="2:11" ht="42.75" customHeight="1" thickBot="1" x14ac:dyDescent="0.3">
      <c r="B8" s="636" t="s">
        <v>926</v>
      </c>
      <c r="C8" s="642">
        <f>660000*2</f>
        <v>1320000</v>
      </c>
      <c r="D8" s="1467" t="s">
        <v>900</v>
      </c>
      <c r="E8" s="1468"/>
      <c r="F8" s="1468"/>
      <c r="G8" s="638"/>
      <c r="H8" s="638"/>
      <c r="I8" s="638"/>
      <c r="J8" s="638"/>
    </row>
    <row r="9" spans="2:11" ht="15" customHeight="1" x14ac:dyDescent="0.25">
      <c r="B9" s="636"/>
      <c r="C9" s="643"/>
      <c r="D9" s="640"/>
      <c r="E9" s="640"/>
      <c r="F9" s="640"/>
      <c r="G9" s="638"/>
      <c r="H9" s="638"/>
      <c r="I9" s="638"/>
      <c r="J9" s="638"/>
    </row>
    <row r="10" spans="2:11" x14ac:dyDescent="0.25">
      <c r="B10" s="644"/>
      <c r="C10" s="638"/>
      <c r="D10" s="638"/>
      <c r="E10" s="638"/>
      <c r="F10" s="638"/>
      <c r="G10" s="638"/>
      <c r="H10" s="638"/>
      <c r="I10" s="638"/>
      <c r="J10" s="638"/>
    </row>
    <row r="11" spans="2:11" ht="16.2" thickBot="1" x14ac:dyDescent="0.35">
      <c r="B11" s="422" t="str">
        <f xml:space="preserve"> "CAPITAL INVESTMENT (Inputs REQUIRED in Reference Year, (" &amp; ref_year &amp; ") $)"</f>
        <v>CAPITAL INVESTMENT (Inputs REQUIRED in Reference Year, (2016) $)</v>
      </c>
      <c r="C11" s="423"/>
      <c r="D11" s="423"/>
      <c r="E11" s="423"/>
      <c r="F11" s="423"/>
      <c r="G11" s="424"/>
      <c r="H11" s="424"/>
      <c r="I11" s="424"/>
      <c r="J11" s="425"/>
      <c r="K11" s="645"/>
    </row>
    <row r="12" spans="2:11" ht="28.2" thickTop="1" thickBot="1" x14ac:dyDescent="0.35">
      <c r="B12" s="427" t="s">
        <v>652</v>
      </c>
      <c r="C12" s="428" t="s">
        <v>660</v>
      </c>
      <c r="D12" s="428" t="s">
        <v>654</v>
      </c>
      <c r="E12" s="428" t="s">
        <v>661</v>
      </c>
      <c r="F12" s="428" t="s">
        <v>653</v>
      </c>
      <c r="G12" s="428" t="s">
        <v>826</v>
      </c>
      <c r="H12" s="428" t="s">
        <v>1036</v>
      </c>
      <c r="I12" s="428" t="s">
        <v>1003</v>
      </c>
      <c r="J12" s="432" t="s">
        <v>655</v>
      </c>
    </row>
    <row r="13" spans="2:11" x14ac:dyDescent="0.25">
      <c r="B13" s="629" t="str">
        <f>'Capital Costs'!B16</f>
        <v>Accessory Electric Plant</v>
      </c>
      <c r="C13" s="620">
        <f>'Capital Costs'!D16</f>
        <v>3138073.9506919845</v>
      </c>
      <c r="D13" s="1280">
        <v>0.33</v>
      </c>
      <c r="E13" s="620">
        <f ca="1">IF($D13="",$C13*Scale_Ratio^Scaling_Factor_Exponent,$C13*Scale_Ratio^$D13)</f>
        <v>3138073.9506919845</v>
      </c>
      <c r="F13" s="631">
        <f>'Capital Costs'!E16</f>
        <v>2.1692119731215636</v>
      </c>
      <c r="G13" s="621">
        <f ca="1">$E13*$F13</f>
        <v>6807147.5863819402</v>
      </c>
      <c r="H13" s="620">
        <f>C13*F13</f>
        <v>6807147.5863819402</v>
      </c>
      <c r="I13" s="1113" t="s">
        <v>1296</v>
      </c>
      <c r="J13" s="773" t="s">
        <v>1298</v>
      </c>
    </row>
    <row r="14" spans="2:11" x14ac:dyDescent="0.25">
      <c r="B14" s="630" t="str">
        <f>'Capital Costs'!B17</f>
        <v>Cooling Water System</v>
      </c>
      <c r="C14" s="622">
        <f>'Capital Costs'!D17</f>
        <v>22096871.368128594</v>
      </c>
      <c r="D14" s="1281">
        <v>0.69</v>
      </c>
      <c r="E14" s="622">
        <f t="shared" ref="E14:E26" ca="1" si="0">IF($D14="",$C14*Scale_Ratio^Scaling_Factor_Exponent,$C14*Scale_Ratio^$D14)</f>
        <v>22096871.368128594</v>
      </c>
      <c r="F14" s="632">
        <f>'Capital Costs'!E17</f>
        <v>1.3476186345102801</v>
      </c>
      <c r="G14" s="623">
        <f t="shared" ref="G14:G26" ca="1" si="1">$E14*$F14</f>
        <v>29778155.620066762</v>
      </c>
      <c r="H14" s="622">
        <f t="shared" ref="H14:H26" si="2">C14*F14</f>
        <v>29778155.620066762</v>
      </c>
      <c r="I14" s="624"/>
      <c r="J14" s="773" t="s">
        <v>1298</v>
      </c>
    </row>
    <row r="15" spans="2:11" x14ac:dyDescent="0.25">
      <c r="B15" s="630" t="str">
        <f>'Capital Costs'!B18</f>
        <v>Feedwater &amp; Miscellaneous BOP Systems</v>
      </c>
      <c r="C15" s="622">
        <f>'Capital Costs'!D18</f>
        <v>40661732.19615335</v>
      </c>
      <c r="D15" s="1281">
        <v>0.54</v>
      </c>
      <c r="E15" s="622">
        <f t="shared" ca="1" si="0"/>
        <v>40661732.19615335</v>
      </c>
      <c r="F15" s="632">
        <f>'Capital Costs'!E18</f>
        <v>1.5482639134431793</v>
      </c>
      <c r="G15" s="623">
        <f t="shared" ca="1" si="1"/>
        <v>62955092.617394909</v>
      </c>
      <c r="H15" s="622">
        <f t="shared" si="2"/>
        <v>62955092.617394909</v>
      </c>
      <c r="I15" s="624"/>
      <c r="J15" s="773" t="s">
        <v>1298</v>
      </c>
    </row>
    <row r="16" spans="2:11" x14ac:dyDescent="0.25">
      <c r="B16" s="630" t="str">
        <f>'Capital Costs'!B19</f>
        <v>Fired Heater, Ductwork, &amp; Stack</v>
      </c>
      <c r="C16" s="622">
        <f>'Capital Costs'!D19</f>
        <v>6758264.9439001782</v>
      </c>
      <c r="D16" s="1281">
        <v>0.7</v>
      </c>
      <c r="E16" s="622">
        <f t="shared" ca="1" si="0"/>
        <v>6758264.9439001782</v>
      </c>
      <c r="F16" s="632">
        <f>'Capital Costs'!E19</f>
        <v>1.4793646291306197</v>
      </c>
      <c r="G16" s="623">
        <f t="shared" ca="1" si="1"/>
        <v>9997938.1122993547</v>
      </c>
      <c r="H16" s="622">
        <f t="shared" si="2"/>
        <v>9997938.1122993547</v>
      </c>
      <c r="I16" s="624"/>
      <c r="J16" s="773" t="s">
        <v>1298</v>
      </c>
    </row>
    <row r="17" spans="2:10" x14ac:dyDescent="0.25">
      <c r="B17" s="630" t="str">
        <f>'Capital Costs'!B20</f>
        <v>Flue Gas Cleanup</v>
      </c>
      <c r="C17" s="622">
        <f>'Capital Costs'!D20</f>
        <v>34337660.135473534</v>
      </c>
      <c r="D17" s="1281">
        <v>0.63</v>
      </c>
      <c r="E17" s="622">
        <f t="shared" ca="1" si="0"/>
        <v>34337660.135473534</v>
      </c>
      <c r="F17" s="632">
        <f>'Capital Costs'!E20</f>
        <v>1.2125889741800417</v>
      </c>
      <c r="G17" s="623">
        <f t="shared" ca="1" si="1"/>
        <v>41637468.079416767</v>
      </c>
      <c r="H17" s="622">
        <f t="shared" si="2"/>
        <v>41637468.079416767</v>
      </c>
      <c r="I17" s="624"/>
      <c r="J17" s="773" t="s">
        <v>1298</v>
      </c>
    </row>
    <row r="18" spans="2:10" x14ac:dyDescent="0.25">
      <c r="B18" s="630" t="str">
        <f>'Capital Costs'!B21</f>
        <v>Hydrogen Production</v>
      </c>
      <c r="C18" s="622">
        <f>'Capital Costs'!D21</f>
        <v>19325896.477642786</v>
      </c>
      <c r="D18" s="1281">
        <v>0.6</v>
      </c>
      <c r="E18" s="622">
        <f t="shared" ca="1" si="0"/>
        <v>19325896.477642786</v>
      </c>
      <c r="F18" s="632">
        <f>'Capital Costs'!E21</f>
        <v>1.0792540792540792</v>
      </c>
      <c r="G18" s="623">
        <f t="shared" ca="1" si="1"/>
        <v>20857552.608738016</v>
      </c>
      <c r="H18" s="622">
        <f t="shared" si="2"/>
        <v>20857552.608738016</v>
      </c>
      <c r="I18" s="624"/>
      <c r="J18" s="773" t="s">
        <v>1298</v>
      </c>
    </row>
    <row r="19" spans="2:10" x14ac:dyDescent="0.25">
      <c r="B19" s="630" t="str">
        <f>'Capital Costs'!B22</f>
        <v>Instrumentation &amp; Control</v>
      </c>
      <c r="C19" s="622">
        <f>'Capital Costs'!D22</f>
        <v>10735011.682269465</v>
      </c>
      <c r="D19" s="1281">
        <v>0.16</v>
      </c>
      <c r="E19" s="622">
        <f t="shared" ca="1" si="0"/>
        <v>10735011.682269465</v>
      </c>
      <c r="F19" s="632">
        <f>'Capital Costs'!E22</f>
        <v>1.1575</v>
      </c>
      <c r="G19" s="623">
        <f t="shared" ca="1" si="1"/>
        <v>12425776.022226905</v>
      </c>
      <c r="H19" s="622">
        <f t="shared" si="2"/>
        <v>12425776.022226905</v>
      </c>
      <c r="I19" s="624"/>
      <c r="J19" s="773" t="s">
        <v>1298</v>
      </c>
    </row>
    <row r="20" spans="2:10" x14ac:dyDescent="0.25">
      <c r="B20" s="630" t="str">
        <f>'Capital Costs'!B23</f>
        <v>Reformer &amp; Accessories</v>
      </c>
      <c r="C20" s="622">
        <f>'Capital Costs'!D23</f>
        <v>166621758.55661085</v>
      </c>
      <c r="D20" s="1281">
        <v>0.68</v>
      </c>
      <c r="E20" s="622">
        <f t="shared" ca="1" si="0"/>
        <v>166621758.55661085</v>
      </c>
      <c r="F20" s="632">
        <f>'Capital Costs'!E23</f>
        <v>1.445590460138404</v>
      </c>
      <c r="G20" s="623">
        <f t="shared" ca="1" si="1"/>
        <v>240866824.62092113</v>
      </c>
      <c r="H20" s="622">
        <f t="shared" si="2"/>
        <v>240866824.62092113</v>
      </c>
      <c r="I20" s="624"/>
      <c r="J20" s="773" t="s">
        <v>1298</v>
      </c>
    </row>
    <row r="21" spans="2:10" x14ac:dyDescent="0.25">
      <c r="B21" s="630" t="str">
        <f>'Capital Costs'!B24</f>
        <v>Syngas Gas Cleanup</v>
      </c>
      <c r="C21" s="622">
        <f>'Capital Costs'!D24</f>
        <v>44099811.384037331</v>
      </c>
      <c r="D21" s="1281">
        <v>0.61323605878182041</v>
      </c>
      <c r="E21" s="622">
        <f t="shared" ca="1" si="0"/>
        <v>44099811.384037331</v>
      </c>
      <c r="F21" s="632">
        <f>'Capital Costs'!E24</f>
        <v>1.1186305308556519</v>
      </c>
      <c r="G21" s="623">
        <f t="shared" ca="1" si="1"/>
        <v>49331395.4191598</v>
      </c>
      <c r="H21" s="622">
        <f t="shared" si="2"/>
        <v>49331395.4191598</v>
      </c>
      <c r="I21" s="624"/>
      <c r="J21" s="773" t="s">
        <v>1298</v>
      </c>
    </row>
    <row r="22" spans="2:10" x14ac:dyDescent="0.25">
      <c r="B22" s="630">
        <f>'Capital Costs'!B25</f>
        <v>0</v>
      </c>
      <c r="C22" s="622">
        <f>'Capital Costs'!D25</f>
        <v>0</v>
      </c>
      <c r="D22" s="1281"/>
      <c r="E22" s="622">
        <f t="shared" ca="1" si="0"/>
        <v>0</v>
      </c>
      <c r="F22" s="632">
        <f>'Capital Costs'!E25</f>
        <v>0</v>
      </c>
      <c r="G22" s="623">
        <f t="shared" ca="1" si="1"/>
        <v>0</v>
      </c>
      <c r="H22" s="622">
        <f t="shared" si="2"/>
        <v>0</v>
      </c>
      <c r="I22" s="624"/>
      <c r="J22" s="773" t="s">
        <v>1298</v>
      </c>
    </row>
    <row r="23" spans="2:10" x14ac:dyDescent="0.25">
      <c r="B23" s="630">
        <f>'Capital Costs'!B26</f>
        <v>0</v>
      </c>
      <c r="C23" s="622">
        <f>'Capital Costs'!D26</f>
        <v>0</v>
      </c>
      <c r="D23" s="1281"/>
      <c r="E23" s="622">
        <f t="shared" ca="1" si="0"/>
        <v>0</v>
      </c>
      <c r="F23" s="632">
        <f>'Capital Costs'!E26</f>
        <v>0</v>
      </c>
      <c r="G23" s="623">
        <f t="shared" ca="1" si="1"/>
        <v>0</v>
      </c>
      <c r="H23" s="622">
        <f t="shared" si="2"/>
        <v>0</v>
      </c>
      <c r="I23" s="624"/>
      <c r="J23" s="435"/>
    </row>
    <row r="24" spans="2:10" x14ac:dyDescent="0.25">
      <c r="B24" s="630"/>
      <c r="C24" s="622">
        <f>'Capital Costs'!D27</f>
        <v>0</v>
      </c>
      <c r="D24" s="1227"/>
      <c r="E24" s="622">
        <f t="shared" ca="1" si="0"/>
        <v>0</v>
      </c>
      <c r="F24" s="632">
        <f>'Capital Costs'!E27</f>
        <v>0</v>
      </c>
      <c r="G24" s="623">
        <f t="shared" ca="1" si="1"/>
        <v>0</v>
      </c>
      <c r="H24" s="622">
        <f t="shared" si="2"/>
        <v>0</v>
      </c>
      <c r="I24" s="624"/>
      <c r="J24" s="435"/>
    </row>
    <row r="25" spans="2:10" x14ac:dyDescent="0.25">
      <c r="B25" s="630"/>
      <c r="C25" s="622">
        <f>'Capital Costs'!D28</f>
        <v>0</v>
      </c>
      <c r="D25" s="1227"/>
      <c r="E25" s="622">
        <f t="shared" ca="1" si="0"/>
        <v>0</v>
      </c>
      <c r="F25" s="632">
        <f>'Capital Costs'!E28</f>
        <v>0</v>
      </c>
      <c r="G25" s="623">
        <f t="shared" ca="1" si="1"/>
        <v>0</v>
      </c>
      <c r="H25" s="622">
        <f t="shared" si="2"/>
        <v>0</v>
      </c>
      <c r="I25" s="624"/>
      <c r="J25" s="435"/>
    </row>
    <row r="26" spans="2:10" ht="13.8" thickBot="1" x14ac:dyDescent="0.3">
      <c r="B26" s="630"/>
      <c r="C26" s="622">
        <f>'Capital Costs'!D29</f>
        <v>0</v>
      </c>
      <c r="D26" s="625"/>
      <c r="E26" s="626">
        <f t="shared" ca="1" si="0"/>
        <v>0</v>
      </c>
      <c r="F26" s="632">
        <f>'Capital Costs'!E29</f>
        <v>0</v>
      </c>
      <c r="G26" s="627">
        <f t="shared" ca="1" si="1"/>
        <v>0</v>
      </c>
      <c r="H26" s="626">
        <f t="shared" si="2"/>
        <v>0</v>
      </c>
      <c r="I26" s="628"/>
      <c r="J26" s="436"/>
    </row>
    <row r="27" spans="2:10" ht="13.8" thickBot="1" x14ac:dyDescent="0.3">
      <c r="B27" s="429" t="s">
        <v>657</v>
      </c>
      <c r="C27" s="430">
        <f>SUM(C13:C26)</f>
        <v>347775080.69490808</v>
      </c>
      <c r="D27" s="433"/>
      <c r="E27" s="430">
        <f ca="1">SUM(E13:E26)</f>
        <v>347775080.69490808</v>
      </c>
      <c r="F27" s="431"/>
      <c r="G27" s="619">
        <f ca="1">SUM(G13:G26)</f>
        <v>474657350.68660557</v>
      </c>
      <c r="H27" s="1337">
        <f>SUM(H13:H26)</f>
        <v>474657350.68660557</v>
      </c>
      <c r="I27" s="311"/>
      <c r="J27" s="434"/>
    </row>
    <row r="28" spans="2:10" ht="13.8" thickTop="1" x14ac:dyDescent="0.25"/>
    <row r="38" spans="3:3" x14ac:dyDescent="0.25">
      <c r="C38" s="1114"/>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74"/>
  <sheetViews>
    <sheetView zoomScaleNormal="100" workbookViewId="0">
      <selection activeCell="C31" sqref="C31"/>
    </sheetView>
  </sheetViews>
  <sheetFormatPr defaultColWidth="9.33203125" defaultRowHeight="13.2" x14ac:dyDescent="0.25"/>
  <cols>
    <col min="1" max="1" width="7.5546875" style="29" customWidth="1"/>
    <col min="2" max="2" width="72.33203125" style="29" customWidth="1"/>
    <col min="3" max="3" width="15.6640625" style="29" customWidth="1"/>
    <col min="4" max="4" width="19.44140625" style="29" customWidth="1"/>
    <col min="5" max="5" width="16.44140625" style="29" customWidth="1"/>
    <col min="6" max="6" width="25.6640625" style="29" customWidth="1"/>
    <col min="7" max="7" width="16.109375" style="29" customWidth="1"/>
    <col min="8" max="8" width="17" style="29" customWidth="1"/>
    <col min="9" max="9" width="17.33203125" style="29" customWidth="1"/>
    <col min="10" max="10" width="19.5546875" style="29" customWidth="1"/>
    <col min="11" max="11" width="16.33203125" style="29" customWidth="1"/>
    <col min="12" max="12" width="14.6640625" style="29" bestFit="1" customWidth="1"/>
    <col min="13" max="14" width="9" style="29" bestFit="1" customWidth="1"/>
    <col min="15" max="15" width="21.33203125" style="29" customWidth="1"/>
    <col min="16" max="25" width="9" style="29" bestFit="1" customWidth="1"/>
    <col min="26" max="26" width="0.88671875" style="29" customWidth="1"/>
    <col min="27" max="27" width="10.109375" style="29" bestFit="1" customWidth="1"/>
    <col min="28" max="28" width="11.5546875" style="29" bestFit="1" customWidth="1"/>
    <col min="29" max="16384" width="9.33203125" style="29"/>
  </cols>
  <sheetData>
    <row r="1" spans="1:57" x14ac:dyDescent="0.25">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986"/>
      <c r="AE1" s="986"/>
      <c r="AF1" s="986"/>
      <c r="AG1" s="986"/>
      <c r="AH1" s="986"/>
      <c r="AI1" s="986"/>
      <c r="AJ1" s="986"/>
      <c r="AK1" s="986"/>
      <c r="AL1" s="986"/>
      <c r="AM1" s="986"/>
      <c r="AN1" s="986"/>
      <c r="AO1" s="986"/>
      <c r="AP1" s="986"/>
      <c r="AQ1" s="986"/>
      <c r="AR1" s="986"/>
      <c r="AS1" s="986"/>
      <c r="AT1" s="986"/>
      <c r="AU1" s="986"/>
      <c r="AV1" s="986"/>
      <c r="AW1" s="986"/>
      <c r="AX1" s="986"/>
      <c r="AY1" s="986"/>
      <c r="AZ1" s="986"/>
      <c r="BA1" s="986"/>
      <c r="BB1" s="986"/>
      <c r="BC1" s="986"/>
      <c r="BD1" s="986"/>
      <c r="BE1" s="986"/>
    </row>
    <row r="2" spans="1:57" ht="21" x14ac:dyDescent="0.25">
      <c r="A2" s="1232"/>
      <c r="B2" s="1282" t="s">
        <v>395</v>
      </c>
      <c r="C2" s="1232"/>
      <c r="D2" s="1232"/>
      <c r="E2" s="1232"/>
      <c r="F2" s="1232"/>
      <c r="G2" s="1232"/>
      <c r="H2" s="1232"/>
      <c r="I2" s="1232"/>
      <c r="J2" s="1232"/>
      <c r="K2" s="1232"/>
      <c r="L2" s="1232"/>
      <c r="M2" s="1232"/>
      <c r="N2" s="1232"/>
      <c r="O2" s="1232"/>
      <c r="P2" s="1232"/>
      <c r="Q2" s="1232"/>
      <c r="R2" s="1232"/>
      <c r="S2" s="1232"/>
      <c r="T2" s="1232"/>
      <c r="U2" s="1232"/>
      <c r="V2" s="1232"/>
      <c r="W2" s="1232"/>
      <c r="X2" s="1232"/>
      <c r="Y2" s="1232"/>
      <c r="Z2" s="1232"/>
      <c r="AA2" s="1232"/>
      <c r="AB2" s="1232"/>
      <c r="AC2" s="1232"/>
      <c r="AD2" s="986"/>
      <c r="AE2" s="986"/>
      <c r="AF2" s="986"/>
      <c r="AG2" s="986"/>
      <c r="AH2" s="986"/>
      <c r="AI2" s="986"/>
      <c r="AJ2" s="986"/>
      <c r="AK2" s="986"/>
      <c r="AL2" s="986"/>
      <c r="AM2" s="986"/>
      <c r="AN2" s="986"/>
      <c r="AO2" s="986"/>
      <c r="AP2" s="986"/>
      <c r="AQ2" s="986"/>
      <c r="AR2" s="986"/>
      <c r="AS2" s="986"/>
      <c r="AT2" s="986"/>
      <c r="AU2" s="986"/>
      <c r="AV2" s="986"/>
      <c r="AW2" s="986"/>
      <c r="AX2" s="986"/>
      <c r="AY2" s="986"/>
      <c r="AZ2" s="986"/>
      <c r="BA2" s="986"/>
      <c r="BB2" s="986"/>
      <c r="BC2" s="986"/>
      <c r="BD2" s="986"/>
      <c r="BE2" s="986"/>
    </row>
    <row r="3" spans="1:57" x14ac:dyDescent="0.25">
      <c r="A3" s="1232"/>
      <c r="B3" s="1232"/>
      <c r="C3" s="1232"/>
      <c r="D3" s="1232"/>
      <c r="E3" s="1232"/>
      <c r="F3" s="1232"/>
      <c r="G3" s="1232"/>
      <c r="H3" s="1232"/>
      <c r="I3" s="1232"/>
      <c r="J3" s="1232"/>
      <c r="K3" s="1232"/>
      <c r="L3" s="1232"/>
      <c r="M3" s="1232"/>
      <c r="N3" s="1232"/>
      <c r="O3" s="1232"/>
      <c r="P3" s="1232"/>
      <c r="Q3" s="1232"/>
      <c r="R3" s="1232"/>
      <c r="S3" s="1232"/>
      <c r="T3" s="1232"/>
      <c r="U3" s="1232"/>
      <c r="V3" s="1232"/>
      <c r="W3" s="1232"/>
      <c r="X3" s="1232"/>
      <c r="Y3" s="1232"/>
      <c r="Z3" s="1232"/>
      <c r="AA3" s="1232"/>
      <c r="AB3" s="1232"/>
      <c r="AC3" s="1232"/>
      <c r="AD3" s="986"/>
      <c r="AE3" s="986"/>
      <c r="AF3" s="986"/>
      <c r="AG3" s="986"/>
      <c r="AH3" s="986"/>
      <c r="AI3" s="986"/>
      <c r="AJ3" s="986"/>
      <c r="AK3" s="986"/>
      <c r="AL3" s="986"/>
      <c r="AM3" s="986"/>
      <c r="AN3" s="986"/>
      <c r="AO3" s="986"/>
      <c r="AP3" s="986"/>
      <c r="AQ3" s="986"/>
      <c r="AR3" s="986"/>
      <c r="AS3" s="986"/>
      <c r="AT3" s="986"/>
      <c r="AU3" s="986"/>
      <c r="AV3" s="986"/>
      <c r="AW3" s="986"/>
      <c r="AX3" s="986"/>
      <c r="AY3" s="986"/>
      <c r="AZ3" s="986"/>
      <c r="BA3" s="986"/>
      <c r="BB3" s="986"/>
      <c r="BC3" s="986"/>
      <c r="BD3" s="986"/>
      <c r="BE3" s="986"/>
    </row>
    <row r="4" spans="1:57" ht="13.8" x14ac:dyDescent="0.25">
      <c r="A4" s="1232"/>
      <c r="B4" s="1477" t="s">
        <v>385</v>
      </c>
      <c r="C4" s="1477"/>
      <c r="D4" s="1477"/>
      <c r="E4" s="1477"/>
      <c r="F4" s="1477"/>
      <c r="G4" s="1477"/>
      <c r="H4" s="1477"/>
      <c r="I4" s="1477"/>
      <c r="J4" s="1477"/>
      <c r="K4" s="1232"/>
      <c r="L4" s="1232"/>
      <c r="M4" s="1232"/>
      <c r="N4" s="1232"/>
      <c r="O4" s="1232"/>
      <c r="P4" s="1232"/>
      <c r="Q4" s="1232"/>
      <c r="R4" s="1232"/>
      <c r="S4" s="1232"/>
      <c r="T4" s="1232"/>
      <c r="U4" s="1232"/>
      <c r="V4" s="1232"/>
      <c r="W4" s="1232"/>
      <c r="X4" s="1232"/>
      <c r="Y4" s="1232"/>
      <c r="Z4" s="1232"/>
      <c r="AA4" s="1232"/>
      <c r="AB4" s="1232"/>
      <c r="AC4" s="1232"/>
      <c r="AD4" s="986"/>
      <c r="AE4" s="986"/>
      <c r="AF4" s="986"/>
      <c r="AG4" s="986"/>
      <c r="AH4" s="986"/>
      <c r="AI4" s="986"/>
      <c r="AJ4" s="986"/>
      <c r="AK4" s="986"/>
      <c r="AL4" s="986"/>
      <c r="AM4" s="986"/>
      <c r="AN4" s="986"/>
      <c r="AO4" s="986"/>
      <c r="AP4" s="986"/>
      <c r="AQ4" s="986"/>
      <c r="AR4" s="986"/>
      <c r="AS4" s="986"/>
      <c r="AT4" s="986"/>
      <c r="AU4" s="986"/>
      <c r="AV4" s="986"/>
      <c r="AW4" s="986"/>
      <c r="AX4" s="986"/>
      <c r="AY4" s="986"/>
      <c r="AZ4" s="986"/>
      <c r="BA4" s="986"/>
      <c r="BB4" s="986"/>
      <c r="BC4" s="986"/>
      <c r="BD4" s="986"/>
      <c r="BE4" s="986"/>
    </row>
    <row r="5" spans="1:57" ht="44.4" customHeight="1" x14ac:dyDescent="0.25">
      <c r="A5" s="1232"/>
      <c r="B5" s="1478" t="s">
        <v>1417</v>
      </c>
      <c r="C5" s="1479"/>
      <c r="D5" s="1479"/>
      <c r="E5" s="1479"/>
      <c r="F5" s="1479"/>
      <c r="G5" s="1479"/>
      <c r="H5" s="1479"/>
      <c r="I5" s="1479"/>
      <c r="J5" s="1480"/>
      <c r="K5" s="1232"/>
      <c r="L5" s="1232"/>
      <c r="M5" s="1232"/>
      <c r="N5" s="1232"/>
      <c r="O5" s="1232"/>
      <c r="P5" s="1232"/>
      <c r="Q5" s="1232"/>
      <c r="R5" s="1232"/>
      <c r="S5" s="1232"/>
      <c r="T5" s="1232"/>
      <c r="U5" s="1232"/>
      <c r="V5" s="1232"/>
      <c r="W5" s="1232"/>
      <c r="X5" s="1232"/>
      <c r="Y5" s="1232"/>
      <c r="Z5" s="1232"/>
      <c r="AA5" s="1232"/>
      <c r="AB5" s="1232"/>
      <c r="AC5" s="1232"/>
      <c r="AD5" s="986"/>
      <c r="AE5" s="986"/>
      <c r="AF5" s="986"/>
      <c r="AG5" s="986"/>
      <c r="AH5" s="986"/>
      <c r="AI5" s="986"/>
      <c r="AJ5" s="986"/>
      <c r="AK5" s="986"/>
      <c r="AL5" s="986"/>
      <c r="AM5" s="986"/>
      <c r="AN5" s="986"/>
      <c r="AO5" s="986"/>
      <c r="AP5" s="986"/>
      <c r="AQ5" s="986"/>
      <c r="AR5" s="986"/>
      <c r="AS5" s="986"/>
      <c r="AT5" s="986"/>
      <c r="AU5" s="986"/>
      <c r="AV5" s="986"/>
      <c r="AW5" s="986"/>
      <c r="AX5" s="986"/>
      <c r="AY5" s="986"/>
      <c r="AZ5" s="986"/>
      <c r="BA5" s="986"/>
      <c r="BB5" s="986"/>
      <c r="BC5" s="986"/>
      <c r="BD5" s="986"/>
      <c r="BE5" s="986"/>
    </row>
    <row r="6" spans="1:57" x14ac:dyDescent="0.25">
      <c r="A6" s="1232"/>
      <c r="B6" s="1283"/>
      <c r="C6" s="1283"/>
      <c r="D6" s="1283"/>
      <c r="E6" s="1283"/>
      <c r="F6" s="1283"/>
      <c r="G6" s="1283"/>
      <c r="H6" s="1283"/>
      <c r="I6" s="1283"/>
      <c r="J6" s="1283"/>
      <c r="K6" s="1232"/>
      <c r="L6" s="1232"/>
      <c r="M6" s="1232"/>
      <c r="N6" s="1232"/>
      <c r="O6" s="1232"/>
      <c r="P6" s="1232"/>
      <c r="Q6" s="1232"/>
      <c r="R6" s="1232"/>
      <c r="S6" s="1232"/>
      <c r="T6" s="1232"/>
      <c r="U6" s="1232"/>
      <c r="V6" s="1232"/>
      <c r="W6" s="1232"/>
      <c r="X6" s="1232"/>
      <c r="Y6" s="1232"/>
      <c r="Z6" s="1232"/>
      <c r="AA6" s="1232"/>
      <c r="AB6" s="1232"/>
      <c r="AC6" s="1232"/>
      <c r="AD6" s="986"/>
      <c r="AE6" s="986"/>
      <c r="AF6" s="986"/>
      <c r="AG6" s="986"/>
      <c r="AH6" s="986"/>
      <c r="AI6" s="986"/>
      <c r="AJ6" s="986"/>
      <c r="AK6" s="986"/>
      <c r="AL6" s="986"/>
      <c r="AM6" s="986"/>
      <c r="AN6" s="986"/>
      <c r="AO6" s="986"/>
      <c r="AP6" s="986"/>
      <c r="AQ6" s="986"/>
      <c r="AR6" s="986"/>
      <c r="AS6" s="986"/>
      <c r="AT6" s="986"/>
      <c r="AU6" s="986"/>
      <c r="AV6" s="986"/>
      <c r="AW6" s="986"/>
      <c r="AX6" s="986"/>
      <c r="AY6" s="986"/>
      <c r="AZ6" s="986"/>
      <c r="BA6" s="986"/>
      <c r="BB6" s="986"/>
      <c r="BC6" s="986"/>
      <c r="BD6" s="986"/>
      <c r="BE6" s="986"/>
    </row>
    <row r="7" spans="1:57" ht="21" x14ac:dyDescent="0.25">
      <c r="A7" s="1232"/>
      <c r="B7" s="1284" t="s">
        <v>1040</v>
      </c>
      <c r="C7" s="1283"/>
      <c r="D7" s="1283"/>
      <c r="E7" s="1283"/>
      <c r="F7" s="1283"/>
      <c r="G7" s="1283"/>
      <c r="H7" s="1283"/>
      <c r="I7" s="1283"/>
      <c r="J7" s="1283"/>
      <c r="K7" s="1232"/>
      <c r="L7" s="1232"/>
      <c r="M7" s="1232"/>
      <c r="N7" s="1232"/>
      <c r="O7" s="1232"/>
      <c r="P7" s="1232"/>
      <c r="Q7" s="1232"/>
      <c r="R7" s="1232"/>
      <c r="S7" s="1232"/>
      <c r="T7" s="1232"/>
      <c r="U7" s="1232"/>
      <c r="V7" s="1232"/>
      <c r="W7" s="1232"/>
      <c r="X7" s="1232"/>
      <c r="Y7" s="1232"/>
      <c r="Z7" s="1232"/>
      <c r="AA7" s="1232"/>
      <c r="AB7" s="1232"/>
      <c r="AC7" s="1232"/>
      <c r="AD7" s="986"/>
      <c r="AE7" s="986"/>
      <c r="AF7" s="986"/>
      <c r="AG7" s="986"/>
      <c r="AH7" s="986"/>
      <c r="AI7" s="986"/>
      <c r="AJ7" s="986"/>
      <c r="AK7" s="986"/>
      <c r="AL7" s="986"/>
      <c r="AM7" s="986"/>
      <c r="AN7" s="986"/>
      <c r="AO7" s="986"/>
      <c r="AP7" s="986"/>
      <c r="AQ7" s="986"/>
      <c r="AR7" s="986"/>
      <c r="AS7" s="986"/>
      <c r="AT7" s="986"/>
      <c r="AU7" s="986"/>
      <c r="AV7" s="986"/>
      <c r="AW7" s="986"/>
      <c r="AX7" s="986"/>
      <c r="AY7" s="986"/>
      <c r="AZ7" s="986"/>
      <c r="BA7" s="986"/>
      <c r="BB7" s="986"/>
      <c r="BC7" s="986"/>
      <c r="BD7" s="986"/>
      <c r="BE7" s="986"/>
    </row>
    <row r="8" spans="1:57" ht="15.6" x14ac:dyDescent="0.25">
      <c r="A8" s="1232"/>
      <c r="B8" s="1285" t="s">
        <v>230</v>
      </c>
      <c r="C8" s="1283"/>
      <c r="D8" s="1283"/>
      <c r="E8" s="1283"/>
      <c r="F8" s="1283"/>
      <c r="G8" s="1283"/>
      <c r="H8" s="1283"/>
      <c r="I8" s="1283"/>
      <c r="J8" s="1283"/>
      <c r="K8" s="1232"/>
      <c r="L8" s="1232"/>
      <c r="M8" s="1232"/>
      <c r="N8" s="1232"/>
      <c r="O8" s="1232"/>
      <c r="P8" s="1232"/>
      <c r="Q8" s="1232"/>
      <c r="R8" s="1232"/>
      <c r="S8" s="1232"/>
      <c r="T8" s="1232"/>
      <c r="U8" s="1232"/>
      <c r="V8" s="1232"/>
      <c r="W8" s="1232"/>
      <c r="X8" s="1232"/>
      <c r="Y8" s="1232"/>
      <c r="Z8" s="1232"/>
      <c r="AA8" s="1232"/>
      <c r="AB8" s="1232"/>
      <c r="AC8" s="1232"/>
      <c r="AD8" s="986"/>
      <c r="AE8" s="986"/>
      <c r="AF8" s="986"/>
      <c r="AG8" s="986"/>
      <c r="AH8" s="986"/>
      <c r="AI8" s="986"/>
      <c r="AJ8" s="986"/>
      <c r="AK8" s="986"/>
      <c r="AL8" s="986"/>
      <c r="AM8" s="986"/>
      <c r="AN8" s="986"/>
      <c r="AO8" s="986"/>
      <c r="AP8" s="986"/>
      <c r="AQ8" s="986"/>
      <c r="AR8" s="986"/>
      <c r="AS8" s="986"/>
      <c r="AT8" s="986"/>
      <c r="AU8" s="986"/>
      <c r="AV8" s="986"/>
      <c r="AW8" s="986"/>
      <c r="AX8" s="986"/>
      <c r="AY8" s="986"/>
      <c r="AZ8" s="986"/>
      <c r="BA8" s="986"/>
      <c r="BB8" s="986"/>
      <c r="BC8" s="986"/>
      <c r="BD8" s="986"/>
      <c r="BE8" s="986"/>
    </row>
    <row r="9" spans="1:57" x14ac:dyDescent="0.25">
      <c r="A9" s="1232"/>
      <c r="B9" s="1283"/>
      <c r="C9" s="1283"/>
      <c r="D9" s="1283"/>
      <c r="E9" s="1283"/>
      <c r="F9" s="1283"/>
      <c r="G9" s="1283"/>
      <c r="H9" s="1283"/>
      <c r="I9" s="1283"/>
      <c r="J9" s="1283"/>
      <c r="K9" s="1232"/>
      <c r="L9" s="1232"/>
      <c r="M9" s="1232"/>
      <c r="N9" s="1232"/>
      <c r="O9" s="1232"/>
      <c r="P9" s="1232"/>
      <c r="Q9" s="1232"/>
      <c r="R9" s="1232"/>
      <c r="S9" s="1232"/>
      <c r="T9" s="1232"/>
      <c r="U9" s="1232"/>
      <c r="V9" s="1232"/>
      <c r="W9" s="1232"/>
      <c r="X9" s="1232"/>
      <c r="Y9" s="1232"/>
      <c r="Z9" s="1232"/>
      <c r="AA9" s="1232"/>
      <c r="AB9" s="1232"/>
      <c r="AC9" s="1232"/>
      <c r="AD9" s="986"/>
      <c r="AE9" s="986"/>
      <c r="AF9" s="986"/>
      <c r="AG9" s="986"/>
      <c r="AH9" s="986"/>
      <c r="AI9" s="986"/>
      <c r="AJ9" s="986"/>
      <c r="AK9" s="986"/>
      <c r="AL9" s="986"/>
      <c r="AM9" s="986"/>
      <c r="AN9" s="986"/>
      <c r="AO9" s="986"/>
      <c r="AP9" s="986"/>
      <c r="AQ9" s="986"/>
      <c r="AR9" s="986"/>
      <c r="AS9" s="986"/>
      <c r="AT9" s="986"/>
      <c r="AU9" s="986"/>
      <c r="AV9" s="986"/>
      <c r="AW9" s="986"/>
      <c r="AX9" s="986"/>
      <c r="AY9" s="986"/>
      <c r="AZ9" s="986"/>
      <c r="BA9" s="986"/>
      <c r="BB9" s="986"/>
      <c r="BC9" s="986"/>
      <c r="BD9" s="986"/>
      <c r="BE9" s="986"/>
    </row>
    <row r="10" spans="1:57" x14ac:dyDescent="0.25">
      <c r="A10" s="1232"/>
      <c r="B10" s="1283"/>
      <c r="C10" s="1283"/>
      <c r="D10" s="1283"/>
      <c r="E10" s="1283"/>
      <c r="F10" s="1283"/>
      <c r="G10" s="1283"/>
      <c r="H10" s="1283"/>
      <c r="I10" s="1283"/>
      <c r="J10" s="1283"/>
      <c r="K10" s="1232"/>
      <c r="L10" s="1232"/>
      <c r="M10" s="1232"/>
      <c r="N10" s="1232"/>
      <c r="O10" s="1232"/>
      <c r="P10" s="1232"/>
      <c r="Q10" s="1232"/>
      <c r="R10" s="1232"/>
      <c r="S10" s="1232"/>
      <c r="T10" s="1232"/>
      <c r="U10" s="1232"/>
      <c r="V10" s="1232"/>
      <c r="W10" s="1232"/>
      <c r="X10" s="1232"/>
      <c r="Y10" s="1232"/>
      <c r="Z10" s="1232"/>
      <c r="AA10" s="1232"/>
      <c r="AB10" s="1232"/>
      <c r="AC10" s="1232"/>
      <c r="AD10" s="986"/>
      <c r="AE10" s="986"/>
      <c r="AF10" s="986"/>
      <c r="AG10" s="986"/>
      <c r="AH10" s="986"/>
      <c r="AI10" s="986"/>
      <c r="AJ10" s="986"/>
      <c r="AK10" s="986"/>
      <c r="AL10" s="986"/>
      <c r="AM10" s="986"/>
      <c r="AN10" s="986"/>
      <c r="AO10" s="986"/>
      <c r="AP10" s="986"/>
      <c r="AQ10" s="986"/>
      <c r="AR10" s="986"/>
      <c r="AS10" s="986"/>
      <c r="AT10" s="986"/>
      <c r="AU10" s="986"/>
      <c r="AV10" s="986"/>
      <c r="AW10" s="986"/>
      <c r="AX10" s="986"/>
      <c r="AY10" s="986"/>
      <c r="AZ10" s="986"/>
      <c r="BA10" s="986"/>
      <c r="BB10" s="986"/>
      <c r="BC10" s="986"/>
      <c r="BD10" s="986"/>
      <c r="BE10" s="986"/>
    </row>
    <row r="11" spans="1:57" ht="15.6" x14ac:dyDescent="0.25">
      <c r="A11" s="1232"/>
      <c r="B11" s="1285" t="s">
        <v>231</v>
      </c>
      <c r="C11" s="1283"/>
      <c r="D11" s="1283"/>
      <c r="E11" s="1283"/>
      <c r="F11" s="1283"/>
      <c r="G11" s="1283"/>
      <c r="H11" s="1283"/>
      <c r="I11" s="1283"/>
      <c r="J11" s="1283"/>
      <c r="K11" s="1232"/>
      <c r="L11" s="1232"/>
      <c r="M11" s="1232"/>
      <c r="N11" s="1232"/>
      <c r="O11" s="1232"/>
      <c r="P11" s="1232"/>
      <c r="Q11" s="1232"/>
      <c r="R11" s="1232"/>
      <c r="S11" s="1232"/>
      <c r="T11" s="1232"/>
      <c r="U11" s="1232"/>
      <c r="V11" s="1232"/>
      <c r="W11" s="1232"/>
      <c r="X11" s="1232"/>
      <c r="Y11" s="1232"/>
      <c r="Z11" s="1232"/>
      <c r="AA11" s="1232"/>
      <c r="AB11" s="1232"/>
      <c r="AC11" s="1232"/>
      <c r="AD11" s="986"/>
      <c r="AE11" s="986"/>
      <c r="AF11" s="986"/>
      <c r="AG11" s="986"/>
      <c r="AH11" s="986"/>
      <c r="AI11" s="986"/>
      <c r="AJ11" s="986"/>
      <c r="AK11" s="986"/>
      <c r="AL11" s="986"/>
      <c r="AM11" s="986"/>
      <c r="AN11" s="986"/>
      <c r="AO11" s="986"/>
      <c r="AP11" s="986"/>
      <c r="AQ11" s="986"/>
      <c r="AR11" s="986"/>
      <c r="AS11" s="986"/>
      <c r="AT11" s="986"/>
      <c r="AU11" s="986"/>
      <c r="AV11" s="986"/>
      <c r="AW11" s="986"/>
      <c r="AX11" s="986"/>
      <c r="AY11" s="986"/>
      <c r="AZ11" s="986"/>
      <c r="BA11" s="986"/>
      <c r="BB11" s="986"/>
      <c r="BC11" s="986"/>
      <c r="BD11" s="986"/>
      <c r="BE11" s="986"/>
    </row>
    <row r="12" spans="1:57" x14ac:dyDescent="0.25">
      <c r="A12" s="1232"/>
      <c r="B12" s="1283"/>
      <c r="C12" s="1283"/>
      <c r="D12" s="1283"/>
      <c r="E12" s="1283"/>
      <c r="F12" s="1283"/>
      <c r="G12" s="1283"/>
      <c r="H12" s="1283"/>
      <c r="I12" s="1283"/>
      <c r="J12" s="1283"/>
      <c r="K12" s="1232"/>
      <c r="L12" s="1232"/>
      <c r="M12" s="1232"/>
      <c r="N12" s="1232"/>
      <c r="O12" s="1232"/>
      <c r="P12" s="1232"/>
      <c r="Q12" s="1232"/>
      <c r="R12" s="1232"/>
      <c r="S12" s="1232"/>
      <c r="T12" s="1232"/>
      <c r="U12" s="1232"/>
      <c r="V12" s="1232"/>
      <c r="W12" s="1232"/>
      <c r="X12" s="1232"/>
      <c r="Y12" s="1232"/>
      <c r="Z12" s="1232"/>
      <c r="AA12" s="1232"/>
      <c r="AB12" s="1232"/>
      <c r="AC12" s="1232"/>
      <c r="AD12" s="986"/>
      <c r="AE12" s="986"/>
      <c r="AF12" s="986"/>
      <c r="AG12" s="986"/>
      <c r="AH12" s="986"/>
      <c r="AI12" s="986"/>
      <c r="AJ12" s="986"/>
      <c r="AK12" s="986"/>
      <c r="AL12" s="986"/>
      <c r="AM12" s="986"/>
      <c r="AN12" s="986"/>
      <c r="AO12" s="986"/>
      <c r="AP12" s="986"/>
      <c r="AQ12" s="986"/>
      <c r="AR12" s="986"/>
      <c r="AS12" s="986"/>
      <c r="AT12" s="986"/>
      <c r="AU12" s="986"/>
      <c r="AV12" s="986"/>
      <c r="AW12" s="986"/>
      <c r="AX12" s="986"/>
      <c r="AY12" s="986"/>
      <c r="AZ12" s="986"/>
      <c r="BA12" s="986"/>
      <c r="BB12" s="986"/>
      <c r="BC12" s="986"/>
      <c r="BD12" s="986"/>
      <c r="BE12" s="986"/>
    </row>
    <row r="13" spans="1:57" x14ac:dyDescent="0.25">
      <c r="A13" s="1232"/>
      <c r="B13" s="1283"/>
      <c r="C13" s="1283"/>
      <c r="D13" s="1283"/>
      <c r="E13" s="1283"/>
      <c r="F13" s="1283"/>
      <c r="G13" s="1283"/>
      <c r="H13" s="1283"/>
      <c r="I13" s="1283"/>
      <c r="J13" s="1283"/>
      <c r="K13" s="1232"/>
      <c r="L13" s="1232"/>
      <c r="M13" s="1232"/>
      <c r="N13" s="1232"/>
      <c r="O13" s="1232"/>
      <c r="P13" s="1232"/>
      <c r="Q13" s="1232"/>
      <c r="R13" s="1232"/>
      <c r="S13" s="1232"/>
      <c r="T13" s="1232"/>
      <c r="U13" s="1232"/>
      <c r="V13" s="1232"/>
      <c r="W13" s="1232"/>
      <c r="X13" s="1232"/>
      <c r="Y13" s="1232"/>
      <c r="Z13" s="1232"/>
      <c r="AA13" s="1232"/>
      <c r="AB13" s="1232"/>
      <c r="AC13" s="1232"/>
      <c r="AD13" s="986"/>
      <c r="AE13" s="986"/>
      <c r="AF13" s="986"/>
      <c r="AG13" s="986"/>
      <c r="AH13" s="986"/>
      <c r="AI13" s="986"/>
      <c r="AJ13" s="986"/>
      <c r="AK13" s="986"/>
      <c r="AL13" s="986"/>
      <c r="AM13" s="986"/>
      <c r="AN13" s="986"/>
      <c r="AO13" s="986"/>
      <c r="AP13" s="986"/>
      <c r="AQ13" s="986"/>
      <c r="AR13" s="986"/>
      <c r="AS13" s="986"/>
      <c r="AT13" s="986"/>
      <c r="AU13" s="986"/>
      <c r="AV13" s="986"/>
      <c r="AW13" s="986"/>
      <c r="AX13" s="986"/>
      <c r="AY13" s="986"/>
      <c r="AZ13" s="986"/>
      <c r="BA13" s="986"/>
      <c r="BB13" s="986"/>
      <c r="BC13" s="986"/>
      <c r="BD13" s="986"/>
      <c r="BE13" s="986"/>
    </row>
    <row r="14" spans="1:57" x14ac:dyDescent="0.25">
      <c r="A14" s="1232"/>
      <c r="B14" s="1283"/>
      <c r="C14" s="1283"/>
      <c r="D14" s="1283"/>
      <c r="E14" s="1283"/>
      <c r="F14" s="1283"/>
      <c r="G14" s="1283"/>
      <c r="H14" s="1283"/>
      <c r="I14" s="1283"/>
      <c r="J14" s="1283"/>
      <c r="K14" s="1232"/>
      <c r="L14" s="1232"/>
      <c r="M14" s="1232"/>
      <c r="N14" s="1232"/>
      <c r="O14" s="1232"/>
      <c r="P14" s="1232"/>
      <c r="Q14" s="1232"/>
      <c r="R14" s="1232"/>
      <c r="S14" s="1232"/>
      <c r="T14" s="1232"/>
      <c r="U14" s="1232"/>
      <c r="V14" s="1232"/>
      <c r="W14" s="1232"/>
      <c r="X14" s="1232"/>
      <c r="Y14" s="1232"/>
      <c r="Z14" s="1232"/>
      <c r="AA14" s="1232"/>
      <c r="AB14" s="1232"/>
      <c r="AC14" s="1232"/>
      <c r="AD14" s="986"/>
      <c r="AE14" s="986"/>
      <c r="AF14" s="986"/>
      <c r="AG14" s="986"/>
      <c r="AH14" s="986"/>
      <c r="AI14" s="986"/>
      <c r="AJ14" s="986"/>
      <c r="AK14" s="986"/>
      <c r="AL14" s="986"/>
      <c r="AM14" s="986"/>
      <c r="AN14" s="986"/>
      <c r="AO14" s="986"/>
      <c r="AP14" s="986"/>
      <c r="AQ14" s="986"/>
      <c r="AR14" s="986"/>
      <c r="AS14" s="986"/>
      <c r="AT14" s="986"/>
      <c r="AU14" s="986"/>
      <c r="AV14" s="986"/>
      <c r="AW14" s="986"/>
      <c r="AX14" s="986"/>
      <c r="AY14" s="986"/>
      <c r="AZ14" s="986"/>
      <c r="BA14" s="986"/>
      <c r="BB14" s="986"/>
      <c r="BC14" s="986"/>
      <c r="BD14" s="986"/>
      <c r="BE14" s="986"/>
    </row>
    <row r="15" spans="1:57" ht="13.8" x14ac:dyDescent="0.25">
      <c r="A15" s="1232"/>
      <c r="B15" s="1286" t="s">
        <v>406</v>
      </c>
      <c r="C15" s="1283"/>
      <c r="D15" s="1283"/>
      <c r="E15" s="1283"/>
      <c r="F15" s="1283"/>
      <c r="G15" s="1283"/>
      <c r="H15" s="1283"/>
      <c r="I15" s="1283"/>
      <c r="J15" s="1283"/>
      <c r="K15" s="1232"/>
      <c r="L15" s="1232"/>
      <c r="M15" s="1232"/>
      <c r="N15" s="1232"/>
      <c r="O15" s="1232"/>
      <c r="P15" s="1232"/>
      <c r="Q15" s="1232"/>
      <c r="R15" s="1232"/>
      <c r="S15" s="1232"/>
      <c r="T15" s="1232"/>
      <c r="U15" s="1232"/>
      <c r="V15" s="1232"/>
      <c r="W15" s="1232"/>
      <c r="X15" s="1232"/>
      <c r="Y15" s="1232"/>
      <c r="Z15" s="1232"/>
      <c r="AA15" s="1232"/>
      <c r="AB15" s="1232"/>
      <c r="AC15" s="1232"/>
      <c r="AD15" s="986"/>
      <c r="AE15" s="986"/>
      <c r="AF15" s="986"/>
      <c r="AG15" s="986"/>
      <c r="AH15" s="986"/>
      <c r="AI15" s="986"/>
      <c r="AJ15" s="986"/>
      <c r="AK15" s="986"/>
      <c r="AL15" s="986"/>
      <c r="AM15" s="986"/>
      <c r="AN15" s="986"/>
      <c r="AO15" s="986"/>
      <c r="AP15" s="986"/>
      <c r="AQ15" s="986"/>
      <c r="AR15" s="986"/>
      <c r="AS15" s="986"/>
      <c r="AT15" s="986"/>
      <c r="AU15" s="986"/>
      <c r="AV15" s="986"/>
      <c r="AW15" s="986"/>
      <c r="AX15" s="986"/>
      <c r="AY15" s="986"/>
      <c r="AZ15" s="986"/>
      <c r="BA15" s="986"/>
      <c r="BB15" s="986"/>
      <c r="BC15" s="986"/>
      <c r="BD15" s="986"/>
      <c r="BE15" s="986"/>
    </row>
    <row r="16" spans="1:57" ht="13.8" x14ac:dyDescent="0.25">
      <c r="A16" s="1232"/>
      <c r="B16" s="1286" t="s">
        <v>417</v>
      </c>
      <c r="C16" s="1283"/>
      <c r="D16" s="1283"/>
      <c r="E16" s="1283"/>
      <c r="F16" s="1283"/>
      <c r="G16" s="1283"/>
      <c r="H16" s="1283"/>
      <c r="I16" s="1283"/>
      <c r="J16" s="1283"/>
      <c r="K16" s="1232"/>
      <c r="L16" s="1232"/>
      <c r="M16" s="1232"/>
      <c r="N16" s="1232"/>
      <c r="O16" s="1232"/>
      <c r="P16" s="1232"/>
      <c r="Q16" s="1232"/>
      <c r="R16" s="1232"/>
      <c r="S16" s="1232"/>
      <c r="T16" s="1232"/>
      <c r="U16" s="1232"/>
      <c r="V16" s="1232"/>
      <c r="W16" s="1232"/>
      <c r="X16" s="1232"/>
      <c r="Y16" s="1232"/>
      <c r="Z16" s="1232"/>
      <c r="AA16" s="1232"/>
      <c r="AB16" s="1232"/>
      <c r="AC16" s="1232"/>
      <c r="AD16" s="986"/>
      <c r="AE16" s="986"/>
      <c r="AF16" s="986"/>
      <c r="AG16" s="986"/>
      <c r="AH16" s="986"/>
      <c r="AI16" s="986"/>
      <c r="AJ16" s="986"/>
      <c r="AK16" s="986"/>
      <c r="AL16" s="986"/>
      <c r="AM16" s="986"/>
      <c r="AN16" s="986"/>
      <c r="AO16" s="986"/>
      <c r="AP16" s="986"/>
      <c r="AQ16" s="986"/>
      <c r="AR16" s="986"/>
      <c r="AS16" s="986"/>
      <c r="AT16" s="986"/>
      <c r="AU16" s="986"/>
      <c r="AV16" s="986"/>
      <c r="AW16" s="986"/>
      <c r="AX16" s="986"/>
      <c r="AY16" s="986"/>
      <c r="AZ16" s="986"/>
      <c r="BA16" s="986"/>
      <c r="BB16" s="986"/>
      <c r="BC16" s="986"/>
      <c r="BD16" s="986"/>
      <c r="BE16" s="986"/>
    </row>
    <row r="17" spans="1:57" ht="13.8" x14ac:dyDescent="0.25">
      <c r="A17" s="1232"/>
      <c r="B17" s="1286" t="s">
        <v>419</v>
      </c>
      <c r="C17" s="1283"/>
      <c r="D17" s="1283"/>
      <c r="E17" s="1283"/>
      <c r="F17" s="1283"/>
      <c r="G17" s="1283"/>
      <c r="H17" s="1283"/>
      <c r="I17" s="1283"/>
      <c r="J17" s="1283"/>
      <c r="K17" s="1232"/>
      <c r="L17" s="1232"/>
      <c r="M17" s="1232"/>
      <c r="N17" s="1232"/>
      <c r="O17" s="1232"/>
      <c r="P17" s="1232"/>
      <c r="Q17" s="1232"/>
      <c r="R17" s="1232"/>
      <c r="S17" s="1232"/>
      <c r="T17" s="1232"/>
      <c r="U17" s="1232"/>
      <c r="V17" s="1232"/>
      <c r="W17" s="1232"/>
      <c r="X17" s="1232"/>
      <c r="Y17" s="1232"/>
      <c r="Z17" s="1232"/>
      <c r="AA17" s="1232"/>
      <c r="AB17" s="1232"/>
      <c r="AC17" s="1232"/>
      <c r="AD17" s="986"/>
      <c r="AE17" s="986"/>
      <c r="AF17" s="986"/>
      <c r="AG17" s="986"/>
      <c r="AH17" s="986"/>
      <c r="AI17" s="986"/>
      <c r="AJ17" s="986"/>
      <c r="AK17" s="986"/>
      <c r="AL17" s="986"/>
      <c r="AM17" s="986"/>
      <c r="AN17" s="986"/>
      <c r="AO17" s="986"/>
      <c r="AP17" s="986"/>
      <c r="AQ17" s="986"/>
      <c r="AR17" s="986"/>
      <c r="AS17" s="986"/>
      <c r="AT17" s="986"/>
      <c r="AU17" s="986"/>
      <c r="AV17" s="986"/>
      <c r="AW17" s="986"/>
      <c r="AX17" s="986"/>
      <c r="AY17" s="986"/>
      <c r="AZ17" s="986"/>
      <c r="BA17" s="986"/>
      <c r="BB17" s="986"/>
      <c r="BC17" s="986"/>
      <c r="BD17" s="986"/>
      <c r="BE17" s="986"/>
    </row>
    <row r="18" spans="1:57" ht="15.6" x14ac:dyDescent="0.25">
      <c r="A18" s="1232"/>
      <c r="B18" s="1148"/>
      <c r="C18" s="1232"/>
      <c r="D18" s="1283"/>
      <c r="E18" s="1232"/>
      <c r="F18" s="1232"/>
      <c r="G18" s="1232"/>
      <c r="H18" s="1232"/>
      <c r="I18" s="1232"/>
      <c r="J18" s="1232"/>
      <c r="K18" s="1232"/>
      <c r="L18" s="1232"/>
      <c r="M18" s="1232"/>
      <c r="N18" s="1232"/>
      <c r="O18" s="1232"/>
      <c r="P18" s="1232"/>
      <c r="Q18" s="1232"/>
      <c r="R18" s="1232"/>
      <c r="S18" s="1232"/>
      <c r="T18" s="1232"/>
      <c r="U18" s="1232"/>
      <c r="V18" s="1232"/>
      <c r="W18" s="1232"/>
      <c r="X18" s="1232"/>
      <c r="Y18" s="1232"/>
      <c r="Z18" s="1232"/>
      <c r="AA18" s="1232"/>
      <c r="AB18" s="1232"/>
      <c r="AC18" s="1232"/>
      <c r="AD18" s="986"/>
      <c r="AE18" s="986"/>
      <c r="AF18" s="986"/>
      <c r="AG18" s="986"/>
      <c r="AH18" s="986"/>
      <c r="AI18" s="986"/>
      <c r="AJ18" s="986"/>
      <c r="AK18" s="986"/>
      <c r="AL18" s="986"/>
      <c r="AM18" s="986"/>
      <c r="AN18" s="986"/>
      <c r="AO18" s="986"/>
      <c r="AP18" s="986"/>
      <c r="AQ18" s="986"/>
      <c r="AR18" s="986"/>
      <c r="AS18" s="986"/>
      <c r="AT18" s="986"/>
      <c r="AU18" s="986"/>
      <c r="AV18" s="986"/>
      <c r="AW18" s="986"/>
      <c r="AX18" s="986"/>
      <c r="AY18" s="986"/>
      <c r="AZ18" s="986"/>
      <c r="BA18" s="986"/>
      <c r="BB18" s="986"/>
      <c r="BC18" s="986"/>
      <c r="BD18" s="986"/>
      <c r="BE18" s="986"/>
    </row>
    <row r="19" spans="1:57" ht="13.8" thickBot="1" x14ac:dyDescent="0.3">
      <c r="A19" s="1232"/>
      <c r="B19" s="1232"/>
      <c r="C19" s="1232"/>
      <c r="D19" s="1232"/>
      <c r="E19" s="1232"/>
      <c r="F19" s="1232"/>
      <c r="G19" s="1232"/>
      <c r="H19" s="1232"/>
      <c r="I19" s="1232"/>
      <c r="J19" s="1232"/>
      <c r="K19" s="1232"/>
      <c r="L19" s="1232"/>
      <c r="M19" s="1232"/>
      <c r="N19" s="1232"/>
      <c r="O19" s="1232"/>
      <c r="P19" s="1232"/>
      <c r="Q19" s="1232"/>
      <c r="R19" s="1232"/>
      <c r="S19" s="1232"/>
      <c r="T19" s="1232"/>
      <c r="U19" s="1232"/>
      <c r="V19" s="1232"/>
      <c r="W19" s="1232"/>
      <c r="X19" s="1232"/>
      <c r="Y19" s="1232"/>
      <c r="Z19" s="1232"/>
      <c r="AA19" s="1232"/>
      <c r="AB19" s="1232"/>
      <c r="AC19" s="1232"/>
      <c r="AD19" s="986"/>
      <c r="AE19" s="986"/>
      <c r="AF19" s="986"/>
      <c r="AG19" s="986"/>
      <c r="AH19" s="986"/>
      <c r="AI19" s="986"/>
      <c r="AJ19" s="986"/>
      <c r="AK19" s="986"/>
      <c r="AL19" s="986"/>
      <c r="AM19" s="986"/>
      <c r="AN19" s="986"/>
      <c r="AO19" s="986"/>
      <c r="AP19" s="986"/>
      <c r="AQ19" s="986"/>
      <c r="AR19" s="986"/>
      <c r="AS19" s="986"/>
      <c r="AT19" s="986"/>
      <c r="AU19" s="986"/>
      <c r="AV19" s="986"/>
      <c r="AW19" s="986"/>
      <c r="AX19" s="986"/>
      <c r="AY19" s="986"/>
      <c r="AZ19" s="986"/>
      <c r="BA19" s="986"/>
      <c r="BB19" s="986"/>
      <c r="BC19" s="986"/>
      <c r="BD19" s="986"/>
      <c r="BE19" s="986"/>
    </row>
    <row r="20" spans="1:57" ht="44.25" customHeight="1" x14ac:dyDescent="0.25">
      <c r="A20" s="1232"/>
      <c r="B20" s="1287" t="s">
        <v>405</v>
      </c>
      <c r="C20" s="1288"/>
      <c r="D20" s="1288"/>
      <c r="E20" s="1288"/>
      <c r="F20" s="1289"/>
      <c r="G20" s="1232"/>
      <c r="H20" s="1232"/>
      <c r="I20" s="1232"/>
      <c r="J20" s="1232"/>
      <c r="K20" s="1232"/>
      <c r="L20" s="1232"/>
      <c r="M20" s="1232"/>
      <c r="N20" s="1232"/>
      <c r="O20" s="1232"/>
      <c r="P20" s="1232"/>
      <c r="Q20" s="1232"/>
      <c r="R20" s="1232"/>
      <c r="S20" s="1232"/>
      <c r="T20" s="1232"/>
      <c r="U20" s="1232"/>
      <c r="V20" s="1232"/>
      <c r="W20" s="1232"/>
      <c r="X20" s="1232"/>
      <c r="Y20" s="1232"/>
      <c r="Z20" s="1232"/>
      <c r="AA20" s="1232"/>
      <c r="AB20" s="1232"/>
      <c r="AC20" s="1232"/>
      <c r="AD20" s="986"/>
      <c r="AE20" s="986"/>
      <c r="AF20" s="986"/>
      <c r="AG20" s="986"/>
      <c r="AH20" s="986"/>
      <c r="AI20" s="986"/>
      <c r="AJ20" s="986"/>
      <c r="AK20" s="986"/>
      <c r="AL20" s="986"/>
      <c r="AM20" s="986"/>
      <c r="AN20" s="986"/>
      <c r="AO20" s="986"/>
      <c r="AP20" s="986"/>
      <c r="AQ20" s="986"/>
      <c r="AR20" s="986"/>
      <c r="AS20" s="986"/>
      <c r="AT20" s="986"/>
      <c r="AU20" s="986"/>
      <c r="AV20" s="986"/>
      <c r="AW20" s="986"/>
      <c r="AX20" s="986"/>
      <c r="AY20" s="986"/>
      <c r="AZ20" s="986"/>
      <c r="BA20" s="986"/>
      <c r="BB20" s="986"/>
      <c r="BC20" s="986"/>
      <c r="BD20" s="986"/>
      <c r="BE20" s="986"/>
    </row>
    <row r="21" spans="1:57" ht="13.8" x14ac:dyDescent="0.25">
      <c r="A21" s="1232"/>
      <c r="B21" s="1237" t="s">
        <v>1311</v>
      </c>
      <c r="C21" s="459">
        <f ca="1">Feed_CO2_MTpY</f>
        <v>2031100</v>
      </c>
      <c r="D21" s="1481" t="s">
        <v>407</v>
      </c>
      <c r="E21" s="1481"/>
      <c r="F21" s="1482"/>
      <c r="G21" s="1232"/>
      <c r="H21" s="1232"/>
      <c r="I21" s="1232"/>
      <c r="J21" s="1232"/>
      <c r="K21" s="1232"/>
      <c r="L21" s="1232"/>
      <c r="M21" s="1232"/>
      <c r="N21" s="1232"/>
      <c r="O21" s="1232"/>
      <c r="P21" s="1232"/>
      <c r="Q21" s="1232"/>
      <c r="R21" s="1232"/>
      <c r="S21" s="1232"/>
      <c r="T21" s="1232"/>
      <c r="U21" s="1232"/>
      <c r="V21" s="1232"/>
      <c r="W21" s="1232"/>
      <c r="X21" s="1232"/>
      <c r="Y21" s="1232"/>
      <c r="Z21" s="1232"/>
      <c r="AA21" s="1232"/>
      <c r="AB21" s="1232"/>
      <c r="AC21" s="1232"/>
      <c r="AD21" s="986"/>
      <c r="AE21" s="986"/>
      <c r="AF21" s="986"/>
      <c r="AG21" s="986"/>
      <c r="AH21" s="986"/>
      <c r="AI21" s="986"/>
      <c r="AJ21" s="986"/>
      <c r="AK21" s="986"/>
      <c r="AL21" s="986"/>
      <c r="AM21" s="986"/>
      <c r="AN21" s="986"/>
      <c r="AO21" s="986"/>
      <c r="AP21" s="986"/>
      <c r="AQ21" s="986"/>
      <c r="AR21" s="986"/>
      <c r="AS21" s="986"/>
      <c r="AT21" s="986"/>
      <c r="AU21" s="986"/>
      <c r="AV21" s="986"/>
      <c r="AW21" s="986"/>
      <c r="AX21" s="986"/>
      <c r="AY21" s="986"/>
      <c r="AZ21" s="986"/>
      <c r="BA21" s="986"/>
      <c r="BB21" s="986"/>
      <c r="BC21" s="986"/>
      <c r="BD21" s="986"/>
      <c r="BE21" s="986"/>
    </row>
    <row r="22" spans="1:57" ht="14.25" customHeight="1" x14ac:dyDescent="0.25">
      <c r="A22" s="1232"/>
      <c r="B22" s="1237" t="s">
        <v>1312</v>
      </c>
      <c r="C22" s="460">
        <f ca="1">Feed_CO2_kgpkgH2</f>
        <v>9.3682023858919941</v>
      </c>
      <c r="D22" s="1290"/>
      <c r="E22" s="1290"/>
      <c r="F22" s="1291"/>
      <c r="G22" s="1232"/>
      <c r="H22" s="1232"/>
      <c r="I22" s="1232"/>
      <c r="J22" s="1232"/>
      <c r="K22" s="1232"/>
      <c r="L22" s="1232"/>
      <c r="M22" s="1232"/>
      <c r="N22" s="1232"/>
      <c r="O22" s="1232"/>
      <c r="P22" s="1232"/>
      <c r="Q22" s="1232"/>
      <c r="R22" s="1232"/>
      <c r="S22" s="1232"/>
      <c r="T22" s="1232"/>
      <c r="U22" s="1232"/>
      <c r="V22" s="1232"/>
      <c r="W22" s="1232"/>
      <c r="X22" s="1232"/>
      <c r="Y22" s="1232"/>
      <c r="Z22" s="1232"/>
      <c r="AA22" s="1232"/>
      <c r="AB22" s="1232"/>
      <c r="AC22" s="1232"/>
      <c r="AD22" s="986"/>
      <c r="AE22" s="986"/>
      <c r="AF22" s="986"/>
      <c r="AG22" s="986"/>
      <c r="AH22" s="986"/>
      <c r="AI22" s="986"/>
      <c r="AJ22" s="986"/>
      <c r="AK22" s="986"/>
      <c r="AL22" s="986"/>
      <c r="AM22" s="986"/>
      <c r="AN22" s="986"/>
      <c r="AO22" s="986"/>
      <c r="AP22" s="986"/>
      <c r="AQ22" s="986"/>
      <c r="AR22" s="986"/>
      <c r="AS22" s="986"/>
      <c r="AT22" s="986"/>
      <c r="AU22" s="986"/>
      <c r="AV22" s="986"/>
      <c r="AW22" s="986"/>
      <c r="AX22" s="986"/>
      <c r="AY22" s="986"/>
      <c r="AZ22" s="986"/>
      <c r="BA22" s="986"/>
      <c r="BB22" s="986"/>
      <c r="BC22" s="986"/>
      <c r="BD22" s="986"/>
      <c r="BE22" s="986"/>
    </row>
    <row r="23" spans="1:57" ht="14.25" customHeight="1" x14ac:dyDescent="0.25">
      <c r="A23" s="1232"/>
      <c r="B23" s="1237" t="s">
        <v>1309</v>
      </c>
      <c r="C23" s="1302">
        <f ca="1">Feed_CO2_MTpY/365*CO2_Capture_Efficiency</f>
        <v>5257.5408773919053</v>
      </c>
      <c r="D23" s="1290"/>
      <c r="E23" s="1290"/>
      <c r="F23" s="1291"/>
      <c r="G23" s="1232"/>
      <c r="H23" s="1232"/>
      <c r="I23" s="1232"/>
      <c r="J23" s="1232"/>
      <c r="K23" s="1232"/>
      <c r="L23" s="1232"/>
      <c r="M23" s="1232"/>
      <c r="N23" s="1232"/>
      <c r="O23" s="1232"/>
      <c r="P23" s="1232"/>
      <c r="Q23" s="1232"/>
      <c r="R23" s="1232"/>
      <c r="S23" s="1232"/>
      <c r="T23" s="1232"/>
      <c r="U23" s="1232"/>
      <c r="V23" s="1232"/>
      <c r="W23" s="1232"/>
      <c r="X23" s="1232"/>
      <c r="Y23" s="1232"/>
      <c r="Z23" s="1232"/>
      <c r="AA23" s="1232"/>
      <c r="AB23" s="1232"/>
      <c r="AC23" s="1232"/>
      <c r="AD23" s="986"/>
      <c r="AE23" s="986"/>
      <c r="AF23" s="986"/>
      <c r="AG23" s="986"/>
      <c r="AH23" s="986"/>
      <c r="AI23" s="986"/>
      <c r="AJ23" s="986"/>
      <c r="AK23" s="986"/>
      <c r="AL23" s="986"/>
      <c r="AM23" s="986"/>
      <c r="AN23" s="986"/>
      <c r="AO23" s="986"/>
      <c r="AP23" s="986"/>
      <c r="AQ23" s="986"/>
      <c r="AR23" s="986"/>
      <c r="AS23" s="986"/>
      <c r="AT23" s="986"/>
      <c r="AU23" s="986"/>
      <c r="AV23" s="986"/>
      <c r="AW23" s="986"/>
      <c r="AX23" s="986"/>
      <c r="AY23" s="986"/>
      <c r="AZ23" s="986"/>
      <c r="BA23" s="986"/>
      <c r="BB23" s="986"/>
      <c r="BC23" s="986"/>
      <c r="BD23" s="986"/>
      <c r="BE23" s="986"/>
    </row>
    <row r="24" spans="1:57" ht="14.25" customHeight="1" thickBot="1" x14ac:dyDescent="0.3">
      <c r="A24" s="1232"/>
      <c r="B24" s="1238" t="s">
        <v>1310</v>
      </c>
      <c r="C24" s="1239">
        <f ca="1">CO2_flowrate*365/1000000</f>
        <v>1.9190024202480453</v>
      </c>
      <c r="D24" s="1391"/>
      <c r="E24" s="1391"/>
      <c r="F24" s="1392"/>
      <c r="G24" s="1232"/>
      <c r="H24" s="1232"/>
      <c r="I24" s="1232"/>
      <c r="J24" s="1232"/>
      <c r="K24" s="1232"/>
      <c r="L24" s="1232"/>
      <c r="M24" s="1232"/>
      <c r="N24" s="1232"/>
      <c r="O24" s="1232"/>
      <c r="P24" s="1232"/>
      <c r="Q24" s="1232"/>
      <c r="R24" s="1232"/>
      <c r="S24" s="1232"/>
      <c r="T24" s="1232"/>
      <c r="U24" s="1232"/>
      <c r="V24" s="1232"/>
      <c r="W24" s="1232"/>
      <c r="X24" s="1232"/>
      <c r="Y24" s="1232"/>
      <c r="Z24" s="1232"/>
      <c r="AA24" s="1232"/>
      <c r="AB24" s="1232"/>
      <c r="AC24" s="1232"/>
      <c r="AD24" s="986"/>
      <c r="AE24" s="986"/>
      <c r="AF24" s="986"/>
      <c r="AG24" s="986"/>
      <c r="AH24" s="986"/>
      <c r="AI24" s="986"/>
      <c r="AJ24" s="986"/>
      <c r="AK24" s="986"/>
      <c r="AL24" s="986"/>
      <c r="AM24" s="986"/>
      <c r="AN24" s="986"/>
      <c r="AO24" s="986"/>
      <c r="AP24" s="986"/>
      <c r="AQ24" s="986"/>
      <c r="AR24" s="986"/>
      <c r="AS24" s="986"/>
      <c r="AT24" s="986"/>
      <c r="AU24" s="986"/>
      <c r="AV24" s="986"/>
      <c r="AW24" s="986"/>
      <c r="AX24" s="986"/>
      <c r="AY24" s="986"/>
      <c r="AZ24" s="986"/>
      <c r="BA24" s="986"/>
      <c r="BB24" s="986"/>
      <c r="BC24" s="986"/>
      <c r="BD24" s="986"/>
      <c r="BE24" s="986"/>
    </row>
    <row r="25" spans="1:57" ht="18.75" customHeight="1" thickBot="1" x14ac:dyDescent="0.3">
      <c r="A25" s="1232"/>
      <c r="B25" s="1232"/>
      <c r="C25" s="1232"/>
      <c r="D25" s="1232"/>
      <c r="E25" s="1232"/>
      <c r="F25" s="1232"/>
      <c r="G25" s="1232"/>
      <c r="H25" s="1232"/>
      <c r="I25" s="1232"/>
      <c r="J25" s="1232"/>
      <c r="K25" s="1232"/>
      <c r="L25" s="1232"/>
      <c r="M25" s="1232"/>
      <c r="N25" s="1232"/>
      <c r="O25" s="1232"/>
      <c r="P25" s="1232"/>
      <c r="Q25" s="1232"/>
      <c r="R25" s="1232"/>
      <c r="S25" s="1232"/>
      <c r="T25" s="1232"/>
      <c r="U25" s="1232"/>
      <c r="V25" s="1232"/>
      <c r="W25" s="1232"/>
      <c r="X25" s="1232"/>
      <c r="Y25" s="1232"/>
      <c r="Z25" s="1232"/>
      <c r="AA25" s="1232"/>
      <c r="AB25" s="1232"/>
      <c r="AC25" s="1232"/>
      <c r="AD25" s="986"/>
      <c r="AE25" s="986"/>
      <c r="AF25" s="986"/>
      <c r="AG25" s="986"/>
      <c r="AH25" s="986"/>
      <c r="AI25" s="986"/>
      <c r="AJ25" s="986"/>
      <c r="AK25" s="986"/>
      <c r="AL25" s="986"/>
      <c r="AM25" s="986"/>
      <c r="AN25" s="986"/>
      <c r="AO25" s="986"/>
      <c r="AP25" s="986"/>
      <c r="AQ25" s="986"/>
      <c r="AR25" s="986"/>
      <c r="AS25" s="986"/>
      <c r="AT25" s="986"/>
      <c r="AU25" s="986"/>
      <c r="AV25" s="986"/>
      <c r="AW25" s="986"/>
      <c r="AX25" s="986"/>
      <c r="AY25" s="986"/>
      <c r="AZ25" s="986"/>
      <c r="BA25" s="986"/>
      <c r="BB25" s="986"/>
      <c r="BC25" s="986"/>
      <c r="BD25" s="986"/>
      <c r="BE25" s="986"/>
    </row>
    <row r="26" spans="1:57" ht="19.5" customHeight="1" thickTop="1" thickBot="1" x14ac:dyDescent="0.3">
      <c r="A26" s="1232"/>
      <c r="B26" s="1292" t="s">
        <v>406</v>
      </c>
      <c r="C26" s="1293"/>
      <c r="D26" s="1294"/>
      <c r="E26" s="1294"/>
      <c r="F26" s="1295"/>
      <c r="G26" s="1232"/>
      <c r="H26" s="1232"/>
      <c r="I26" s="1232"/>
      <c r="J26" s="1232"/>
      <c r="K26" s="1232"/>
      <c r="L26" s="1232"/>
      <c r="M26" s="1232"/>
      <c r="N26" s="1232"/>
      <c r="O26" s="1232"/>
      <c r="P26" s="1232"/>
      <c r="Q26" s="1232"/>
      <c r="R26" s="1232"/>
      <c r="S26" s="1232"/>
      <c r="T26" s="1232"/>
      <c r="U26" s="1232"/>
      <c r="V26" s="1232"/>
      <c r="W26" s="1232"/>
      <c r="X26" s="1232"/>
      <c r="Y26" s="1232"/>
      <c r="Z26" s="1232"/>
      <c r="AA26" s="1232"/>
      <c r="AB26" s="1232"/>
      <c r="AC26" s="1232"/>
      <c r="AD26" s="986"/>
      <c r="AE26" s="986"/>
      <c r="AF26" s="986"/>
      <c r="AG26" s="986"/>
      <c r="AH26" s="986"/>
      <c r="AI26" s="986"/>
      <c r="AJ26" s="986"/>
      <c r="AK26" s="986"/>
      <c r="AL26" s="986"/>
      <c r="AM26" s="986"/>
      <c r="AN26" s="986"/>
      <c r="AO26" s="986"/>
      <c r="AP26" s="986"/>
      <c r="AQ26" s="986"/>
      <c r="AR26" s="986"/>
      <c r="AS26" s="986"/>
      <c r="AT26" s="986"/>
      <c r="AU26" s="986"/>
      <c r="AV26" s="986"/>
      <c r="AW26" s="986"/>
      <c r="AX26" s="986"/>
      <c r="AY26" s="986"/>
      <c r="AZ26" s="986"/>
      <c r="BA26" s="986"/>
      <c r="BB26" s="986"/>
      <c r="BC26" s="986"/>
      <c r="BD26" s="986"/>
      <c r="BE26" s="986"/>
    </row>
    <row r="27" spans="1:57" ht="13.8" x14ac:dyDescent="0.25">
      <c r="A27" s="1232"/>
      <c r="B27" s="1235" t="s">
        <v>1178</v>
      </c>
      <c r="C27" s="1296"/>
      <c r="D27" s="1296"/>
      <c r="E27" s="1296"/>
      <c r="F27" s="1297"/>
      <c r="G27" s="1232"/>
      <c r="H27" s="1232"/>
      <c r="I27" s="1232"/>
      <c r="J27" s="1232"/>
      <c r="K27" s="1232"/>
      <c r="L27" s="1232"/>
      <c r="M27" s="1232"/>
      <c r="N27" s="1232"/>
      <c r="O27" s="1232"/>
      <c r="P27" s="1232"/>
      <c r="Q27" s="1232"/>
      <c r="R27" s="1232"/>
      <c r="S27" s="1232"/>
      <c r="T27" s="1232"/>
      <c r="U27" s="1232"/>
      <c r="V27" s="1232"/>
      <c r="W27" s="1232"/>
      <c r="X27" s="1232"/>
      <c r="Y27" s="1232"/>
      <c r="Z27" s="1232"/>
      <c r="AA27" s="1232"/>
      <c r="AB27" s="1232"/>
      <c r="AC27" s="1232"/>
      <c r="AD27" s="986"/>
      <c r="AE27" s="986"/>
      <c r="AF27" s="986"/>
      <c r="AG27" s="986"/>
      <c r="AH27" s="986"/>
      <c r="AI27" s="986"/>
      <c r="AJ27" s="986"/>
      <c r="AK27" s="986"/>
      <c r="AL27" s="986"/>
      <c r="AM27" s="986"/>
      <c r="AN27" s="986"/>
      <c r="AO27" s="986"/>
      <c r="AP27" s="986"/>
      <c r="AQ27" s="986"/>
      <c r="AR27" s="986"/>
      <c r="AS27" s="986"/>
      <c r="AT27" s="986"/>
      <c r="AU27" s="986"/>
      <c r="AV27" s="986"/>
      <c r="AW27" s="986"/>
      <c r="AX27" s="986"/>
      <c r="AY27" s="986"/>
      <c r="AZ27" s="986"/>
      <c r="BA27" s="986"/>
      <c r="BB27" s="986"/>
      <c r="BC27" s="986"/>
      <c r="BD27" s="986"/>
      <c r="BE27" s="986"/>
    </row>
    <row r="28" spans="1:57" ht="14.4" customHeight="1" x14ac:dyDescent="0.25">
      <c r="A28" s="1232"/>
      <c r="B28" s="1233" t="s">
        <v>973</v>
      </c>
      <c r="C28" s="1236">
        <f>+ProcessFlow!V16</f>
        <v>0.94480942358724096</v>
      </c>
      <c r="D28" s="1298"/>
      <c r="E28" s="1483" t="s">
        <v>1185</v>
      </c>
      <c r="F28" s="1484"/>
      <c r="G28" s="1232"/>
      <c r="H28" s="1232"/>
      <c r="I28" s="1232"/>
      <c r="J28" s="1232"/>
      <c r="K28" s="1232"/>
      <c r="L28" s="1232"/>
      <c r="M28" s="1232"/>
      <c r="N28" s="1232"/>
      <c r="O28" s="1232"/>
      <c r="P28" s="1232"/>
      <c r="Q28" s="1232"/>
      <c r="R28" s="1232"/>
      <c r="S28" s="1232"/>
      <c r="T28" s="1232"/>
      <c r="U28" s="1232"/>
      <c r="V28" s="1232"/>
      <c r="W28" s="1232"/>
      <c r="X28" s="1232"/>
      <c r="Y28" s="1232"/>
      <c r="Z28" s="1232"/>
      <c r="AA28" s="1232"/>
      <c r="AB28" s="1232"/>
      <c r="AC28" s="1232"/>
      <c r="AD28" s="986"/>
      <c r="AE28" s="986"/>
      <c r="AF28" s="986"/>
      <c r="AG28" s="986"/>
      <c r="AH28" s="986"/>
      <c r="AI28" s="986"/>
      <c r="AJ28" s="986"/>
      <c r="AK28" s="986"/>
      <c r="AL28" s="986"/>
      <c r="AM28" s="986"/>
      <c r="AN28" s="986"/>
      <c r="AO28" s="986"/>
      <c r="AP28" s="986"/>
      <c r="AQ28" s="986"/>
      <c r="AR28" s="986"/>
      <c r="AS28" s="986"/>
      <c r="AT28" s="986"/>
      <c r="AU28" s="986"/>
      <c r="AV28" s="986"/>
      <c r="AW28" s="986"/>
      <c r="AX28" s="986"/>
      <c r="AY28" s="986"/>
      <c r="AZ28" s="986"/>
      <c r="BA28" s="986"/>
      <c r="BB28" s="986"/>
      <c r="BC28" s="986"/>
      <c r="BD28" s="986"/>
      <c r="BE28" s="986"/>
    </row>
    <row r="29" spans="1:57" ht="14.4" customHeight="1" x14ac:dyDescent="0.25">
      <c r="A29" s="1232"/>
      <c r="B29" s="1233" t="s">
        <v>1412</v>
      </c>
      <c r="C29" s="1236">
        <f ca="1">+cap_factor</f>
        <v>0.9</v>
      </c>
      <c r="D29" s="1298"/>
      <c r="E29" s="1355"/>
      <c r="F29" s="1356"/>
      <c r="G29" s="1232"/>
      <c r="H29" s="1232"/>
      <c r="I29" s="1232"/>
      <c r="J29" s="1232"/>
      <c r="K29" s="1232"/>
      <c r="L29" s="1232"/>
      <c r="M29" s="1232"/>
      <c r="N29" s="1232"/>
      <c r="O29" s="1232"/>
      <c r="P29" s="1232"/>
      <c r="Q29" s="1232"/>
      <c r="R29" s="1232"/>
      <c r="S29" s="1232"/>
      <c r="T29" s="1232"/>
      <c r="U29" s="1232"/>
      <c r="V29" s="1232"/>
      <c r="W29" s="1232"/>
      <c r="X29" s="1232"/>
      <c r="Y29" s="1232"/>
      <c r="Z29" s="1232"/>
      <c r="AA29" s="1232"/>
      <c r="AB29" s="1232"/>
      <c r="AC29" s="1232"/>
      <c r="AD29" s="986"/>
      <c r="AE29" s="986"/>
      <c r="AF29" s="986"/>
      <c r="AG29" s="986"/>
      <c r="AH29" s="986"/>
      <c r="AI29" s="986"/>
      <c r="AJ29" s="986"/>
      <c r="AK29" s="986"/>
      <c r="AL29" s="986"/>
      <c r="AM29" s="986"/>
      <c r="AN29" s="986"/>
      <c r="AO29" s="986"/>
      <c r="AP29" s="986"/>
      <c r="AQ29" s="986"/>
      <c r="AR29" s="986"/>
      <c r="AS29" s="986"/>
      <c r="AT29" s="986"/>
      <c r="AU29" s="986"/>
      <c r="AV29" s="986"/>
      <c r="AW29" s="986"/>
      <c r="AX29" s="986"/>
      <c r="AY29" s="986"/>
      <c r="AZ29" s="986"/>
      <c r="BA29" s="986"/>
      <c r="BB29" s="986"/>
      <c r="BC29" s="986"/>
      <c r="BD29" s="986"/>
      <c r="BE29" s="986"/>
    </row>
    <row r="30" spans="1:57" ht="14.25" customHeight="1" x14ac:dyDescent="0.25">
      <c r="A30" s="1232"/>
      <c r="B30" s="1233" t="s">
        <v>1418</v>
      </c>
      <c r="C30" s="1252">
        <v>160</v>
      </c>
      <c r="D30" s="1298"/>
      <c r="E30" s="1248"/>
      <c r="F30" s="1249"/>
      <c r="G30" s="1232"/>
      <c r="H30" s="1232"/>
      <c r="I30" s="1232"/>
      <c r="J30" s="1232"/>
      <c r="K30" s="1232"/>
      <c r="L30" s="1232"/>
      <c r="M30" s="1232"/>
      <c r="N30" s="1232"/>
      <c r="O30" s="1232"/>
      <c r="P30" s="1232"/>
      <c r="Q30" s="1232"/>
      <c r="R30" s="1232"/>
      <c r="S30" s="1232"/>
      <c r="T30" s="1232"/>
      <c r="U30" s="1232"/>
      <c r="V30" s="1232"/>
      <c r="W30" s="1232"/>
      <c r="X30" s="1232"/>
      <c r="Y30" s="1232"/>
      <c r="Z30" s="1232"/>
      <c r="AA30" s="1232"/>
      <c r="AB30" s="1232"/>
      <c r="AC30" s="1232"/>
      <c r="AD30" s="986"/>
      <c r="AE30" s="986"/>
      <c r="AF30" s="986"/>
      <c r="AG30" s="986"/>
      <c r="AH30" s="986"/>
      <c r="AI30" s="986"/>
      <c r="AJ30" s="986"/>
      <c r="AK30" s="986"/>
      <c r="AL30" s="986"/>
      <c r="AM30" s="986"/>
      <c r="AN30" s="986"/>
      <c r="AO30" s="986"/>
      <c r="AP30" s="986"/>
      <c r="AQ30" s="986"/>
      <c r="AR30" s="986"/>
      <c r="AS30" s="986"/>
      <c r="AT30" s="986"/>
      <c r="AU30" s="986"/>
      <c r="AV30" s="986"/>
      <c r="AW30" s="986"/>
      <c r="AX30" s="986"/>
      <c r="AY30" s="986"/>
      <c r="AZ30" s="986"/>
      <c r="BA30" s="986"/>
      <c r="BB30" s="986"/>
      <c r="BC30" s="986"/>
      <c r="BD30" s="986"/>
      <c r="BE30" s="986"/>
    </row>
    <row r="31" spans="1:57" ht="13.8" x14ac:dyDescent="0.25">
      <c r="A31" s="1232"/>
      <c r="B31" s="1233" t="s">
        <v>1313</v>
      </c>
      <c r="C31" s="990">
        <v>0</v>
      </c>
      <c r="D31" s="1298"/>
      <c r="E31" s="1250"/>
      <c r="F31" s="1251"/>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986"/>
      <c r="AE31" s="986"/>
      <c r="AF31" s="986"/>
      <c r="AG31" s="986"/>
      <c r="AH31" s="986"/>
      <c r="AI31" s="986"/>
      <c r="AJ31" s="986"/>
      <c r="AK31" s="986"/>
      <c r="AL31" s="986"/>
      <c r="AM31" s="986"/>
      <c r="AN31" s="986"/>
      <c r="AO31" s="986"/>
      <c r="AP31" s="986"/>
      <c r="AQ31" s="986"/>
      <c r="AR31" s="986"/>
      <c r="AS31" s="986"/>
      <c r="AT31" s="986"/>
      <c r="AU31" s="986"/>
      <c r="AV31" s="986"/>
      <c r="AW31" s="986"/>
      <c r="AX31" s="986"/>
      <c r="AY31" s="986"/>
      <c r="AZ31" s="986"/>
      <c r="BA31" s="986"/>
      <c r="BB31" s="986"/>
      <c r="BC31" s="986"/>
      <c r="BD31" s="986"/>
      <c r="BE31" s="986"/>
    </row>
    <row r="32" spans="1:57" ht="13.95" customHeight="1" thickBot="1" x14ac:dyDescent="0.3">
      <c r="A32" s="1232"/>
      <c r="B32" s="1234" t="s">
        <v>0</v>
      </c>
      <c r="C32" s="995">
        <f ca="1">+'Cash Flow Analysis'!E22</f>
        <v>8.3860161500585326E-2</v>
      </c>
      <c r="D32" s="1299"/>
      <c r="E32" s="1473"/>
      <c r="F32" s="1474"/>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986"/>
      <c r="AE32" s="986"/>
      <c r="AF32" s="986"/>
      <c r="AG32" s="986"/>
      <c r="AH32" s="986"/>
      <c r="AI32" s="986"/>
      <c r="AJ32" s="986"/>
      <c r="AK32" s="986"/>
      <c r="AL32" s="986"/>
      <c r="AM32" s="986"/>
      <c r="AN32" s="986"/>
      <c r="AO32" s="986"/>
      <c r="AP32" s="986"/>
      <c r="AQ32" s="986"/>
      <c r="AR32" s="986"/>
      <c r="AS32" s="986"/>
      <c r="AT32" s="986"/>
      <c r="AU32" s="986"/>
      <c r="AV32" s="986"/>
      <c r="AW32" s="986"/>
      <c r="AX32" s="986"/>
      <c r="AY32" s="986"/>
      <c r="AZ32" s="986"/>
      <c r="BA32" s="986"/>
      <c r="BB32" s="986"/>
      <c r="BC32" s="986"/>
      <c r="BD32" s="986"/>
      <c r="BE32" s="986"/>
    </row>
    <row r="33" spans="1:57" ht="13.95" customHeight="1" thickTop="1" x14ac:dyDescent="0.25">
      <c r="A33" s="1232"/>
      <c r="B33" s="1232"/>
      <c r="C33" s="1232"/>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986"/>
      <c r="AE33" s="986"/>
      <c r="AF33" s="986"/>
      <c r="AG33" s="986"/>
      <c r="AH33" s="986"/>
      <c r="AI33" s="986"/>
      <c r="AJ33" s="986"/>
      <c r="AK33" s="986"/>
      <c r="AL33" s="986"/>
      <c r="AM33" s="986"/>
      <c r="AN33" s="986"/>
      <c r="AO33" s="986"/>
      <c r="AP33" s="986"/>
      <c r="AQ33" s="986"/>
      <c r="AR33" s="986"/>
      <c r="AS33" s="986"/>
      <c r="AT33" s="986"/>
      <c r="AU33" s="986"/>
      <c r="AV33" s="986"/>
      <c r="AW33" s="986"/>
      <c r="AX33" s="986"/>
      <c r="AY33" s="986"/>
      <c r="AZ33" s="986"/>
      <c r="BA33" s="986"/>
      <c r="BB33" s="986"/>
      <c r="BC33" s="986"/>
      <c r="BD33" s="986"/>
      <c r="BE33" s="986"/>
    </row>
    <row r="34" spans="1:57" ht="13.8" thickBot="1" x14ac:dyDescent="0.3">
      <c r="A34" s="1232"/>
      <c r="B34" s="1232"/>
      <c r="C34" s="1232"/>
      <c r="D34" s="1232"/>
      <c r="E34" s="1232"/>
      <c r="F34" s="1232"/>
      <c r="G34" s="1232"/>
      <c r="H34" s="1232"/>
      <c r="I34" s="1232"/>
      <c r="J34" s="1232"/>
      <c r="K34" s="1232"/>
      <c r="L34" s="1300"/>
      <c r="M34" s="1232"/>
      <c r="N34" s="1232"/>
      <c r="O34" s="1232"/>
      <c r="P34" s="1232"/>
      <c r="Q34" s="1232"/>
      <c r="R34" s="1232"/>
      <c r="S34" s="1232"/>
      <c r="T34" s="1232"/>
      <c r="U34" s="1232"/>
      <c r="V34" s="1232"/>
      <c r="W34" s="1232"/>
      <c r="X34" s="1232"/>
      <c r="Y34" s="1232"/>
      <c r="Z34" s="1232"/>
      <c r="AA34" s="1232"/>
      <c r="AB34" s="1232"/>
      <c r="AC34" s="1232"/>
      <c r="AD34" s="986"/>
      <c r="AE34" s="986"/>
      <c r="AF34" s="986"/>
      <c r="AG34" s="986"/>
      <c r="AH34" s="986"/>
      <c r="AI34" s="986"/>
      <c r="AJ34" s="986"/>
      <c r="AK34" s="986"/>
      <c r="AL34" s="986"/>
      <c r="AM34" s="986"/>
      <c r="AN34" s="986"/>
      <c r="AO34" s="986"/>
      <c r="AP34" s="986"/>
      <c r="AQ34" s="986"/>
      <c r="AR34" s="986"/>
      <c r="AS34" s="986"/>
      <c r="AT34" s="986"/>
      <c r="AU34" s="986"/>
      <c r="AV34" s="986"/>
      <c r="AW34" s="986"/>
      <c r="AX34" s="986"/>
      <c r="AY34" s="986"/>
      <c r="AZ34" s="986"/>
      <c r="BA34" s="986"/>
      <c r="BB34" s="986"/>
      <c r="BC34" s="986"/>
      <c r="BD34" s="986"/>
      <c r="BE34" s="986"/>
    </row>
    <row r="35" spans="1:57" ht="66.599999999999994" thickBot="1" x14ac:dyDescent="0.3">
      <c r="A35" s="1357"/>
      <c r="B35" s="1232"/>
      <c r="C35" s="1405" t="s">
        <v>1401</v>
      </c>
      <c r="D35" s="1406" t="s">
        <v>1402</v>
      </c>
      <c r="E35" s="1406" t="str">
        <f>"First year cost in basis year dollars ("&amp;BasisYear&amp;"$/tonne CO₂)"</f>
        <v>First year cost in basis year dollars (2018$/tonne CO₂)</v>
      </c>
      <c r="F35" s="1406" t="str">
        <f>"First year cost ("&amp;BasisYear&amp;"$/year)"</f>
        <v>First year cost (2018$/year)</v>
      </c>
      <c r="G35" s="1406" t="str">
        <f>"First year cost in reference year dollars ("&amp;ref_year&amp;"$/tonne CO₂)"</f>
        <v>First year cost in reference year dollars (2016$/tonne CO₂)</v>
      </c>
      <c r="H35" s="1407" t="str">
        <f>"First year cost in reference year dollars ("&amp;ref_year&amp;"$/kg H₂)"</f>
        <v>First year cost in reference year dollars (2016$/kg H₂)</v>
      </c>
      <c r="I35" s="1357"/>
      <c r="J35" s="1357"/>
      <c r="K35" s="1357"/>
      <c r="L35" s="1357"/>
      <c r="M35" s="1357"/>
      <c r="N35" s="1357"/>
      <c r="O35" s="1357"/>
      <c r="P35" s="1357"/>
      <c r="Q35" s="1357"/>
      <c r="R35" s="1357"/>
      <c r="S35" s="1357"/>
      <c r="T35" s="1357"/>
      <c r="U35" s="1357"/>
      <c r="V35" s="1357"/>
      <c r="W35" s="1357"/>
      <c r="X35" s="1357"/>
      <c r="Y35" s="1357"/>
      <c r="Z35" s="1357"/>
      <c r="AA35" s="1357"/>
      <c r="AB35" s="1357"/>
      <c r="AC35" s="1357"/>
    </row>
    <row r="36" spans="1:57" x14ac:dyDescent="0.25">
      <c r="A36" s="1357"/>
      <c r="B36" s="1410" t="s">
        <v>1398</v>
      </c>
      <c r="C36" s="1393">
        <v>2015</v>
      </c>
      <c r="D36" s="1409">
        <f ca="1">IF(CO2_Capture_Efficiency&gt;0,(D43
+E43*CO2_flowrate_GTpY^E44*(1/C29)^E45+
+F43*CO2_flowrate_GTpY^F44*(1/C29)^F45+
+G43*CO2_flowrate_GTpY^G44*(1/C29)^G45)*CO2_PipeLength/1.609,0)</f>
        <v>5.3609222997421613</v>
      </c>
      <c r="E36" s="1409" cm="1">
        <f t="array" aca="1" ref="E36" ca="1">+D36
*INDEX('HyARC Physical Property Data'!$B$94:$B$123,MATCH(BasisYear,'HyARC Physical Property Data'!A94:A123,0),0)
/INDEX('HyARC Physical Property Data'!$B$94:$B$123,MATCH(C36,'HyARC Physical Property Data'!A94:A123,0),0)</f>
        <v>5.6490815708364366</v>
      </c>
      <c r="F36" s="1394">
        <f ca="1">+E36*CO2_flowrate_GTpY*1000000</f>
        <v>10840601.206613751</v>
      </c>
      <c r="G36" s="1395" cm="1">
        <f t="array" aca="1" ref="G36" ca="1">IF(CO2_Capture_Efficiency&gt;0,
E36
*INDEX('HyARC Physical Property Data'!$B$94:$B$123,MATCH(ref_year,'HyARC Physical Property Data'!$A$94:$A$123,0),0)
/INDEX('HyARC Physical Property Data'!$B$94:$B$123,MATCH(BasisYear,'HyARC Physical Property Data'!$A$94:$A$123,0),0),0)</f>
        <v>5.4145497015198467</v>
      </c>
      <c r="H36" s="1396" cm="1">
        <f t="array" aca="1" ref="H36" ca="1">+F36/output_kgyear
*INDEX('HyARC Physical Property Data'!$B$94:$B$123,MATCH(ref_year,'HyARC Physical Property Data'!A94:A123,0),0)
/INDEX('HyARC Physical Property Data'!$B$94:$B$123,MATCH(BasisYear,'HyARC Physical Property Data'!A94:A123,0),0)</f>
        <v>4.7924606714496179E-2</v>
      </c>
      <c r="I36" s="1357"/>
      <c r="J36" s="1357"/>
      <c r="K36" s="1357"/>
      <c r="L36" s="1357"/>
      <c r="M36" s="1357"/>
      <c r="N36" s="1357"/>
      <c r="O36" s="1357"/>
      <c r="P36" s="1357"/>
      <c r="Q36" s="1357"/>
      <c r="R36" s="1357"/>
      <c r="S36" s="1357"/>
      <c r="T36" s="1357"/>
      <c r="U36" s="1357"/>
      <c r="V36" s="1357"/>
      <c r="W36" s="1357"/>
      <c r="X36" s="1357"/>
      <c r="Y36" s="1357"/>
      <c r="Z36" s="1357"/>
      <c r="AA36" s="1357"/>
      <c r="AB36" s="1357"/>
      <c r="AC36" s="1357"/>
    </row>
    <row r="37" spans="1:57" x14ac:dyDescent="0.25">
      <c r="A37" s="1357"/>
      <c r="B37" s="1397" t="s">
        <v>1399</v>
      </c>
      <c r="C37" s="1390">
        <v>2015</v>
      </c>
      <c r="D37" s="1371">
        <f ca="1">IF(CO2_Capture_Efficiency&gt;0,(D50
+E50*CO2_flowrate_GTpY^E51*(1/C29)^E52+
+F50*CO2_flowrate_GTpY^F51*(1/C29)^F52+
+G50*CO2_flowrate_GTpY^G51*(1/C29)^G52+
+H50*CO2_flowrate_GTpY^H51*(1/C29)^H52+
+I50*CO2_flowrate_GTpY^I51*(1/C29)^I52+
+J50*CO2_flowrate_GTpY^J51*(1/C29)^J52),0)</f>
        <v>14.806379920669979</v>
      </c>
      <c r="E37" s="1371" cm="1">
        <f t="array" aca="1" ref="E37" ca="1">+D37
*INDEX('HyARC Physical Property Data'!$B$94:$B$123,MATCH(BasisYear,'HyARC Physical Property Data'!A95:A124,0),0)
/INDEX('HyARC Physical Property Data'!$B$94:$B$123,MATCH(C37,'HyARC Physical Property Data'!A95:A124,0),0)</f>
        <v>15.391108253547758</v>
      </c>
      <c r="F37" s="1375">
        <f ca="1">+E37*CO2_flowrate_GTpY*1000000</f>
        <v>29535573.988857813</v>
      </c>
      <c r="G37" s="1373" cm="1">
        <f t="array" aca="1" ref="G37" ca="1">+E37
*INDEX('HyARC Physical Property Data'!$B$94:$B$123,MATCH(ref_year,'HyARC Physical Property Data'!$A$94:$A$123,0),0)
/INDEX('HyARC Physical Property Data'!$B$94:$B$123,MATCH(BasisYear,'HyARC Physical Property Data'!$A$94:$A$123,0),0)</f>
        <v>14.752118473652605</v>
      </c>
      <c r="H37" s="1398" cm="1">
        <f t="array" aca="1" ref="H37" ca="1">+F37/output_kgyear
*INDEX('HyARC Physical Property Data'!$B$94:$B$123,MATCH(ref_year,'HyARC Physical Property Data'!A95:A124,0),0)
/INDEX('HyARC Physical Property Data'!$B$94:$B$123,MATCH(BasisYear,'HyARC Physical Property Data'!A95:A124,0),0)</f>
        <v>0.13236867027629806</v>
      </c>
      <c r="I37" s="1357"/>
      <c r="J37" s="1357"/>
      <c r="K37" s="1357"/>
      <c r="L37" s="1357"/>
      <c r="M37" s="1357"/>
      <c r="N37" s="1357"/>
      <c r="O37" s="1357"/>
      <c r="P37" s="1357"/>
      <c r="Q37" s="1357"/>
      <c r="R37" s="1357"/>
      <c r="S37" s="1357"/>
      <c r="T37" s="1357"/>
      <c r="U37" s="1357"/>
      <c r="V37" s="1357"/>
      <c r="W37" s="1357"/>
      <c r="X37" s="1357"/>
      <c r="Y37" s="1357"/>
      <c r="Z37" s="1357"/>
      <c r="AA37" s="1357"/>
      <c r="AB37" s="1357"/>
      <c r="AC37" s="1357"/>
    </row>
    <row r="38" spans="1:57" ht="13.8" thickBot="1" x14ac:dyDescent="0.3">
      <c r="A38" s="1357"/>
      <c r="B38" s="1399" t="s">
        <v>1411</v>
      </c>
      <c r="C38" s="1359"/>
      <c r="D38" s="1372"/>
      <c r="E38" s="1372" cm="1">
        <f t="array" ref="E38">+G38/INDEX('HyARC Physical Property Data'!$B$94:$B$123,MATCH(ref_year,'HyARC Physical Property Data'!$A$94:$A$123,0),0)
*INDEX('HyARC Physical Property Data'!$B$94:$B$123,MATCH(BasisYear,'HyARC Physical Property Data'!$A$94:$A$123,0),0)</f>
        <v>0</v>
      </c>
      <c r="F38" s="1376">
        <f ca="1">+E38*CO2_flowrate_GTpY*1000000</f>
        <v>0</v>
      </c>
      <c r="G38" s="1374">
        <f>-CO2_credit</f>
        <v>0</v>
      </c>
      <c r="H38" s="1400" cm="1">
        <f t="array" aca="1" ref="H38" ca="1">+F38/output_kgyear
*INDEX('HyARC Physical Property Data'!$B$94:$B$123,MATCH(ref_year,'HyARC Physical Property Data'!A96:A125,0),0)
/INDEX('HyARC Physical Property Data'!$B$94:$B$123,MATCH(BasisYear,'HyARC Physical Property Data'!A96:A125,0),0)</f>
        <v>0</v>
      </c>
      <c r="I38" s="1357"/>
      <c r="J38" s="1357"/>
      <c r="K38" s="1357"/>
      <c r="L38" s="1357"/>
      <c r="M38" s="1357"/>
      <c r="N38" s="1357"/>
      <c r="O38" s="1357"/>
      <c r="P38" s="1357"/>
      <c r="Q38" s="1357"/>
      <c r="R38" s="1357"/>
      <c r="S38" s="1357"/>
      <c r="T38" s="1357"/>
      <c r="U38" s="1357"/>
      <c r="V38" s="1357"/>
      <c r="W38" s="1357"/>
      <c r="X38" s="1357"/>
      <c r="Y38" s="1357"/>
      <c r="Z38" s="1357"/>
      <c r="AA38" s="1357"/>
      <c r="AB38" s="1357"/>
      <c r="AC38" s="1357"/>
    </row>
    <row r="39" spans="1:57" ht="14.4" thickTop="1" thickBot="1" x14ac:dyDescent="0.3">
      <c r="A39" s="1357"/>
      <c r="B39" s="1301" t="str">
        <f>"Total ("&amp;startup_year&amp;"$/metric tonne)"</f>
        <v>Total (2015$/metric tonne)</v>
      </c>
      <c r="C39" s="1401"/>
      <c r="D39" s="1401">
        <f ca="1">+SUM(D36:D38)</f>
        <v>20.167302220412139</v>
      </c>
      <c r="E39" s="1401">
        <f ca="1">+SUM(E36:E38)</f>
        <v>21.040189824384193</v>
      </c>
      <c r="F39" s="1402">
        <f ca="1">IF(CO2_Capture_Efficiency&gt;0,SUM(F36:F38),0)</f>
        <v>40376175.195471562</v>
      </c>
      <c r="G39" s="1403">
        <f ca="1">+SUM(G36:G38)</f>
        <v>20.16666817517245</v>
      </c>
      <c r="H39" s="1404" cm="1">
        <f t="array" aca="1" ref="H39" ca="1">+F39/output_kgyear
*INDEX('HyARC Physical Property Data'!$B$94:$B$123,MATCH(ref_year,'HyARC Physical Property Data'!A96:A125,0),0)
/INDEX('HyARC Physical Property Data'!$B$94:$B$123,MATCH(BasisYear,'HyARC Physical Property Data'!A96:A125,0),0)</f>
        <v>0.18255045956552335</v>
      </c>
      <c r="I39" s="1357"/>
      <c r="J39" s="1357"/>
      <c r="K39" s="1357"/>
      <c r="L39" s="1357"/>
      <c r="M39" s="1357"/>
      <c r="N39" s="1357"/>
      <c r="O39" s="1357"/>
      <c r="P39" s="1357"/>
      <c r="Q39" s="1357"/>
      <c r="R39" s="1357"/>
      <c r="S39" s="1357"/>
      <c r="T39" s="1357"/>
      <c r="U39" s="1357"/>
      <c r="V39" s="1357"/>
      <c r="W39" s="1357"/>
      <c r="X39" s="1357"/>
      <c r="Y39" s="1357"/>
      <c r="Z39" s="1357"/>
      <c r="AA39" s="1357"/>
      <c r="AB39" s="1357"/>
      <c r="AC39" s="1357"/>
    </row>
    <row r="40" spans="1:57" x14ac:dyDescent="0.25">
      <c r="A40" s="1232"/>
      <c r="B40" s="1232"/>
      <c r="C40" s="1232"/>
      <c r="D40" s="1232"/>
      <c r="E40" s="1232"/>
      <c r="F40" s="1232"/>
      <c r="G40" s="1232"/>
      <c r="H40" s="1232"/>
      <c r="I40" s="1357"/>
      <c r="J40" s="1232"/>
      <c r="K40" s="1232"/>
      <c r="L40" s="1300"/>
      <c r="M40" s="1232"/>
      <c r="N40" s="1232"/>
      <c r="O40" s="1232"/>
      <c r="P40" s="1232"/>
      <c r="Q40" s="1232"/>
      <c r="R40" s="1232"/>
      <c r="S40" s="1232"/>
      <c r="T40" s="1232"/>
      <c r="U40" s="1232"/>
      <c r="V40" s="1232"/>
      <c r="W40" s="1232"/>
      <c r="X40" s="1232"/>
      <c r="Y40" s="1232"/>
      <c r="Z40" s="1232"/>
      <c r="AA40" s="1232"/>
      <c r="AB40" s="1232"/>
      <c r="AC40" s="1232"/>
      <c r="AD40" s="986"/>
      <c r="AE40" s="986"/>
      <c r="AF40" s="986"/>
      <c r="AG40" s="986"/>
      <c r="AH40" s="986"/>
      <c r="AI40" s="986"/>
      <c r="AJ40" s="986"/>
      <c r="AK40" s="986"/>
      <c r="AL40" s="986"/>
      <c r="AM40" s="986"/>
      <c r="AN40" s="986"/>
      <c r="AO40" s="986"/>
      <c r="AP40" s="986"/>
      <c r="AQ40" s="986"/>
      <c r="AR40" s="986"/>
      <c r="AS40" s="986"/>
      <c r="AT40" s="986"/>
      <c r="AU40" s="986"/>
      <c r="AV40" s="986"/>
      <c r="AW40" s="986"/>
      <c r="AX40" s="986"/>
      <c r="AY40" s="986"/>
      <c r="AZ40" s="986"/>
      <c r="BA40" s="986"/>
      <c r="BB40" s="986"/>
      <c r="BC40" s="986"/>
      <c r="BD40" s="986"/>
      <c r="BE40" s="986"/>
    </row>
    <row r="41" spans="1:57" x14ac:dyDescent="0.25">
      <c r="A41" s="1357"/>
      <c r="B41" s="1357"/>
      <c r="C41" s="1357"/>
      <c r="D41" s="1357"/>
      <c r="E41" s="1357"/>
      <c r="F41" s="1232"/>
      <c r="G41" s="1232"/>
      <c r="H41" s="1357"/>
      <c r="I41" s="1357"/>
      <c r="J41" s="1357"/>
      <c r="K41" s="1357"/>
      <c r="L41" s="1357"/>
      <c r="M41" s="1357"/>
      <c r="N41" s="1357"/>
      <c r="O41" s="1357"/>
      <c r="P41" s="1357"/>
      <c r="Q41" s="1357"/>
      <c r="R41" s="1357"/>
      <c r="S41" s="1357"/>
      <c r="T41" s="1357"/>
      <c r="U41" s="1357"/>
      <c r="V41" s="1357"/>
      <c r="W41" s="1357"/>
      <c r="X41" s="1357"/>
      <c r="Y41" s="1357"/>
      <c r="Z41" s="1357"/>
      <c r="AA41" s="1357"/>
      <c r="AB41" s="1357"/>
      <c r="AC41" s="1357"/>
    </row>
    <row r="42" spans="1:57" ht="13.8" thickBot="1" x14ac:dyDescent="0.3">
      <c r="A42" s="1357"/>
      <c r="B42" s="1357"/>
      <c r="C42" s="1357"/>
      <c r="D42" s="1232"/>
      <c r="E42" s="1358"/>
      <c r="F42" s="1357"/>
      <c r="G42" s="1357"/>
      <c r="H42" s="1357"/>
      <c r="I42" s="1357"/>
      <c r="J42" s="1357"/>
      <c r="K42" s="1357"/>
      <c r="L42" s="1357"/>
      <c r="M42" s="1357"/>
      <c r="N42" s="1357"/>
      <c r="O42" s="1357"/>
      <c r="P42" s="1357"/>
      <c r="Q42" s="1357"/>
      <c r="R42" s="1357"/>
      <c r="S42" s="1357"/>
      <c r="T42" s="1357"/>
      <c r="U42" s="1357"/>
      <c r="V42" s="1357"/>
      <c r="W42" s="1357"/>
      <c r="X42" s="1357"/>
      <c r="Y42" s="1357"/>
      <c r="Z42" s="1357"/>
      <c r="AA42" s="1357"/>
      <c r="AB42" s="1357"/>
      <c r="AC42" s="1357"/>
    </row>
    <row r="43" spans="1:57" ht="13.8" thickBot="1" x14ac:dyDescent="0.3">
      <c r="A43" s="1357"/>
      <c r="B43" s="1408" t="s">
        <v>1403</v>
      </c>
      <c r="C43" s="1361" t="s">
        <v>1397</v>
      </c>
      <c r="D43" s="1369">
        <v>1.2937079771601738E-3</v>
      </c>
      <c r="E43" s="1369">
        <v>6.8781569819663199E-2</v>
      </c>
      <c r="F43" s="1369">
        <v>1.7317271715020049E-2</v>
      </c>
      <c r="G43" s="1370">
        <v>-1.3739442182759818E-4</v>
      </c>
      <c r="H43" s="1357"/>
      <c r="I43" s="1357"/>
      <c r="J43" s="1357"/>
      <c r="K43" s="1357"/>
      <c r="L43" s="1357"/>
      <c r="M43" s="1357"/>
      <c r="N43" s="1357"/>
      <c r="O43" s="1357"/>
      <c r="P43" s="1357"/>
      <c r="Q43" s="1357"/>
      <c r="R43" s="1357"/>
      <c r="S43" s="1357"/>
      <c r="T43" s="1357"/>
      <c r="U43" s="1357"/>
      <c r="V43" s="1357"/>
      <c r="W43" s="1357"/>
      <c r="X43" s="1357"/>
      <c r="Y43" s="1357"/>
      <c r="Z43" s="1357"/>
      <c r="AA43" s="1357"/>
      <c r="AB43" s="1357"/>
      <c r="AC43" s="1357"/>
    </row>
    <row r="44" spans="1:57" ht="60.75" customHeight="1" x14ac:dyDescent="0.25">
      <c r="A44" s="1357"/>
      <c r="B44" s="1475" t="s">
        <v>1416</v>
      </c>
      <c r="C44" s="1362" t="s">
        <v>1406</v>
      </c>
      <c r="D44" s="1363" t="s">
        <v>1404</v>
      </c>
      <c r="E44" s="1365">
        <v>-1</v>
      </c>
      <c r="F44" s="1365">
        <v>-0.15611832446240115</v>
      </c>
      <c r="G44" s="1366">
        <v>0.4706623423496083</v>
      </c>
      <c r="H44" s="1357"/>
      <c r="I44" s="1357"/>
      <c r="J44" s="1357"/>
      <c r="K44" s="1357"/>
      <c r="L44" s="1357"/>
      <c r="M44" s="1357"/>
      <c r="N44" s="1357"/>
      <c r="O44" s="1357"/>
      <c r="P44" s="1357"/>
      <c r="Q44" s="1357"/>
      <c r="R44" s="1357"/>
      <c r="S44" s="1357"/>
      <c r="T44" s="1357"/>
      <c r="U44" s="1357"/>
      <c r="V44" s="1357"/>
      <c r="W44" s="1357"/>
      <c r="X44" s="1357"/>
      <c r="Y44" s="1357"/>
      <c r="Z44" s="1357"/>
      <c r="AA44" s="1357"/>
      <c r="AB44" s="1357"/>
      <c r="AC44" s="1357"/>
    </row>
    <row r="45" spans="1:57" ht="60.75" customHeight="1" thickBot="1" x14ac:dyDescent="0.3">
      <c r="A45" s="1357"/>
      <c r="B45" s="1476"/>
      <c r="C45" s="1360"/>
      <c r="D45" s="1364" t="s">
        <v>1405</v>
      </c>
      <c r="E45" s="1367">
        <v>-1.6651496418832124E-2</v>
      </c>
      <c r="F45" s="1367">
        <v>0.8249349119646654</v>
      </c>
      <c r="G45" s="1368">
        <v>1.7524248714267425</v>
      </c>
      <c r="H45" s="1357"/>
      <c r="I45" s="1357"/>
      <c r="J45" s="1357"/>
      <c r="K45" s="1357"/>
      <c r="L45" s="1357"/>
      <c r="M45" s="1357"/>
      <c r="N45" s="1357"/>
      <c r="O45" s="1357"/>
      <c r="P45" s="1357"/>
      <c r="Q45" s="1357"/>
      <c r="R45" s="1357"/>
      <c r="S45" s="1357"/>
      <c r="T45" s="1357"/>
      <c r="U45" s="1357"/>
      <c r="V45" s="1357"/>
      <c r="W45" s="1357"/>
      <c r="X45" s="1357"/>
      <c r="Y45" s="1357"/>
      <c r="Z45" s="1357"/>
      <c r="AA45" s="1357"/>
      <c r="AB45" s="1357"/>
      <c r="AC45" s="1357"/>
    </row>
    <row r="46" spans="1:57" x14ac:dyDescent="0.25">
      <c r="A46" s="1357"/>
      <c r="B46" s="1378" t="s">
        <v>1407</v>
      </c>
      <c r="C46" s="1377" t="s">
        <v>1408</v>
      </c>
      <c r="D46" s="1357"/>
      <c r="E46" s="1357"/>
      <c r="F46" s="1357"/>
      <c r="G46" s="1357"/>
      <c r="H46" s="1357"/>
      <c r="I46" s="1357"/>
      <c r="J46" s="1357"/>
      <c r="K46" s="1357"/>
      <c r="L46" s="1357"/>
      <c r="M46" s="1357"/>
      <c r="N46" s="1357"/>
      <c r="O46" s="1357"/>
      <c r="P46" s="1357"/>
      <c r="Q46" s="1357"/>
      <c r="R46" s="1357"/>
      <c r="S46" s="1357"/>
      <c r="T46" s="1357"/>
      <c r="U46" s="1357"/>
      <c r="V46" s="1357"/>
      <c r="W46" s="1357"/>
      <c r="X46" s="1357"/>
      <c r="Y46" s="1357"/>
      <c r="Z46" s="1357"/>
      <c r="AA46" s="1357"/>
      <c r="AB46" s="1357"/>
      <c r="AC46" s="1357"/>
    </row>
    <row r="47" spans="1:57" x14ac:dyDescent="0.25">
      <c r="A47" s="1357"/>
      <c r="B47" s="1357"/>
      <c r="C47" s="1357"/>
      <c r="D47" s="1357"/>
      <c r="E47" s="1357"/>
      <c r="F47" s="1357"/>
      <c r="G47" s="1357"/>
      <c r="H47" s="1357"/>
      <c r="I47" s="1357"/>
      <c r="J47" s="1357"/>
      <c r="K47" s="1357"/>
      <c r="L47" s="1357"/>
      <c r="M47" s="1357"/>
      <c r="N47" s="1357"/>
      <c r="O47" s="1357"/>
      <c r="P47" s="1357"/>
      <c r="Q47" s="1357"/>
      <c r="R47" s="1357"/>
      <c r="S47" s="1357"/>
      <c r="T47" s="1357"/>
      <c r="U47" s="1357"/>
      <c r="V47" s="1357"/>
      <c r="W47" s="1357"/>
      <c r="X47" s="1357"/>
      <c r="Y47" s="1357"/>
      <c r="Z47" s="1357"/>
      <c r="AA47" s="1357"/>
      <c r="AB47" s="1357"/>
      <c r="AC47" s="1357"/>
    </row>
    <row r="48" spans="1:57" x14ac:dyDescent="0.25">
      <c r="A48" s="1357"/>
      <c r="B48" s="1357"/>
      <c r="C48" s="1357"/>
      <c r="D48" s="1357"/>
      <c r="E48" s="1357"/>
      <c r="F48" s="1357"/>
      <c r="G48" s="1357"/>
      <c r="H48" s="1357"/>
      <c r="I48" s="1357"/>
      <c r="J48" s="1357"/>
      <c r="K48" s="1357"/>
      <c r="L48" s="1357"/>
      <c r="M48" s="1357"/>
      <c r="N48" s="1357"/>
      <c r="O48" s="1357"/>
      <c r="P48" s="1357"/>
      <c r="Q48" s="1357"/>
      <c r="R48" s="1357"/>
      <c r="S48" s="1357"/>
      <c r="T48" s="1357"/>
      <c r="U48" s="1357"/>
      <c r="V48" s="1357"/>
      <c r="W48" s="1357"/>
      <c r="X48" s="1357"/>
      <c r="Y48" s="1357"/>
      <c r="Z48" s="1357"/>
      <c r="AA48" s="1357"/>
      <c r="AB48" s="1357"/>
      <c r="AC48" s="1357"/>
    </row>
    <row r="49" spans="1:29" ht="13.8" thickBot="1" x14ac:dyDescent="0.3">
      <c r="A49" s="1357"/>
      <c r="B49" s="1357"/>
      <c r="C49" s="1357"/>
      <c r="D49" s="1357"/>
      <c r="E49" s="1232"/>
      <c r="F49" s="1358"/>
      <c r="G49" s="1357"/>
      <c r="H49" s="1357"/>
      <c r="I49" s="1357"/>
      <c r="J49" s="1357"/>
      <c r="K49" s="1357"/>
      <c r="L49" s="1357"/>
      <c r="M49" s="1357"/>
      <c r="N49" s="1357"/>
      <c r="O49" s="1357"/>
      <c r="P49" s="1357"/>
      <c r="Q49" s="1357"/>
      <c r="R49" s="1357"/>
      <c r="S49" s="1357"/>
      <c r="T49" s="1357"/>
      <c r="U49" s="1357"/>
      <c r="V49" s="1357"/>
      <c r="W49" s="1357"/>
      <c r="X49" s="1357"/>
      <c r="Y49" s="1357"/>
      <c r="Z49" s="1357"/>
      <c r="AA49" s="1357"/>
      <c r="AB49" s="1357"/>
      <c r="AC49" s="1357"/>
    </row>
    <row r="50" spans="1:29" ht="13.8" thickBot="1" x14ac:dyDescent="0.3">
      <c r="A50" s="1357"/>
      <c r="B50" s="1408" t="s">
        <v>1415</v>
      </c>
      <c r="C50" s="1361"/>
      <c r="D50" s="1369">
        <v>64.309155485196328</v>
      </c>
      <c r="E50" s="1369">
        <v>-60.150237064919168</v>
      </c>
      <c r="F50" s="1369">
        <v>-0.1168006208337047</v>
      </c>
      <c r="G50" s="1369">
        <v>0.41082925232341688</v>
      </c>
      <c r="H50" s="1369">
        <v>6.217192063493445</v>
      </c>
      <c r="I50" s="1369">
        <v>8.5683523844359541</v>
      </c>
      <c r="J50" s="1370">
        <v>1.0484140030841291</v>
      </c>
      <c r="K50" s="1357"/>
      <c r="L50" s="1357"/>
      <c r="M50" s="1357"/>
      <c r="N50" s="1357"/>
      <c r="O50" s="1357"/>
      <c r="P50" s="1357"/>
      <c r="Q50" s="1357"/>
      <c r="R50" s="1357"/>
      <c r="S50" s="1357"/>
      <c r="T50" s="1357"/>
      <c r="U50" s="1357"/>
      <c r="V50" s="1357"/>
      <c r="W50" s="1357"/>
      <c r="X50" s="1357"/>
      <c r="Y50" s="1357"/>
      <c r="Z50" s="1357"/>
      <c r="AA50" s="1357"/>
      <c r="AB50" s="1357"/>
      <c r="AC50" s="1357"/>
    </row>
    <row r="51" spans="1:29" ht="54" customHeight="1" x14ac:dyDescent="0.25">
      <c r="A51" s="1357"/>
      <c r="B51" s="1475" t="s">
        <v>1414</v>
      </c>
      <c r="C51" s="1362"/>
      <c r="D51" s="1363" t="s">
        <v>1404</v>
      </c>
      <c r="E51" s="1365">
        <v>7.1230336282255891E-2</v>
      </c>
      <c r="F51" s="1365">
        <v>0</v>
      </c>
      <c r="G51" s="1365">
        <v>4.474941387113196E-2</v>
      </c>
      <c r="H51" s="1365">
        <v>0.40708811955841417</v>
      </c>
      <c r="I51" s="1365">
        <v>-0.93540765100864542</v>
      </c>
      <c r="J51" s="1366">
        <v>-1.456581128486234</v>
      </c>
      <c r="K51" s="1357"/>
      <c r="L51" s="1357"/>
      <c r="M51" s="1357"/>
      <c r="N51" s="1357"/>
      <c r="O51" s="1357"/>
      <c r="P51" s="1357"/>
      <c r="Q51" s="1357"/>
      <c r="R51" s="1357"/>
      <c r="S51" s="1357"/>
      <c r="T51" s="1357"/>
      <c r="U51" s="1357"/>
      <c r="V51" s="1357"/>
      <c r="W51" s="1357"/>
      <c r="X51" s="1357"/>
      <c r="Y51" s="1357"/>
      <c r="Z51" s="1357"/>
      <c r="AA51" s="1357"/>
      <c r="AB51" s="1357"/>
      <c r="AC51" s="1357"/>
    </row>
    <row r="52" spans="1:29" ht="54" customHeight="1" thickBot="1" x14ac:dyDescent="0.3">
      <c r="A52" s="1357"/>
      <c r="B52" s="1476"/>
      <c r="C52" s="1360"/>
      <c r="D52" s="1364" t="s">
        <v>1405</v>
      </c>
      <c r="E52" s="1367">
        <v>-2.2685149531258275E-4</v>
      </c>
      <c r="F52" s="1367">
        <v>1.924411181276618</v>
      </c>
      <c r="G52" s="1367">
        <v>1.542903409438094</v>
      </c>
      <c r="H52" s="1367">
        <v>0</v>
      </c>
      <c r="I52" s="1367">
        <v>-4.3939129350702155E-2</v>
      </c>
      <c r="J52" s="1368">
        <v>5.187420905507123E-2</v>
      </c>
      <c r="K52" s="1357"/>
      <c r="L52" s="1357"/>
      <c r="M52" s="1357"/>
      <c r="N52" s="1357"/>
      <c r="O52" s="1357"/>
      <c r="P52" s="1357"/>
      <c r="Q52" s="1357"/>
      <c r="R52" s="1357"/>
      <c r="S52" s="1357"/>
      <c r="T52" s="1357"/>
      <c r="U52" s="1357"/>
      <c r="V52" s="1357"/>
      <c r="W52" s="1357"/>
      <c r="X52" s="1357"/>
      <c r="Y52" s="1357"/>
      <c r="Z52" s="1357"/>
      <c r="AA52" s="1357"/>
      <c r="AB52" s="1357"/>
      <c r="AC52" s="1357"/>
    </row>
    <row r="53" spans="1:29" x14ac:dyDescent="0.25">
      <c r="A53" s="1357"/>
      <c r="B53" s="1378" t="s">
        <v>1407</v>
      </c>
      <c r="C53" s="1377" t="s">
        <v>1308</v>
      </c>
      <c r="D53" s="1357"/>
      <c r="E53" s="1357"/>
      <c r="F53" s="1357"/>
      <c r="G53" s="1357"/>
      <c r="H53" s="1357"/>
      <c r="I53" s="1357"/>
      <c r="J53" s="1357"/>
      <c r="K53" s="1357"/>
      <c r="L53" s="1357"/>
      <c r="M53" s="1357"/>
      <c r="N53" s="1357"/>
      <c r="O53" s="1357"/>
      <c r="P53" s="1357"/>
      <c r="Q53" s="1357"/>
      <c r="R53" s="1357"/>
      <c r="S53" s="1357"/>
      <c r="T53" s="1357"/>
      <c r="U53" s="1357"/>
      <c r="V53" s="1357"/>
      <c r="W53" s="1357"/>
      <c r="X53" s="1357"/>
      <c r="Y53" s="1357"/>
      <c r="Z53" s="1357"/>
      <c r="AA53" s="1357"/>
      <c r="AB53" s="1357"/>
      <c r="AC53" s="1357"/>
    </row>
    <row r="54" spans="1:29" x14ac:dyDescent="0.25">
      <c r="A54" s="1357"/>
      <c r="B54" s="1357"/>
      <c r="C54" s="1357"/>
      <c r="D54" s="1357"/>
      <c r="E54" s="1357"/>
      <c r="F54" s="1357"/>
      <c r="G54" s="1357"/>
      <c r="H54" s="1357"/>
      <c r="I54" s="1357"/>
      <c r="J54" s="1357"/>
      <c r="K54" s="1357"/>
      <c r="L54" s="1357"/>
      <c r="M54" s="1357"/>
      <c r="N54" s="1357"/>
      <c r="O54" s="1357"/>
      <c r="P54" s="1357"/>
      <c r="Q54" s="1357"/>
      <c r="R54" s="1357"/>
      <c r="S54" s="1357"/>
      <c r="T54" s="1357"/>
      <c r="U54" s="1357"/>
      <c r="V54" s="1357"/>
      <c r="W54" s="1357"/>
      <c r="X54" s="1357"/>
      <c r="Y54" s="1357"/>
      <c r="Z54" s="1357"/>
      <c r="AA54" s="1357"/>
      <c r="AB54" s="1357"/>
      <c r="AC54" s="1357"/>
    </row>
    <row r="55" spans="1:29" x14ac:dyDescent="0.25">
      <c r="A55" s="1357"/>
      <c r="B55" s="1357"/>
      <c r="C55" s="1357"/>
      <c r="D55" s="1357"/>
      <c r="E55" s="1357"/>
      <c r="F55" s="1357"/>
      <c r="G55" s="1357"/>
      <c r="H55" s="1357"/>
      <c r="I55" s="1357"/>
      <c r="J55" s="1357"/>
      <c r="K55" s="1357"/>
      <c r="L55" s="1357"/>
      <c r="M55" s="1357"/>
      <c r="N55" s="1357"/>
      <c r="O55" s="1357"/>
      <c r="P55" s="1357"/>
      <c r="Q55" s="1357"/>
      <c r="R55" s="1357"/>
      <c r="S55" s="1357"/>
      <c r="T55" s="1357"/>
      <c r="U55" s="1357"/>
      <c r="V55" s="1357"/>
      <c r="W55" s="1357"/>
      <c r="X55" s="1357"/>
      <c r="Y55" s="1357"/>
      <c r="Z55" s="1357"/>
      <c r="AA55" s="1357"/>
      <c r="AB55" s="1357"/>
      <c r="AC55" s="1357"/>
    </row>
    <row r="56" spans="1:29" x14ac:dyDescent="0.25">
      <c r="A56" s="1357"/>
      <c r="B56" s="1357"/>
      <c r="C56" s="1357"/>
      <c r="D56" s="1357"/>
      <c r="E56" s="1357"/>
      <c r="F56" s="1357"/>
      <c r="G56" s="1357"/>
      <c r="H56" s="1357"/>
      <c r="I56" s="1357"/>
      <c r="J56" s="1357"/>
      <c r="K56" s="1357"/>
      <c r="L56" s="1357"/>
      <c r="M56" s="1357"/>
      <c r="N56" s="1357"/>
      <c r="O56" s="1357"/>
      <c r="P56" s="1357"/>
      <c r="Q56" s="1357"/>
      <c r="R56" s="1357"/>
      <c r="S56" s="1357"/>
      <c r="T56" s="1357"/>
      <c r="U56" s="1357"/>
      <c r="V56" s="1357"/>
      <c r="W56" s="1357"/>
      <c r="X56" s="1357"/>
      <c r="Y56" s="1357"/>
      <c r="Z56" s="1357"/>
      <c r="AA56" s="1357"/>
      <c r="AB56" s="1357"/>
      <c r="AC56" s="1357"/>
    </row>
    <row r="57" spans="1:29" x14ac:dyDescent="0.25">
      <c r="A57" s="1357"/>
      <c r="B57" s="1357"/>
      <c r="C57" s="1357"/>
      <c r="D57" s="1357"/>
      <c r="E57" s="1357"/>
      <c r="F57" s="1357"/>
      <c r="G57" s="1357"/>
      <c r="H57" s="1357"/>
      <c r="I57" s="1357"/>
      <c r="J57" s="1357"/>
      <c r="K57" s="1357"/>
      <c r="L57" s="1357"/>
      <c r="M57" s="1357"/>
      <c r="N57" s="1357"/>
      <c r="O57" s="1357"/>
      <c r="P57" s="1357"/>
      <c r="Q57" s="1357"/>
      <c r="R57" s="1357"/>
      <c r="S57" s="1357"/>
      <c r="T57" s="1357"/>
      <c r="U57" s="1357"/>
      <c r="V57" s="1357"/>
      <c r="W57" s="1357"/>
      <c r="X57" s="1357"/>
      <c r="Y57" s="1357"/>
      <c r="Z57" s="1357"/>
      <c r="AA57" s="1357"/>
      <c r="AB57" s="1357"/>
      <c r="AC57" s="1357"/>
    </row>
    <row r="58" spans="1:29" x14ac:dyDescent="0.25">
      <c r="A58" s="1357"/>
      <c r="B58" s="1357"/>
      <c r="C58" s="1357"/>
      <c r="D58" s="1357"/>
      <c r="E58" s="1357"/>
      <c r="F58" s="1357"/>
      <c r="G58" s="1357"/>
      <c r="H58" s="1357"/>
      <c r="I58" s="1357"/>
      <c r="J58" s="1357"/>
      <c r="K58" s="1357"/>
      <c r="L58" s="1357"/>
      <c r="M58" s="1357"/>
      <c r="N58" s="1357"/>
      <c r="O58" s="1357"/>
      <c r="P58" s="1357"/>
      <c r="Q58" s="1357"/>
      <c r="R58" s="1357"/>
      <c r="S58" s="1357"/>
      <c r="T58" s="1357"/>
      <c r="U58" s="1357"/>
      <c r="V58" s="1357"/>
      <c r="W58" s="1357"/>
      <c r="X58" s="1357"/>
      <c r="Y58" s="1357"/>
      <c r="Z58" s="1357"/>
      <c r="AA58" s="1357"/>
      <c r="AB58" s="1357"/>
      <c r="AC58" s="1357"/>
    </row>
    <row r="59" spans="1:29" x14ac:dyDescent="0.25">
      <c r="A59" s="1357"/>
      <c r="B59" s="1357"/>
      <c r="C59" s="1357"/>
      <c r="D59" s="1357"/>
      <c r="E59" s="1357"/>
      <c r="F59" s="1357"/>
      <c r="G59" s="1357"/>
      <c r="H59" s="1357"/>
      <c r="I59" s="1357"/>
      <c r="J59" s="1357"/>
      <c r="K59" s="1357"/>
      <c r="L59" s="1357"/>
      <c r="M59" s="1357"/>
      <c r="N59" s="1357"/>
      <c r="O59" s="1357"/>
      <c r="P59" s="1357"/>
      <c r="Q59" s="1357"/>
      <c r="R59" s="1357"/>
      <c r="S59" s="1357"/>
      <c r="T59" s="1357"/>
      <c r="U59" s="1357"/>
      <c r="V59" s="1357"/>
      <c r="W59" s="1357"/>
      <c r="X59" s="1357"/>
      <c r="Y59" s="1357"/>
      <c r="Z59" s="1357"/>
      <c r="AA59" s="1357"/>
      <c r="AB59" s="1357"/>
      <c r="AC59" s="1357"/>
    </row>
    <row r="60" spans="1:29" x14ac:dyDescent="0.25">
      <c r="A60" s="1357"/>
      <c r="B60" s="1357"/>
      <c r="C60" s="1357"/>
      <c r="D60" s="1357"/>
      <c r="E60" s="1357"/>
      <c r="F60" s="1357"/>
      <c r="G60" s="1357"/>
      <c r="H60" s="1357"/>
      <c r="I60" s="1357"/>
      <c r="J60" s="1357"/>
      <c r="K60" s="1357"/>
      <c r="L60" s="1357"/>
      <c r="M60" s="1357"/>
      <c r="N60" s="1357"/>
      <c r="O60" s="1357"/>
      <c r="P60" s="1357"/>
      <c r="Q60" s="1357"/>
      <c r="R60" s="1357"/>
      <c r="S60" s="1357"/>
      <c r="T60" s="1357"/>
      <c r="U60" s="1357"/>
      <c r="V60" s="1357"/>
      <c r="W60" s="1357"/>
      <c r="X60" s="1357"/>
      <c r="Y60" s="1357"/>
      <c r="Z60" s="1357"/>
      <c r="AA60" s="1357"/>
      <c r="AB60" s="1357"/>
      <c r="AC60" s="1357"/>
    </row>
    <row r="61" spans="1:29" x14ac:dyDescent="0.25">
      <c r="A61" s="1357"/>
      <c r="B61" s="1357"/>
      <c r="C61" s="1357"/>
      <c r="D61" s="1357"/>
      <c r="E61" s="1357"/>
      <c r="F61" s="1357"/>
      <c r="G61" s="1357"/>
      <c r="H61" s="1357"/>
      <c r="I61" s="1357"/>
      <c r="J61" s="1357"/>
      <c r="K61" s="1357"/>
      <c r="L61" s="1357"/>
      <c r="M61" s="1357"/>
      <c r="N61" s="1357"/>
      <c r="O61" s="1357"/>
      <c r="P61" s="1357"/>
      <c r="Q61" s="1357"/>
      <c r="R61" s="1357"/>
      <c r="S61" s="1357"/>
      <c r="T61" s="1357"/>
      <c r="U61" s="1357"/>
      <c r="V61" s="1357"/>
      <c r="W61" s="1357"/>
      <c r="X61" s="1357"/>
      <c r="Y61" s="1357"/>
      <c r="Z61" s="1357"/>
      <c r="AA61" s="1357"/>
      <c r="AB61" s="1357"/>
      <c r="AC61" s="1357"/>
    </row>
    <row r="62" spans="1:29" x14ac:dyDescent="0.25">
      <c r="A62" s="1357"/>
      <c r="B62" s="1357"/>
      <c r="C62" s="1357"/>
      <c r="D62" s="1357"/>
      <c r="E62" s="1357"/>
      <c r="F62" s="1357"/>
      <c r="G62" s="1357"/>
      <c r="H62" s="1357"/>
      <c r="I62" s="1357"/>
      <c r="J62" s="1357"/>
      <c r="K62" s="1357"/>
      <c r="L62" s="1357"/>
      <c r="M62" s="1357"/>
      <c r="N62" s="1357"/>
      <c r="O62" s="1357"/>
      <c r="P62" s="1357"/>
      <c r="Q62" s="1357"/>
      <c r="R62" s="1357"/>
      <c r="S62" s="1357"/>
      <c r="T62" s="1357"/>
      <c r="U62" s="1357"/>
      <c r="V62" s="1357"/>
      <c r="W62" s="1357"/>
      <c r="X62" s="1357"/>
      <c r="Y62" s="1357"/>
      <c r="Z62" s="1357"/>
      <c r="AA62" s="1357"/>
      <c r="AB62" s="1357"/>
      <c r="AC62" s="1357"/>
    </row>
    <row r="63" spans="1:29" x14ac:dyDescent="0.25">
      <c r="A63" s="1357"/>
      <c r="B63" s="1357"/>
      <c r="C63" s="1357"/>
      <c r="D63" s="1357"/>
      <c r="E63" s="1357"/>
      <c r="F63" s="1357"/>
      <c r="G63" s="1357"/>
      <c r="H63" s="1357"/>
      <c r="I63" s="1357"/>
      <c r="J63" s="1357"/>
      <c r="K63" s="1357"/>
      <c r="L63" s="1357"/>
      <c r="M63" s="1357"/>
      <c r="N63" s="1357"/>
      <c r="O63" s="1357"/>
      <c r="P63" s="1357"/>
      <c r="Q63" s="1357"/>
      <c r="R63" s="1357"/>
      <c r="S63" s="1357"/>
      <c r="T63" s="1357"/>
      <c r="U63" s="1357"/>
      <c r="V63" s="1357"/>
      <c r="W63" s="1357"/>
      <c r="X63" s="1357"/>
      <c r="Y63" s="1357"/>
      <c r="Z63" s="1357"/>
      <c r="AA63" s="1357"/>
      <c r="AB63" s="1357"/>
      <c r="AC63" s="1357"/>
    </row>
    <row r="64" spans="1:29" x14ac:dyDescent="0.25">
      <c r="A64" s="1357"/>
      <c r="B64" s="1357"/>
      <c r="C64" s="1357"/>
      <c r="D64" s="1357"/>
      <c r="E64" s="1357"/>
      <c r="F64" s="1357"/>
      <c r="G64" s="1357"/>
      <c r="H64" s="1357"/>
      <c r="I64" s="1357"/>
      <c r="J64" s="1357"/>
      <c r="K64" s="1357"/>
      <c r="L64" s="1357"/>
      <c r="M64" s="1357"/>
      <c r="N64" s="1357"/>
      <c r="O64" s="1357"/>
      <c r="P64" s="1357"/>
      <c r="Q64" s="1357"/>
      <c r="R64" s="1357"/>
      <c r="S64" s="1357"/>
      <c r="T64" s="1357"/>
      <c r="U64" s="1357"/>
      <c r="V64" s="1357"/>
      <c r="W64" s="1357"/>
      <c r="X64" s="1357"/>
      <c r="Y64" s="1357"/>
      <c r="Z64" s="1357"/>
      <c r="AA64" s="1357"/>
      <c r="AB64" s="1357"/>
      <c r="AC64" s="1357"/>
    </row>
    <row r="65" spans="1:29" x14ac:dyDescent="0.25">
      <c r="A65" s="1357"/>
      <c r="B65" s="1357"/>
      <c r="C65" s="1357"/>
      <c r="D65" s="1357"/>
      <c r="E65" s="1357"/>
      <c r="F65" s="1357"/>
      <c r="G65" s="1357"/>
      <c r="H65" s="1357"/>
      <c r="I65" s="1357"/>
      <c r="J65" s="1357"/>
      <c r="K65" s="1357"/>
      <c r="L65" s="1357"/>
      <c r="M65" s="1357"/>
      <c r="N65" s="1357"/>
      <c r="O65" s="1357"/>
      <c r="P65" s="1357"/>
      <c r="Q65" s="1357"/>
      <c r="R65" s="1357"/>
      <c r="S65" s="1357"/>
      <c r="T65" s="1357"/>
      <c r="U65" s="1357"/>
      <c r="V65" s="1357"/>
      <c r="W65" s="1357"/>
      <c r="X65" s="1357"/>
      <c r="Y65" s="1357"/>
      <c r="Z65" s="1357"/>
      <c r="AA65" s="1357"/>
      <c r="AB65" s="1357"/>
      <c r="AC65" s="1357"/>
    </row>
    <row r="66" spans="1:29" x14ac:dyDescent="0.25">
      <c r="A66" s="1357"/>
      <c r="B66" s="1357"/>
      <c r="C66" s="1357"/>
      <c r="D66" s="1357"/>
      <c r="E66" s="1357"/>
      <c r="F66" s="1357"/>
      <c r="G66" s="1357"/>
      <c r="H66" s="1357"/>
      <c r="I66" s="1357"/>
      <c r="J66" s="1357"/>
      <c r="K66" s="1357"/>
      <c r="L66" s="1357"/>
      <c r="M66" s="1357"/>
      <c r="N66" s="1357"/>
      <c r="O66" s="1357"/>
      <c r="P66" s="1357"/>
      <c r="Q66" s="1357"/>
      <c r="R66" s="1357"/>
      <c r="S66" s="1357"/>
      <c r="T66" s="1357"/>
      <c r="U66" s="1357"/>
      <c r="V66" s="1357"/>
      <c r="W66" s="1357"/>
      <c r="X66" s="1357"/>
      <c r="Y66" s="1357"/>
      <c r="Z66" s="1357"/>
      <c r="AA66" s="1357"/>
      <c r="AB66" s="1357"/>
      <c r="AC66" s="1357"/>
    </row>
    <row r="67" spans="1:29" x14ac:dyDescent="0.25">
      <c r="A67" s="1357"/>
      <c r="B67" s="1357"/>
      <c r="C67" s="1357"/>
      <c r="D67" s="1357"/>
      <c r="E67" s="1357"/>
      <c r="F67" s="1357"/>
      <c r="G67" s="1357"/>
      <c r="H67" s="1357"/>
      <c r="I67" s="1357"/>
      <c r="J67" s="1357"/>
      <c r="K67" s="1357"/>
      <c r="L67" s="1357"/>
      <c r="M67" s="1357"/>
      <c r="N67" s="1357"/>
      <c r="O67" s="1357"/>
      <c r="P67" s="1357"/>
      <c r="Q67" s="1357"/>
      <c r="R67" s="1357"/>
      <c r="S67" s="1357"/>
      <c r="T67" s="1357"/>
      <c r="U67" s="1357"/>
      <c r="V67" s="1357"/>
      <c r="W67" s="1357"/>
      <c r="X67" s="1357"/>
      <c r="Y67" s="1357"/>
      <c r="Z67" s="1357"/>
      <c r="AA67" s="1357"/>
      <c r="AB67" s="1357"/>
      <c r="AC67" s="1357"/>
    </row>
    <row r="68" spans="1:29" x14ac:dyDescent="0.25">
      <c r="A68" s="1357"/>
      <c r="B68" s="1357"/>
      <c r="C68" s="1357"/>
      <c r="D68" s="1357"/>
      <c r="E68" s="1357"/>
      <c r="F68" s="1357"/>
      <c r="G68" s="1357"/>
      <c r="H68" s="1357"/>
      <c r="I68" s="1357"/>
      <c r="J68" s="1357"/>
      <c r="K68" s="1357"/>
      <c r="L68" s="1357"/>
      <c r="M68" s="1357"/>
      <c r="N68" s="1357"/>
      <c r="O68" s="1357"/>
      <c r="P68" s="1357"/>
      <c r="Q68" s="1357"/>
      <c r="R68" s="1357"/>
      <c r="S68" s="1357"/>
      <c r="T68" s="1357"/>
      <c r="U68" s="1357"/>
      <c r="V68" s="1357"/>
      <c r="W68" s="1357"/>
      <c r="X68" s="1357"/>
      <c r="Y68" s="1357"/>
      <c r="Z68" s="1357"/>
      <c r="AA68" s="1357"/>
      <c r="AB68" s="1357"/>
      <c r="AC68" s="1357"/>
    </row>
    <row r="69" spans="1:29" x14ac:dyDescent="0.25">
      <c r="A69" s="1357"/>
      <c r="B69" s="1357"/>
      <c r="C69" s="1357"/>
      <c r="D69" s="1357"/>
      <c r="E69" s="1357"/>
      <c r="F69" s="1357"/>
      <c r="G69" s="1357"/>
      <c r="H69" s="1357"/>
      <c r="I69" s="1357"/>
      <c r="J69" s="1357"/>
      <c r="K69" s="1357"/>
      <c r="L69" s="1357"/>
      <c r="M69" s="1357"/>
      <c r="N69" s="1357"/>
      <c r="O69" s="1357"/>
      <c r="P69" s="1357"/>
      <c r="Q69" s="1357"/>
      <c r="R69" s="1357"/>
      <c r="S69" s="1357"/>
      <c r="T69" s="1357"/>
      <c r="U69" s="1357"/>
      <c r="V69" s="1357"/>
      <c r="W69" s="1357"/>
      <c r="X69" s="1357"/>
      <c r="Y69" s="1357"/>
      <c r="Z69" s="1357"/>
      <c r="AA69" s="1357"/>
      <c r="AB69" s="1357"/>
      <c r="AC69" s="1357"/>
    </row>
    <row r="70" spans="1:29" x14ac:dyDescent="0.25">
      <c r="A70" s="1357"/>
      <c r="B70" s="1357"/>
      <c r="C70" s="1357"/>
      <c r="D70" s="1357"/>
      <c r="E70" s="1357"/>
      <c r="F70" s="1357"/>
      <c r="G70" s="1357"/>
      <c r="H70" s="1357"/>
      <c r="I70" s="1357"/>
      <c r="J70" s="1357"/>
      <c r="K70" s="1357"/>
      <c r="L70" s="1357"/>
      <c r="M70" s="1357"/>
      <c r="N70" s="1357"/>
      <c r="O70" s="1357"/>
      <c r="P70" s="1357"/>
      <c r="Q70" s="1357"/>
      <c r="R70" s="1357"/>
      <c r="S70" s="1357"/>
      <c r="T70" s="1357"/>
      <c r="U70" s="1357"/>
      <c r="V70" s="1357"/>
      <c r="W70" s="1357"/>
      <c r="X70" s="1357"/>
      <c r="Y70" s="1357"/>
      <c r="Z70" s="1357"/>
      <c r="AA70" s="1357"/>
      <c r="AB70" s="1357"/>
      <c r="AC70" s="1357"/>
    </row>
    <row r="71" spans="1:29" x14ac:dyDescent="0.25">
      <c r="A71" s="1357"/>
      <c r="B71" s="1357"/>
      <c r="C71" s="1357"/>
      <c r="D71" s="1357"/>
      <c r="E71" s="1357"/>
      <c r="F71" s="1357"/>
      <c r="G71" s="1357"/>
      <c r="H71" s="1357"/>
      <c r="I71" s="1357"/>
      <c r="J71" s="1357"/>
      <c r="K71" s="1357"/>
      <c r="L71" s="1357"/>
      <c r="M71" s="1357"/>
      <c r="N71" s="1357"/>
      <c r="O71" s="1357"/>
      <c r="P71" s="1357"/>
      <c r="Q71" s="1357"/>
      <c r="R71" s="1357"/>
      <c r="S71" s="1357"/>
      <c r="T71" s="1357"/>
      <c r="U71" s="1357"/>
      <c r="V71" s="1357"/>
      <c r="W71" s="1357"/>
      <c r="X71" s="1357"/>
      <c r="Y71" s="1357"/>
      <c r="Z71" s="1357"/>
      <c r="AA71" s="1357"/>
      <c r="AB71" s="1357"/>
      <c r="AC71" s="1357"/>
    </row>
    <row r="72" spans="1:29" x14ac:dyDescent="0.25">
      <c r="A72" s="1357"/>
      <c r="B72" s="1357"/>
      <c r="C72" s="1357"/>
      <c r="D72" s="1357"/>
      <c r="E72" s="1357"/>
      <c r="F72" s="1357"/>
      <c r="G72" s="1357"/>
      <c r="H72" s="1357"/>
      <c r="I72" s="1357"/>
      <c r="J72" s="1357"/>
      <c r="K72" s="1357"/>
      <c r="L72" s="1357"/>
      <c r="M72" s="1357"/>
      <c r="N72" s="1357"/>
      <c r="O72" s="1357"/>
      <c r="P72" s="1357"/>
      <c r="Q72" s="1357"/>
      <c r="R72" s="1357"/>
      <c r="S72" s="1357"/>
      <c r="T72" s="1357"/>
      <c r="U72" s="1357"/>
      <c r="V72" s="1357"/>
      <c r="W72" s="1357"/>
      <c r="X72" s="1357"/>
      <c r="Y72" s="1357"/>
      <c r="Z72" s="1357"/>
      <c r="AA72" s="1357"/>
      <c r="AB72" s="1357"/>
      <c r="AC72" s="1357"/>
    </row>
    <row r="73" spans="1:29" x14ac:dyDescent="0.25">
      <c r="A73" s="1357"/>
      <c r="B73" s="1357"/>
      <c r="C73" s="1357"/>
      <c r="D73" s="1357"/>
      <c r="E73" s="1357"/>
      <c r="F73" s="1357"/>
      <c r="G73" s="1357"/>
      <c r="H73" s="1357"/>
      <c r="I73" s="1357"/>
      <c r="J73" s="1357"/>
      <c r="K73" s="1357"/>
      <c r="L73" s="1357"/>
      <c r="M73" s="1357"/>
      <c r="N73" s="1357"/>
      <c r="O73" s="1357"/>
      <c r="P73" s="1357"/>
      <c r="Q73" s="1357"/>
      <c r="R73" s="1357"/>
      <c r="S73" s="1357"/>
      <c r="T73" s="1357"/>
      <c r="U73" s="1357"/>
      <c r="V73" s="1357"/>
      <c r="W73" s="1357"/>
      <c r="X73" s="1357"/>
      <c r="Y73" s="1357"/>
      <c r="Z73" s="1357"/>
      <c r="AA73" s="1357"/>
      <c r="AB73" s="1357"/>
      <c r="AC73" s="1357"/>
    </row>
    <row r="74" spans="1:29" x14ac:dyDescent="0.25">
      <c r="A74" s="1357"/>
      <c r="B74" s="1357"/>
      <c r="C74" s="1357"/>
      <c r="D74" s="1357"/>
      <c r="E74" s="1357"/>
      <c r="F74" s="1357"/>
      <c r="G74" s="1357"/>
      <c r="H74" s="1357"/>
      <c r="I74" s="1357"/>
      <c r="J74" s="1357"/>
      <c r="K74" s="1357"/>
      <c r="L74" s="1357"/>
      <c r="M74" s="1357"/>
      <c r="N74" s="1357"/>
      <c r="O74" s="1357"/>
      <c r="P74" s="1357"/>
      <c r="Q74" s="1357"/>
      <c r="R74" s="1357"/>
      <c r="S74" s="1357"/>
      <c r="T74" s="1357"/>
      <c r="U74" s="1357"/>
      <c r="V74" s="1357"/>
      <c r="W74" s="1357"/>
      <c r="X74" s="1357"/>
      <c r="Y74" s="1357"/>
      <c r="Z74" s="1357"/>
      <c r="AA74" s="1357"/>
      <c r="AB74" s="1357"/>
      <c r="AC74" s="1357"/>
    </row>
  </sheetData>
  <mergeCells count="7">
    <mergeCell ref="E32:F32"/>
    <mergeCell ref="B44:B45"/>
    <mergeCell ref="B51:B52"/>
    <mergeCell ref="B4:J4"/>
    <mergeCell ref="B5:J5"/>
    <mergeCell ref="D21:F21"/>
    <mergeCell ref="E28:F28"/>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 ref="C53" r:id="rId1" xr:uid="{CB3E2DD2-1EAB-41A9-BAC2-C0A3D2079C92}"/>
    <hyperlink ref="C46" r:id="rId2" xr:uid="{55EB6A84-7F0D-42F2-AA7B-4F6A02185388}"/>
  </hyperlinks>
  <pageMargins left="0.75" right="0.75" top="1" bottom="1" header="0.5" footer="0.5"/>
  <pageSetup orientation="portrait" r:id="rId3"/>
  <headerFooter alignWithMargins="0"/>
  <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D88" sqref="D88"/>
    </sheetView>
  </sheetViews>
  <sheetFormatPr defaultRowHeight="13.2" x14ac:dyDescent="0.25"/>
  <cols>
    <col min="2" max="2" width="28.6640625" customWidth="1"/>
    <col min="3" max="3" width="25.33203125" customWidth="1"/>
    <col min="4" max="4" width="22.6640625" customWidth="1"/>
    <col min="5" max="5" width="22.33203125" customWidth="1"/>
    <col min="6" max="6" width="20.33203125" customWidth="1"/>
    <col min="7" max="7" width="18.5546875" customWidth="1"/>
    <col min="8" max="8" width="15.6640625" customWidth="1"/>
    <col min="9" max="9" width="16.33203125" customWidth="1"/>
  </cols>
  <sheetData>
    <row r="1" spans="2:9" ht="13.8" thickBot="1" x14ac:dyDescent="0.3"/>
    <row r="2" spans="2:9" ht="16.2" thickTop="1" x14ac:dyDescent="0.3">
      <c r="B2" s="614" t="s">
        <v>1040</v>
      </c>
      <c r="C2" s="615"/>
    </row>
    <row r="3" spans="2:9" x14ac:dyDescent="0.25">
      <c r="B3" s="616" t="s">
        <v>76</v>
      </c>
      <c r="C3" s="575"/>
    </row>
    <row r="4" spans="2:9" x14ac:dyDescent="0.25">
      <c r="B4" s="616" t="s">
        <v>898</v>
      </c>
      <c r="C4" s="575"/>
    </row>
    <row r="5" spans="2:9" x14ac:dyDescent="0.25">
      <c r="B5" s="616" t="s">
        <v>389</v>
      </c>
      <c r="C5" s="575"/>
    </row>
    <row r="6" spans="2:9" x14ac:dyDescent="0.25">
      <c r="B6" s="616" t="s">
        <v>1041</v>
      </c>
      <c r="C6" s="575"/>
    </row>
    <row r="7" spans="2:9" x14ac:dyDescent="0.25">
      <c r="B7" s="616" t="s">
        <v>397</v>
      </c>
      <c r="C7" s="575"/>
    </row>
    <row r="8" spans="2:9" x14ac:dyDescent="0.25">
      <c r="B8" s="616" t="s">
        <v>521</v>
      </c>
      <c r="C8" s="575"/>
    </row>
    <row r="9" spans="2:9" x14ac:dyDescent="0.25">
      <c r="B9" s="616" t="s">
        <v>1042</v>
      </c>
      <c r="C9" s="575"/>
    </row>
    <row r="10" spans="2:9" ht="13.8" thickBot="1" x14ac:dyDescent="0.3">
      <c r="B10" s="617" t="s">
        <v>1043</v>
      </c>
      <c r="C10" s="618"/>
    </row>
    <row r="11" spans="2:9" ht="13.8" thickTop="1" x14ac:dyDescent="0.25"/>
    <row r="12" spans="2:9" ht="24.6" x14ac:dyDescent="0.4">
      <c r="B12" s="394" t="s">
        <v>386</v>
      </c>
      <c r="C12" s="126"/>
      <c r="D12" s="126"/>
      <c r="E12" s="47"/>
      <c r="F12" s="47"/>
      <c r="G12" s="35"/>
      <c r="H12" s="36"/>
      <c r="I12" s="47"/>
    </row>
    <row r="13" spans="2:9" x14ac:dyDescent="0.25">
      <c r="D13" s="126"/>
      <c r="E13" s="127"/>
      <c r="F13" s="47"/>
      <c r="G13" s="35"/>
      <c r="H13" s="36"/>
      <c r="I13" s="47"/>
    </row>
    <row r="14" spans="2:9" ht="21.6" thickBot="1" x14ac:dyDescent="0.55000000000000004">
      <c r="B14" s="292" t="s">
        <v>387</v>
      </c>
      <c r="D14" s="126"/>
      <c r="E14" s="47"/>
      <c r="F14" s="47"/>
      <c r="G14" s="35"/>
      <c r="H14" s="36"/>
      <c r="I14" s="47"/>
    </row>
    <row r="15" spans="2:9" ht="15.6" thickBot="1" x14ac:dyDescent="0.3">
      <c r="B15" s="779" t="s">
        <v>1068</v>
      </c>
      <c r="C15" s="780">
        <f ca="1">total_cap/(ProcEqpCap)</f>
        <v>2.2376661437227341</v>
      </c>
      <c r="D15" s="126"/>
      <c r="E15" s="47"/>
      <c r="F15" s="47"/>
      <c r="G15" s="35"/>
      <c r="H15" s="36"/>
      <c r="I15" s="47"/>
    </row>
    <row r="16" spans="2:9" ht="13.8" thickBot="1" x14ac:dyDescent="0.3">
      <c r="B16" s="47"/>
      <c r="C16" s="47"/>
      <c r="D16" s="47"/>
      <c r="E16" s="47"/>
      <c r="F16" s="47"/>
      <c r="G16" s="35"/>
      <c r="H16" s="36"/>
      <c r="I16" s="47"/>
    </row>
    <row r="17" spans="2:9" ht="16.8" thickTop="1" thickBot="1" x14ac:dyDescent="0.35">
      <c r="B17" s="43" t="s">
        <v>76</v>
      </c>
      <c r="C17" s="138"/>
      <c r="D17" s="139"/>
      <c r="E17" s="47"/>
      <c r="F17" s="1493" t="str">
        <f>IF(('Carbon Sequestration'!C28&gt;0),"CO₂ Transport &amp; Sequestration costs*","Carbon Sequestration is not included in this case")</f>
        <v>CO₂ Transport &amp; Sequestration costs*</v>
      </c>
      <c r="G17" s="1494"/>
      <c r="H17" s="1495"/>
      <c r="I17" s="47"/>
    </row>
    <row r="18" spans="2:9" ht="55.8" thickTop="1" x14ac:dyDescent="0.25">
      <c r="B18" s="141" t="s">
        <v>77</v>
      </c>
      <c r="C18" s="50" t="s">
        <v>78</v>
      </c>
      <c r="D18" s="393" t="s">
        <v>79</v>
      </c>
      <c r="E18" s="47"/>
      <c r="F18" s="1379" t="s">
        <v>77</v>
      </c>
      <c r="G18" s="985" t="s">
        <v>1</v>
      </c>
      <c r="H18" s="1380" t="s">
        <v>2</v>
      </c>
      <c r="I18" s="47"/>
    </row>
    <row r="19" spans="2:9" ht="14.4" x14ac:dyDescent="0.3">
      <c r="B19" s="516" t="s">
        <v>80</v>
      </c>
      <c r="C19" s="667">
        <f ca="1">'Cash Flow Analysis'!D119</f>
        <v>0.28153787245267498</v>
      </c>
      <c r="D19" s="142">
        <f ca="1">'Cash Flow Analysis'!C119</f>
        <v>0.16215426495400762</v>
      </c>
      <c r="E19" s="47"/>
      <c r="F19" s="1381" t="s">
        <v>1409</v>
      </c>
      <c r="G19" s="1382">
        <f ca="1">+'Carbon Sequestration'!H36</f>
        <v>4.7924606714496179E-2</v>
      </c>
      <c r="H19" s="1383">
        <f ca="1">+'Carbon Sequestration'!G36</f>
        <v>5.4145497015198467</v>
      </c>
      <c r="I19" s="47"/>
    </row>
    <row r="20" spans="2:9" ht="15" thickBot="1" x14ac:dyDescent="0.35">
      <c r="B20" s="516" t="s">
        <v>81</v>
      </c>
      <c r="C20" s="219">
        <f ca="1">'Cash Flow Analysis'!D120</f>
        <v>1.3770101206159637E-3</v>
      </c>
      <c r="D20" s="143">
        <f ca="1">'Cash Flow Analysis'!C120</f>
        <v>7.9310134014117244E-4</v>
      </c>
      <c r="E20" s="47"/>
      <c r="F20" s="1387" t="s">
        <v>1410</v>
      </c>
      <c r="G20" s="1388">
        <f ca="1">+'Carbon Sequestration'!H37</f>
        <v>0.13236867027629806</v>
      </c>
      <c r="H20" s="1389">
        <f ca="1">+'Carbon Sequestration'!G37</f>
        <v>14.752118473652605</v>
      </c>
      <c r="I20" s="47"/>
    </row>
    <row r="21" spans="2:9" ht="13.8" thickTop="1" x14ac:dyDescent="0.25">
      <c r="B21" s="516" t="s">
        <v>82</v>
      </c>
      <c r="C21" s="219">
        <f ca="1">'Cash Flow Analysis'!D121</f>
        <v>0.15273691382688684</v>
      </c>
      <c r="D21" s="143">
        <f ca="1">'Cash Flow Analysis'!C121</f>
        <v>8.7970196610424517E-2</v>
      </c>
      <c r="E21" s="47"/>
      <c r="I21" s="47"/>
    </row>
    <row r="22" spans="2:9" ht="12.75" customHeight="1" thickBot="1" x14ac:dyDescent="0.3">
      <c r="B22" s="516" t="s">
        <v>977</v>
      </c>
      <c r="C22" s="219">
        <f ca="1">'Cash Flow Analysis'!D122</f>
        <v>1.0713620728484381</v>
      </c>
      <c r="D22" s="143">
        <f ca="1">'Cash Flow Analysis'!C122</f>
        <v>0.61706060328186529</v>
      </c>
      <c r="E22" s="47"/>
      <c r="F22" s="1384" t="s">
        <v>55</v>
      </c>
      <c r="G22" s="1385">
        <f ca="1">SUM(G19:G20)</f>
        <v>0.18029327699079423</v>
      </c>
      <c r="H22" s="1386">
        <f ca="1">SUM(H19:H20)</f>
        <v>20.16666817517245</v>
      </c>
      <c r="I22" s="47"/>
    </row>
    <row r="23" spans="2:9" ht="27" customHeight="1" x14ac:dyDescent="0.25">
      <c r="B23" s="516" t="s">
        <v>83</v>
      </c>
      <c r="C23" s="219">
        <f ca="1">'Cash Flow Analysis'!D123</f>
        <v>2.3322527898303205E-2</v>
      </c>
      <c r="D23" s="143">
        <f ca="1">'Cash Flow Analysis'!C123</f>
        <v>1.3432819305169685E-2</v>
      </c>
      <c r="E23" s="47"/>
      <c r="F23" s="1498" t="s">
        <v>3</v>
      </c>
      <c r="G23" s="1498"/>
      <c r="H23" s="1498"/>
      <c r="I23" s="47"/>
    </row>
    <row r="24" spans="2:9" x14ac:dyDescent="0.25">
      <c r="B24" s="516" t="s">
        <v>84</v>
      </c>
      <c r="C24" s="219">
        <f ca="1">'Cash Flow Analysis'!D124</f>
        <v>0</v>
      </c>
      <c r="D24" s="143">
        <f ca="1">'Cash Flow Analysis'!C124</f>
        <v>0</v>
      </c>
      <c r="E24" s="47"/>
      <c r="F24" s="1499"/>
      <c r="G24" s="1499"/>
      <c r="H24" s="1499"/>
      <c r="I24" s="47"/>
    </row>
    <row r="25" spans="2:9" ht="26.4" x14ac:dyDescent="0.25">
      <c r="B25" s="517" t="s">
        <v>85</v>
      </c>
      <c r="C25" s="219">
        <f ca="1">'Cash Flow Analysis'!D125</f>
        <v>0.20589836998997074</v>
      </c>
      <c r="D25" s="143">
        <f ca="1">'Cash Flow Analysis'!C125</f>
        <v>0.11858901450839171</v>
      </c>
      <c r="E25" s="47"/>
      <c r="F25" s="47"/>
      <c r="I25" s="47"/>
    </row>
    <row r="26" spans="2:9" ht="13.8" thickBot="1" x14ac:dyDescent="0.3">
      <c r="B26" s="518" t="s">
        <v>55</v>
      </c>
      <c r="C26" s="668">
        <f ca="1">SUM(C19:C25)</f>
        <v>1.7362347671368898</v>
      </c>
      <c r="D26" s="462"/>
      <c r="E26" s="47"/>
      <c r="F26" s="47"/>
      <c r="I26" s="47"/>
    </row>
    <row r="27" spans="2:9" ht="13.8" thickTop="1" x14ac:dyDescent="0.25">
      <c r="B27" s="47"/>
      <c r="C27" s="47"/>
      <c r="D27" s="134"/>
      <c r="E27" s="47"/>
      <c r="F27" s="47"/>
      <c r="I27" s="47"/>
    </row>
    <row r="28" spans="2:9" ht="21" x14ac:dyDescent="0.5">
      <c r="B28" s="292" t="s">
        <v>388</v>
      </c>
      <c r="C28" s="47"/>
      <c r="D28" s="36"/>
      <c r="E28" s="47"/>
      <c r="F28" s="47"/>
      <c r="G28" s="47"/>
      <c r="H28" s="47"/>
      <c r="I28" s="47"/>
    </row>
    <row r="29" spans="2:9" ht="13.8" thickBot="1" x14ac:dyDescent="0.3">
      <c r="I29" s="47"/>
    </row>
    <row r="30" spans="2:9" ht="16.8" thickTop="1" thickBot="1" x14ac:dyDescent="0.35">
      <c r="B30" s="1485" t="s">
        <v>898</v>
      </c>
      <c r="C30" s="1486"/>
      <c r="D30" s="500"/>
      <c r="E30" s="500"/>
      <c r="F30" s="500"/>
      <c r="G30" s="501"/>
      <c r="H30" s="501"/>
      <c r="I30" s="505"/>
    </row>
    <row r="31" spans="2:9" ht="42" thickBot="1" x14ac:dyDescent="0.3">
      <c r="B31" s="506" t="s">
        <v>245</v>
      </c>
      <c r="C31" s="507" t="s">
        <v>902</v>
      </c>
      <c r="D31" s="507" t="s">
        <v>897</v>
      </c>
      <c r="E31" s="508" t="s">
        <v>693</v>
      </c>
      <c r="F31" s="508" t="s">
        <v>261</v>
      </c>
      <c r="G31" s="508" t="s">
        <v>896</v>
      </c>
      <c r="H31" s="508" t="s">
        <v>913</v>
      </c>
      <c r="I31" s="509" t="s">
        <v>1164</v>
      </c>
    </row>
    <row r="32" spans="2:9" x14ac:dyDescent="0.25">
      <c r="B32" s="592" t="str">
        <f>IF('Cash Flow Analysis'!$B$131=0,"",'Cash Flow Analysis'!$B$131)</f>
        <v>Industrial Electricity</v>
      </c>
      <c r="C32" s="593">
        <f ca="1">IF($B$32="","",$E$32*$F$32*$H$32)</f>
        <v>1.2581672727272725E-2</v>
      </c>
      <c r="D32" s="593">
        <f ca="1">IF($B32="","",$C32*1000*MJ_to_kWh)</f>
        <v>3.4949090909090903</v>
      </c>
      <c r="E32" s="594">
        <f ca="1">IF($B$32&lt;&gt;"",VLOOKUP($B$32,MASTER_PROPERTY_TABLE,MATCH("H2A LHV (GJ/ H2A usage input unit)",key_MPTable,0),FALSE),"")</f>
        <v>3.5999999999999995E-3</v>
      </c>
      <c r="F32" s="594">
        <f>IF('Cash Flow Analysis'!$B$133="","",'Cash Flow Analysis'!$B$133)</f>
        <v>3.4949090909090907</v>
      </c>
      <c r="G32" s="595" t="str">
        <f ca="1">IF($B$32&lt;&gt;"",VLOOKUP($B$32,MASTER_PROPERTY_TABLE,MATCH("H2A Usage Input Unit/ kg H2",key_MPTable,0),FALSE),"")</f>
        <v>kWh</v>
      </c>
      <c r="H32" s="595">
        <f ca="1">IF($B32="","",IF(VLOOKUP($B32,MASTER_PROPERTY_TABLE,MATCH("Unit System",key_MPTable,0),FALSE)="English",mmBTU_to_GJ,1))</f>
        <v>1</v>
      </c>
      <c r="I32" s="950">
        <f ca="1">+'Cash Flow Analysis'!$B$233</f>
        <v>7.7853020431673109E-2</v>
      </c>
    </row>
    <row r="33" spans="2:9" x14ac:dyDescent="0.25">
      <c r="B33" s="547" t="str">
        <f>IF('Cash Flow Analysis'!$C$131=0,"",'Cash Flow Analysis'!$C$131)</f>
        <v>Industrial Natural Gas</v>
      </c>
      <c r="C33" s="596">
        <f ca="1">IF($B$33="","",$E$33*$F$33*$H$33)</f>
        <v>0.16635258904830394</v>
      </c>
      <c r="D33" s="596">
        <f ca="1">IF($B33="","",$C33*1000*MJ_to_kWh)</f>
        <v>46.209052513417767</v>
      </c>
      <c r="E33" s="551">
        <f ca="1">IF($B$33&lt;&gt;"",VLOOKUP($B$33,MASTER_PROPERTY_TABLE,MATCH("H2A LHV (GJ/ H2A usage input unit)",key_MPTable,0),FALSE),"")</f>
        <v>1.0549999999999999</v>
      </c>
      <c r="F33" s="551">
        <f>IF('Cash Flow Analysis'!$C$133="","",'Cash Flow Analysis'!$C$133)</f>
        <v>0.15768017919270516</v>
      </c>
      <c r="G33" s="597" t="str">
        <f ca="1">IF($B$33&lt;&gt;"",VLOOKUP($B$33,MASTER_PROPERTY_TABLE,MATCH("H2A Usage Input Unit/ kg H2",key_MPTable,0),FALSE),"")</f>
        <v>mmBtu</v>
      </c>
      <c r="H33" s="597">
        <f ca="1">IF($B$33="","",IF(VLOOKUP($B$33,MASTER_PROPERTY_TABLE,MATCH("Unit System",key_MPTable,0),FALSE)="English",mmBTU_to_GJ,1))</f>
        <v>1</v>
      </c>
      <c r="I33" s="951">
        <f ca="1">+'Cash Flow Analysis'!$C$233</f>
        <v>5.4636424194057662</v>
      </c>
    </row>
    <row r="34" spans="2:9" x14ac:dyDescent="0.25">
      <c r="B34" s="547" t="str">
        <f>IF('Cash Flow Analysis'!$D$131=0,"",'Cash Flow Analysis'!$D$131)</f>
        <v/>
      </c>
      <c r="C34" s="596" t="str">
        <f>IF($B$34="","",$E$34*$F$34*$H$34)</f>
        <v/>
      </c>
      <c r="D34" s="596" t="str">
        <f>IF($B34="","",$C34*1000*MJ_to_kWh)</f>
        <v/>
      </c>
      <c r="E34" s="551" t="str">
        <f>IF($B$34&lt;&gt;"",VLOOKUP($B$34,MASTER_PROPERTY_TABLE,MATCH("H2A LHV (GJ/ H2A usage input unit)",key_MPTable,0),FALSE),"")</f>
        <v/>
      </c>
      <c r="F34" s="551" t="str">
        <f>IF('Cash Flow Analysis'!$D$133="","",'Cash Flow Analysis'!$D$133)</f>
        <v/>
      </c>
      <c r="G34" s="597" t="str">
        <f>IF($B$34&lt;&gt;"",VLOOKUP($B$34,MASTER_PROPERTY_TABLE,MATCH("H2A Usage Input Unit/ kg H2",key_MPTable,0),FALSE),"")</f>
        <v/>
      </c>
      <c r="H34" s="597" t="str">
        <f>IF($B$34="","",IF(VLOOKUP($B$34,MASTER_PROPERTY_TABLE,MATCH("Unit System",key_MPTable,0),FALSE)="English",mmBTU_to_GJ,1))</f>
        <v/>
      </c>
      <c r="I34" s="951" t="str">
        <f>+'Cash Flow Analysis'!$D$233</f>
        <v/>
      </c>
    </row>
    <row r="35" spans="2:9" ht="13.8" thickBot="1" x14ac:dyDescent="0.3">
      <c r="B35" s="599" t="str">
        <f>IF('Cash Flow Analysis'!$E$131=0,"",'Cash Flow Analysis'!$E$131)</f>
        <v/>
      </c>
      <c r="C35" s="600" t="str">
        <f>IF($B$35="","",$E$35*$F$35*$H$35)</f>
        <v/>
      </c>
      <c r="D35" s="600" t="str">
        <f>IF($B35="","",$C35*1000*MJ_to_kWh)</f>
        <v/>
      </c>
      <c r="E35" s="601" t="str">
        <f>IF($B$35&lt;&gt;"",VLOOKUP($B$35,MASTER_PROPERTY_TABLE,MATCH("H2A LHV (GJ/ H2A usage input unit)",key_MPTable,0),FALSE),"")</f>
        <v/>
      </c>
      <c r="F35" s="601" t="str">
        <f>IF('Cash Flow Analysis'!$E$133="","",'Cash Flow Analysis'!$E$133)</f>
        <v/>
      </c>
      <c r="G35" s="602" t="str">
        <f>IF($B$35&lt;&gt;"",VLOOKUP($B$35,MASTER_PROPERTY_TABLE,MATCH("H2A Usage Input Unit/ kg H2",key_MPTable,0),FALSE),"")</f>
        <v/>
      </c>
      <c r="H35" s="602" t="str">
        <f>IF($B$35="","",IF(VLOOKUP($B$35,MASTER_PROPERTY_TABLE,MATCH("Unit System",key_MPTable,0),FALSE)="English",mmBTU_to_GJ,1))</f>
        <v/>
      </c>
      <c r="I35" s="952" t="str">
        <f>+'Cash Flow Analysis'!$E$233</f>
        <v/>
      </c>
    </row>
    <row r="36" spans="2:9" ht="13.8" x14ac:dyDescent="0.25">
      <c r="B36" s="603" t="s">
        <v>268</v>
      </c>
      <c r="C36" s="604"/>
      <c r="D36" s="604"/>
      <c r="E36" s="513"/>
      <c r="F36" s="513"/>
      <c r="G36" s="514"/>
      <c r="H36" s="514"/>
      <c r="I36" s="953"/>
    </row>
    <row r="37" spans="2:9" x14ac:dyDescent="0.25">
      <c r="B37" s="547" t="str">
        <f>IF('Cash Flow Analysis'!$F$131=0,"",'Cash Flow Analysis'!$F$131)</f>
        <v/>
      </c>
      <c r="C37" s="596" t="str">
        <f>IF($B$37="","",$E$37*$F$37*$H$37)</f>
        <v/>
      </c>
      <c r="D37" s="596" t="str">
        <f>IF($B37="","",$C37*1000*MJ_to_kWh)</f>
        <v/>
      </c>
      <c r="E37" s="551" t="str">
        <f>IF($B37&lt;&gt;"",VLOOKUP($B37,MASTER_PROPERTY_TABLE,MATCH("H2A LHV (GJ/ H2A usage input unit)",key_MPTable,0),FALSE),"")</f>
        <v/>
      </c>
      <c r="F37" s="551" t="str">
        <f>IF('Cash Flow Analysis'!$F$133="","",'Cash Flow Analysis'!$F$133)</f>
        <v/>
      </c>
      <c r="G37" s="597" t="str">
        <f>IF($B$37&lt;&gt;"",VLOOKUP($B$37,MASTER_PROPERTY_TABLE,MATCH("H2A Usage Input Unit/ kg H2",key_MPTable,0),FALSE),"")</f>
        <v/>
      </c>
      <c r="H37" s="597" t="str">
        <f>IF($B$37="","",IF(VLOOKUP($B$37,MASTER_PROPERTY_TABLE,MATCH("Unit System",key_MPTable,0),FALSE)="English",mmBTU_to_GJ,1))</f>
        <v/>
      </c>
      <c r="I37" s="951" t="str">
        <f>+'Cash Flow Analysis'!$F$233</f>
        <v/>
      </c>
    </row>
    <row r="38" spans="2:9" x14ac:dyDescent="0.25">
      <c r="B38" s="547" t="str">
        <f>IF('Cash Flow Analysis'!$G$131=0,"",'Cash Flow Analysis'!$G$131)</f>
        <v/>
      </c>
      <c r="C38" s="596" t="str">
        <f>IF($B$38="","",$E$38*$F$38*$H$38)</f>
        <v/>
      </c>
      <c r="D38" s="596" t="str">
        <f>IF($B38="","",$C38*1000*MJ_to_kWh)</f>
        <v/>
      </c>
      <c r="E38" s="551" t="str">
        <f>IF($B38&lt;&gt;"",VLOOKUP($B38,MASTER_PROPERTY_TABLE,MATCH("H2A LHV (GJ/ H2A usage input unit)",key_MPTable,0),FALSE),"")</f>
        <v/>
      </c>
      <c r="F38" s="551" t="str">
        <f>IF('Cash Flow Analysis'!$G$133="","",'Cash Flow Analysis'!$G$133)</f>
        <v/>
      </c>
      <c r="G38" s="597" t="str">
        <f>IF($B$38&lt;&gt;"",VLOOKUP($B$38,MASTER_PROPERTY_TABLE,MATCH("H2A Usage Input Unit/ kg H2",key_MPTable,0),FALSE),"")</f>
        <v/>
      </c>
      <c r="H38" s="597" t="str">
        <f>IF($B$38="","",IF(VLOOKUP($B$38,MASTER_PROPERTY_TABLE,MATCH("Unit System",key_MPTable,0),FALSE)="English",mmBTU_to_GJ,1))</f>
        <v/>
      </c>
      <c r="I38" s="951" t="str">
        <f>+'Cash Flow Analysis'!$G$233</f>
        <v/>
      </c>
    </row>
    <row r="39" spans="2:9" x14ac:dyDescent="0.25">
      <c r="B39" s="547" t="str">
        <f>IF('Cash Flow Analysis'!$H$131=0,"",'Cash Flow Analysis'!$H$131)</f>
        <v/>
      </c>
      <c r="C39" s="596" t="str">
        <f>IF($B$39="","",$E$39*$F$39*$H$39)</f>
        <v/>
      </c>
      <c r="D39" s="596" t="str">
        <f>IF($B39="","",$C39*1000*MJ_to_kWh)</f>
        <v/>
      </c>
      <c r="E39" s="551" t="str">
        <f>IF($B39&lt;&gt;"",VLOOKUP($B39,MASTER_PROPERTY_TABLE,MATCH("H2A LHV (GJ/ H2A usage input unit)",key_MPTable,0),FALSE),"")</f>
        <v/>
      </c>
      <c r="F39" s="551" t="str">
        <f>IF('Cash Flow Analysis'!$H$133="","",'Cash Flow Analysis'!$H$133)</f>
        <v/>
      </c>
      <c r="G39" s="597" t="str">
        <f>IF($B$39&lt;&gt;"",VLOOKUP($B$39,MASTER_PROPERTY_TABLE,MATCH("H2A Usage Input Unit/ kg H2",key_MPTable,0),FALSE),"")</f>
        <v/>
      </c>
      <c r="H39" s="597" t="str">
        <f>IF($B$39="","",IF(VLOOKUP($B$39,MASTER_PROPERTY_TABLE,MATCH("Unit System",key_MPTable,0),FALSE)="English",mmBTU_to_GJ,1))</f>
        <v/>
      </c>
      <c r="I39" s="951" t="str">
        <f>+'Cash Flow Analysis'!$H$233</f>
        <v/>
      </c>
    </row>
    <row r="40" spans="2:9" ht="13.8" thickBot="1" x14ac:dyDescent="0.3">
      <c r="B40" s="599" t="str">
        <f>IF('Cash Flow Analysis'!$I$131=0,"",'Cash Flow Analysis'!$I$131)</f>
        <v/>
      </c>
      <c r="C40" s="600" t="str">
        <f>IF($B$40="","",$E$40*$F$40*$H$40)</f>
        <v/>
      </c>
      <c r="D40" s="600" t="str">
        <f>IF($B40="","",$C40*1000*MJ_to_kWh)</f>
        <v/>
      </c>
      <c r="E40" s="601" t="str">
        <f>IF($B40&lt;&gt;"",VLOOKUP($B40,MASTER_PROPERTY_TABLE,MATCH("H2A LHV (GJ/ H2A usage input unit)",key_MPTable,0),FALSE),"")</f>
        <v/>
      </c>
      <c r="F40" s="601" t="str">
        <f>IF('Cash Flow Analysis'!$I$133="","",'Cash Flow Analysis'!$I$133)</f>
        <v/>
      </c>
      <c r="G40" s="602" t="str">
        <f>IF($B$40&lt;&gt;"",VLOOKUP($B$40,MASTER_PROPERTY_TABLE,MATCH("H2A Usage Input Unit/ kg H2",key_MPTable,0),FALSE),"")</f>
        <v/>
      </c>
      <c r="H40" s="602" t="str">
        <f>IF($B$40="","",IF(VLOOKUP($B$40,MASTER_PROPERTY_TABLE,MATCH("Unit System",key_MPTable,0),FALSE)="English",mmBTU_to_GJ,1))</f>
        <v/>
      </c>
      <c r="I40" s="952" t="str">
        <f>+'Cash Flow Analysis'!$I$233</f>
        <v/>
      </c>
    </row>
    <row r="41" spans="2:9" ht="13.8" x14ac:dyDescent="0.25">
      <c r="B41" s="603" t="s">
        <v>395</v>
      </c>
      <c r="C41" s="604"/>
      <c r="D41" s="604"/>
      <c r="E41" s="513"/>
      <c r="F41" s="513"/>
      <c r="G41" s="514"/>
      <c r="H41" s="514"/>
      <c r="I41" s="515"/>
    </row>
    <row r="42" spans="2:9" ht="13.8" thickBot="1" x14ac:dyDescent="0.3">
      <c r="B42" s="502" t="str">
        <f>IF('Cash Flow Analysis'!$J$131=0,"",'Cash Flow Analysis'!$J$131)</f>
        <v/>
      </c>
      <c r="C42" s="569" t="str">
        <f>IF($B$42="","",$E$42*$F$42*$H$42)</f>
        <v/>
      </c>
      <c r="D42" s="569" t="str">
        <f>IF($B42="","",$C42*1000*MJ_to_kWh)</f>
        <v/>
      </c>
      <c r="E42" s="512" t="str">
        <f>IF($B42&lt;&gt;"",VLOOKUP($B42,MASTER_PROPERTY_TABLE,MATCH("H2A LHV (GJ/ H2A usage input unit)",key_MPTable,0),FALSE),"")</f>
        <v/>
      </c>
      <c r="F42" s="512">
        <f>CO2_CashFlow_eUse</f>
        <v>0</v>
      </c>
      <c r="G42" s="510" t="str">
        <f>IF($B$42&lt;&gt;"",VLOOKUP($B$42,MASTER_PROPERTY_TABLE,MATCH("H2A Usage Input Unit/ kg H2",key_MPTable,0),FALSE),"")</f>
        <v/>
      </c>
      <c r="H42" s="510" t="str">
        <f>IF($B42="","",IF(VLOOKUP($B42,MASTER_PROPERTY_TABLE,MATCH("Unit System",key_MPTable,0),FALSE)="English",mmBTU_to_GJ,1))</f>
        <v/>
      </c>
      <c r="I42" s="511"/>
    </row>
    <row r="43" spans="2:9" ht="42.6" thickTop="1" thickBot="1" x14ac:dyDescent="0.3">
      <c r="B43" s="587"/>
      <c r="C43" s="588" t="s">
        <v>903</v>
      </c>
      <c r="D43" s="589" t="s">
        <v>975</v>
      </c>
      <c r="E43" s="590" t="s">
        <v>693</v>
      </c>
      <c r="F43" s="588" t="s">
        <v>895</v>
      </c>
      <c r="G43" s="590" t="s">
        <v>896</v>
      </c>
      <c r="H43" s="590" t="s">
        <v>913</v>
      </c>
      <c r="I43" s="591"/>
    </row>
    <row r="44" spans="2:9" x14ac:dyDescent="0.25">
      <c r="B44" s="503" t="s">
        <v>904</v>
      </c>
      <c r="C44" s="569">
        <f>kgH2_to_GJ</f>
        <v>0.12021163829516093</v>
      </c>
      <c r="D44" s="569">
        <f>IF($B44="","",$C44*1000*MJ_to_kWh)</f>
        <v>33.392121748655818</v>
      </c>
      <c r="E44" s="512">
        <f>kgH2_to_GJ</f>
        <v>0.12021163829516093</v>
      </c>
      <c r="F44" s="512">
        <v>1</v>
      </c>
      <c r="G44" s="510" t="s">
        <v>265</v>
      </c>
      <c r="H44" s="510">
        <v>1</v>
      </c>
      <c r="I44" s="511"/>
    </row>
    <row r="45" spans="2:9" ht="13.8" thickBot="1" x14ac:dyDescent="0.3">
      <c r="B45" s="503"/>
      <c r="C45" s="570"/>
      <c r="D45" s="570"/>
      <c r="E45" s="512"/>
      <c r="F45" s="512"/>
      <c r="G45" s="510"/>
      <c r="H45" s="510"/>
      <c r="I45" s="511"/>
    </row>
    <row r="46" spans="2:9" ht="13.8" x14ac:dyDescent="0.25">
      <c r="B46" s="603" t="s">
        <v>899</v>
      </c>
      <c r="C46" s="604"/>
      <c r="D46" s="604"/>
      <c r="E46" s="513"/>
      <c r="F46" s="513"/>
      <c r="G46" s="514"/>
      <c r="H46" s="514"/>
      <c r="I46" s="515"/>
    </row>
    <row r="47" spans="2:9" x14ac:dyDescent="0.25">
      <c r="B47" s="547" t="str">
        <f>IF('Cash Flow Analysis'!$K$131=0,"",'Cash Flow Analysis'!$K$131)</f>
        <v/>
      </c>
      <c r="C47" s="596" t="str">
        <f>IF($B$47="","",$E$47*$F$47*$H$47)</f>
        <v/>
      </c>
      <c r="D47" s="596" t="str">
        <f>IF($B47="","",$C47*1000*MJ_to_kWh)</f>
        <v/>
      </c>
      <c r="E47" s="551" t="str">
        <f>IF($B47&lt;&gt;"",VLOOKUP($B47,MASTER_PROPERTY_TABLE,MATCH("H2A LHV (GJ/ H2A usage input unit)",key_MPTable,0),FALSE),"")</f>
        <v/>
      </c>
      <c r="F47" s="551" t="str">
        <f>IF('Cash Flow Analysis'!$K$133="","",'Cash Flow Analysis'!$K$133)</f>
        <v/>
      </c>
      <c r="G47" s="597" t="str">
        <f>IF($B$47&lt;&gt;"",VLOOKUP($B$47,MASTER_PROPERTY_TABLE,MATCH("H2A Usage Input Unit/ kg H2",key_MPTable,0),FALSE),"")</f>
        <v/>
      </c>
      <c r="H47" s="597" t="str">
        <f>IF($B$47="","",IF(VLOOKUP($B$47,MASTER_PROPERTY_TABLE,MATCH("Unit System",key_MPTable,0),FALSE)="English",mmBTU_to_GJ,1))</f>
        <v/>
      </c>
      <c r="I47" s="598" t="str">
        <f>+'Cash Flow Analysis'!$K$233</f>
        <v/>
      </c>
    </row>
    <row r="48" spans="2:9" x14ac:dyDescent="0.25">
      <c r="B48" s="547" t="str">
        <f>IF('Cash Flow Analysis'!$L$131=0,"",'Cash Flow Analysis'!$L$131)</f>
        <v/>
      </c>
      <c r="C48" s="596" t="str">
        <f>IF($B$48="","",$E$48*$F$48*$H$48)</f>
        <v/>
      </c>
      <c r="D48" s="596" t="str">
        <f>IF($B48="","",$C48*1000*MJ_to_kWh)</f>
        <v/>
      </c>
      <c r="E48" s="551" t="str">
        <f>IF($B48&lt;&gt;"",VLOOKUP($B48,MASTER_PROPERTY_TABLE,MATCH("H2A LHV (GJ/ H2A usage input unit)",key_MPTable,0),FALSE),"")</f>
        <v/>
      </c>
      <c r="F48" s="551" t="str">
        <f>IF('Cash Flow Analysis'!$L$133="","",'Cash Flow Analysis'!$L$133)</f>
        <v/>
      </c>
      <c r="G48" s="597" t="str">
        <f>IF($B$48&lt;&gt;"",VLOOKUP($B$48,MASTER_PROPERTY_TABLE,MATCH("H2A Usage Input Unit/ kg H2",key_MPTable,0),FALSE),"")</f>
        <v/>
      </c>
      <c r="H48" s="597" t="str">
        <f>IF($B$48="","",IF(VLOOKUP($B$48,MASTER_PROPERTY_TABLE,MATCH("Unit System",key_MPTable,0),FALSE)="English",mmBTU_to_GJ,1))</f>
        <v/>
      </c>
      <c r="I48" s="598" t="str">
        <f>+'Cash Flow Analysis'!$L$233</f>
        <v/>
      </c>
    </row>
    <row r="49" spans="2:9" x14ac:dyDescent="0.25">
      <c r="B49" s="547" t="str">
        <f>IF('Cash Flow Analysis'!$M$131=0,"",'Cash Flow Analysis'!$M$131)</f>
        <v/>
      </c>
      <c r="C49" s="596" t="str">
        <f>IF($B$49="","",$E$49*$F$49*$H$49)</f>
        <v/>
      </c>
      <c r="D49" s="596" t="str">
        <f>IF($B49="","",$C49*1000*MJ_to_kWh)</f>
        <v/>
      </c>
      <c r="E49" s="551" t="str">
        <f>IF($B49&lt;&gt;"",VLOOKUP($B49,MASTER_PROPERTY_TABLE,MATCH("H2A LHV (GJ/ H2A usage input unit)",key_MPTable,0),FALSE),"")</f>
        <v/>
      </c>
      <c r="F49" s="551" t="str">
        <f>IF('Cash Flow Analysis'!$M$133="","",'Cash Flow Analysis'!$M$133)</f>
        <v/>
      </c>
      <c r="G49" s="597" t="str">
        <f>IF($B$49&lt;&gt;"",VLOOKUP($B$49,MASTER_PROPERTY_TABLE,MATCH("H2A Usage Input Unit/ kg H2",key_MPTable,0),FALSE),"")</f>
        <v/>
      </c>
      <c r="H49" s="597" t="str">
        <f>IF($B$49="","",IF(VLOOKUP($B$49,MASTER_PROPERTY_TABLE,MATCH("Unit System",key_MPTable,0),FALSE)="English",mmBTU_to_GJ,1))</f>
        <v/>
      </c>
      <c r="I49" s="598" t="str">
        <f>+'Cash Flow Analysis'!$M$233</f>
        <v/>
      </c>
    </row>
    <row r="50" spans="2:9" ht="13.8" thickBot="1" x14ac:dyDescent="0.3">
      <c r="B50" s="548" t="str">
        <f>IF('Cash Flow Analysis'!$N$131=0,"",'Cash Flow Analysis'!$N$131)</f>
        <v/>
      </c>
      <c r="C50" s="605" t="str">
        <f>IF($B$50="","",$E$50*$F$50*$H$50)</f>
        <v/>
      </c>
      <c r="D50" s="605" t="str">
        <f>IF($B50="","",$C50*1000*MJ_to_kWh)</f>
        <v/>
      </c>
      <c r="E50" s="562" t="str">
        <f>IF($B50&lt;&gt;"",VLOOKUP($B50,MASTER_PROPERTY_TABLE,MATCH("H2A LHV (GJ/ H2A usage input unit)",key_MPTable,0),FALSE),"")</f>
        <v/>
      </c>
      <c r="F50" s="562" t="str">
        <f>IF('Cash Flow Analysis'!$N$133="","",'Cash Flow Analysis'!$N$133)</f>
        <v/>
      </c>
      <c r="G50" s="606" t="str">
        <f>IF($B$50&lt;&gt;"",VLOOKUP($B$50,MASTER_PROPERTY_TABLE,MATCH("H2A Usage Input Unit/ kg H2",key_MPTable,0),FALSE),"")</f>
        <v/>
      </c>
      <c r="H50" s="606" t="str">
        <f>IF($B$50="","",IF(VLOOKUP($B$50,MASTER_PROPERTY_TABLE,MATCH("Unit System",key_MPTable,0),FALSE)="English",mmBTU_to_GJ,1))</f>
        <v/>
      </c>
      <c r="I50" s="607" t="str">
        <f>+'Cash Flow Analysis'!$N$233</f>
        <v/>
      </c>
    </row>
    <row r="51" spans="2:9" ht="14.4" thickTop="1" thickBot="1" x14ac:dyDescent="0.3"/>
    <row r="52" spans="2:9" ht="16.2" thickBot="1" x14ac:dyDescent="0.35">
      <c r="B52" s="1496" t="s">
        <v>389</v>
      </c>
      <c r="C52" s="1497"/>
      <c r="D52" s="288">
        <f ca="1">(C56+C57)/(C53+C54+C55)</f>
        <v>0.67182012601886743</v>
      </c>
      <c r="F52" s="28"/>
    </row>
    <row r="53" spans="2:9" ht="26.4" x14ac:dyDescent="0.25">
      <c r="B53" s="463" t="s">
        <v>582</v>
      </c>
      <c r="C53" s="464">
        <f ca="1">SUM(C32:C35)</f>
        <v>0.17893426177557667</v>
      </c>
      <c r="D53" s="465"/>
    </row>
    <row r="54" spans="2:9" x14ac:dyDescent="0.25">
      <c r="B54" s="466" t="s">
        <v>583</v>
      </c>
      <c r="C54" s="467">
        <f>SUM(C37:C40)</f>
        <v>0</v>
      </c>
      <c r="D54" s="468"/>
    </row>
    <row r="55" spans="2:9" ht="26.4" x14ac:dyDescent="0.25">
      <c r="B55" s="466" t="s">
        <v>390</v>
      </c>
      <c r="C55" s="467">
        <f>IF(C42="",0,C42)</f>
        <v>0</v>
      </c>
      <c r="D55" s="468"/>
    </row>
    <row r="56" spans="2:9" x14ac:dyDescent="0.25">
      <c r="B56" s="466" t="s">
        <v>584</v>
      </c>
      <c r="C56" s="467">
        <f>C44</f>
        <v>0.12021163829516093</v>
      </c>
      <c r="D56" s="468"/>
    </row>
    <row r="57" spans="2:9" ht="27" thickBot="1" x14ac:dyDescent="0.3">
      <c r="B57" s="469" t="s">
        <v>585</v>
      </c>
      <c r="C57" s="470">
        <f>SUM(C47:C50)</f>
        <v>0</v>
      </c>
      <c r="D57" s="471"/>
    </row>
    <row r="58" spans="2:9" ht="13.8" thickBot="1" x14ac:dyDescent="0.3"/>
    <row r="59" spans="2:9" ht="16.8" thickTop="1" thickBot="1" x14ac:dyDescent="0.35">
      <c r="B59" s="1485" t="s">
        <v>391</v>
      </c>
      <c r="C59" s="1486"/>
      <c r="D59" s="500"/>
      <c r="E59" s="519"/>
    </row>
    <row r="60" spans="2:9" x14ac:dyDescent="0.25">
      <c r="B60" s="503" t="s">
        <v>245</v>
      </c>
      <c r="C60" s="472" t="s">
        <v>392</v>
      </c>
      <c r="D60" s="472" t="s">
        <v>393</v>
      </c>
      <c r="E60" s="520" t="s">
        <v>394</v>
      </c>
    </row>
    <row r="61" spans="2:9" x14ac:dyDescent="0.25">
      <c r="B61" s="502" t="str">
        <f>B32</f>
        <v>Industrial Electricity</v>
      </c>
      <c r="C61" s="565">
        <f ca="1">IF($B61="","",$C32/1000000*VLOOKUP($B61,Tbl_Emissions,3,FALSE))</f>
        <v>2.2483449163636361E-2</v>
      </c>
      <c r="D61" s="565">
        <f ca="1">IF($B61="","",$C32/1000000*VLOOKUP($B61,Tbl_Emissions,4,FALSE))</f>
        <v>1.7238289599999995E-2</v>
      </c>
      <c r="E61" s="566">
        <f ca="1">IF($B61="","",$C32/1000000*VLOOKUP($B61,Tbl_Emissions,5,FALSE))</f>
        <v>2.6568298909090905E-4</v>
      </c>
    </row>
    <row r="62" spans="2:9" x14ac:dyDescent="0.25">
      <c r="B62" s="502" t="str">
        <f>B33</f>
        <v>Industrial Natural Gas</v>
      </c>
      <c r="C62" s="565">
        <f ca="1">IF($B62="","",$C33/1000000*VLOOKUP($B62,Tbl_Emissions,3,FALSE))</f>
        <v>0.18171247810376398</v>
      </c>
      <c r="D62" s="565">
        <f ca="1">IF($B62="","",$C33/1000000*VLOOKUP($B62,Tbl_Emissions,4,FALSE))</f>
        <v>0.18165702724074789</v>
      </c>
      <c r="E62" s="566">
        <f ca="1">IF($B62="","",$C33/1000000*VLOOKUP($B62,Tbl_Emissions,5,FALSE))</f>
        <v>6.6260084580039994E-4</v>
      </c>
    </row>
    <row r="63" spans="2:9" x14ac:dyDescent="0.25">
      <c r="B63" s="502" t="str">
        <f>B34</f>
        <v/>
      </c>
      <c r="C63" s="565" t="str">
        <f>IF($B63="","",$C34/1000000*VLOOKUP($B63,Tbl_Emissions,3,FALSE))</f>
        <v/>
      </c>
      <c r="D63" s="565" t="str">
        <f>IF($B63="","",$C34/1000000*VLOOKUP($B63,Tbl_Emissions,4,FALSE))</f>
        <v/>
      </c>
      <c r="E63" s="566" t="str">
        <f>IF($B63="","",$C34/1000000*VLOOKUP($B63,Tbl_Emissions,5,FALSE))</f>
        <v/>
      </c>
    </row>
    <row r="64" spans="2:9" x14ac:dyDescent="0.25">
      <c r="B64" s="502" t="str">
        <f>B35</f>
        <v/>
      </c>
      <c r="C64" s="565" t="str">
        <f>IF($B64="","",$C35/1000000*VLOOKUP($B64,Tbl_Emissions,3,FALSE))</f>
        <v/>
      </c>
      <c r="D64" s="565" t="str">
        <f>IF($B64="","",$C35/1000000*VLOOKUP($B64,Tbl_Emissions,4,FALSE))</f>
        <v/>
      </c>
      <c r="E64" s="566" t="str">
        <f>IF($B64="","",$C35/1000000*VLOOKUP($B64,Tbl_Emissions,5,FALSE))</f>
        <v/>
      </c>
    </row>
    <row r="65" spans="2:7" x14ac:dyDescent="0.25">
      <c r="B65" s="503" t="s">
        <v>268</v>
      </c>
      <c r="C65" s="608"/>
      <c r="D65" s="608"/>
      <c r="E65" s="609"/>
    </row>
    <row r="66" spans="2:7" x14ac:dyDescent="0.25">
      <c r="B66" s="502" t="str">
        <f>B37</f>
        <v/>
      </c>
      <c r="C66" s="565" t="str">
        <f>IF($B66="","",$C37/1000000*VLOOKUP($B66,Tbl_Emissions,3,FALSE))</f>
        <v/>
      </c>
      <c r="D66" s="565" t="str">
        <f>IF($B66="","",$C37/1000000*VLOOKUP($B66,Tbl_Emissions,4,FALSE))</f>
        <v/>
      </c>
      <c r="E66" s="566" t="str">
        <f>IF($B66="","",$C37/1000000*VLOOKUP($B66,Tbl_Emissions,5,FALSE))</f>
        <v/>
      </c>
    </row>
    <row r="67" spans="2:7" x14ac:dyDescent="0.25">
      <c r="B67" s="502" t="str">
        <f>B38</f>
        <v/>
      </c>
      <c r="C67" s="565" t="str">
        <f>IF($B67="","",$C38/1000000*VLOOKUP($B67,Tbl_Emissions,3,FALSE))</f>
        <v/>
      </c>
      <c r="D67" s="565" t="str">
        <f>IF($B67="","",$C38/1000000*VLOOKUP($B67,Tbl_Emissions,4,FALSE))</f>
        <v/>
      </c>
      <c r="E67" s="566" t="str">
        <f>IF($B67="","",$C38/1000000*VLOOKUP($B67,Tbl_Emissions,5,FALSE))</f>
        <v/>
      </c>
    </row>
    <row r="68" spans="2:7" x14ac:dyDescent="0.25">
      <c r="B68" s="502" t="str">
        <f>B39</f>
        <v/>
      </c>
      <c r="C68" s="565" t="str">
        <f>IF($B68="","",$C39/1000000*VLOOKUP($B68,Tbl_Emissions,3,FALSE))</f>
        <v/>
      </c>
      <c r="D68" s="565" t="str">
        <f>IF($B68="","",$C39/1000000*VLOOKUP($B68,Tbl_Emissions,4,FALSE))</f>
        <v/>
      </c>
      <c r="E68" s="566" t="str">
        <f>IF($B68="","",$C39/1000000*VLOOKUP($B68,Tbl_Emissions,5,FALSE))</f>
        <v/>
      </c>
    </row>
    <row r="69" spans="2:7" x14ac:dyDescent="0.25">
      <c r="B69" s="502" t="str">
        <f>B40</f>
        <v/>
      </c>
      <c r="C69" s="565" t="str">
        <f>IF($B69="","",$C40/1000000*VLOOKUP($B69,Tbl_Emissions,3,FALSE))</f>
        <v/>
      </c>
      <c r="D69" s="565" t="str">
        <f>IF($B69="","",$C40/1000000*VLOOKUP($B69,Tbl_Emissions,4,FALSE))</f>
        <v/>
      </c>
      <c r="E69" s="566" t="str">
        <f>IF($B69="","",$C40/1000000*VLOOKUP($B69,Tbl_Emissions,5,FALSE))</f>
        <v/>
      </c>
    </row>
    <row r="70" spans="2:7" x14ac:dyDescent="0.25">
      <c r="B70" s="503" t="s">
        <v>395</v>
      </c>
      <c r="C70" s="608"/>
      <c r="D70" s="608"/>
      <c r="E70" s="609"/>
    </row>
    <row r="71" spans="2:7" ht="13.8" thickBot="1" x14ac:dyDescent="0.3">
      <c r="B71" s="504" t="str">
        <f>B42</f>
        <v/>
      </c>
      <c r="C71" s="567" t="str">
        <f>IF($B71="","",$C42/1000000*VLOOKUP($B71,Tbl_Emissions,3,FALSE))</f>
        <v/>
      </c>
      <c r="D71" s="567" t="str">
        <f>IF($B71="","",$C42/1000000*VLOOKUP($B71,Tbl_Emissions,4,FALSE))</f>
        <v/>
      </c>
      <c r="E71" s="568" t="str">
        <f>IF($B71="","",$C42/1000000*VLOOKUP($B71,Tbl_Emissions,5,FALSE))</f>
        <v/>
      </c>
    </row>
    <row r="72" spans="2:7" ht="13.8" thickTop="1" x14ac:dyDescent="0.25"/>
    <row r="74" spans="2:7" ht="21" x14ac:dyDescent="0.5">
      <c r="B74" s="292" t="s">
        <v>396</v>
      </c>
    </row>
    <row r="75" spans="2:7" ht="13.8" thickBot="1" x14ac:dyDescent="0.3"/>
    <row r="76" spans="2:7" ht="16.8" thickTop="1" thickBot="1" x14ac:dyDescent="0.35">
      <c r="B76" s="571" t="s">
        <v>397</v>
      </c>
      <c r="C76" s="572"/>
      <c r="D76" s="573" t="s">
        <v>398</v>
      </c>
      <c r="E76" s="573" t="s">
        <v>399</v>
      </c>
      <c r="F76" s="573" t="s">
        <v>400</v>
      </c>
      <c r="G76" s="574" t="s">
        <v>401</v>
      </c>
    </row>
    <row r="77" spans="2:7" x14ac:dyDescent="0.25">
      <c r="B77" s="1489" t="s">
        <v>525</v>
      </c>
      <c r="C77" s="1490"/>
      <c r="D77" s="576">
        <f ca="1">C121</f>
        <v>2.7217643796795272</v>
      </c>
      <c r="E77" s="580">
        <f ca="1">D121</f>
        <v>3.3388553463853297E-2</v>
      </c>
      <c r="F77" s="580">
        <f ca="1">E121</f>
        <v>1.6909370600370205E-4</v>
      </c>
      <c r="G77" s="581">
        <f ca="1">F121</f>
        <v>3.6068681406649628</v>
      </c>
    </row>
    <row r="78" spans="2:7" x14ac:dyDescent="0.25">
      <c r="B78" s="1487" t="s">
        <v>524</v>
      </c>
      <c r="C78" s="1488"/>
      <c r="D78" s="577">
        <f ca="1">D89</f>
        <v>0.51703648962876336</v>
      </c>
      <c r="E78" s="582">
        <f ca="1">E89</f>
        <v>0</v>
      </c>
      <c r="F78" s="582">
        <f ca="1">F89</f>
        <v>0</v>
      </c>
      <c r="G78" s="583">
        <f ca="1">G89</f>
        <v>0.51703648962876336</v>
      </c>
    </row>
    <row r="79" spans="2:7" x14ac:dyDescent="0.25">
      <c r="B79" s="1487"/>
      <c r="C79" s="1488"/>
      <c r="D79" s="578"/>
      <c r="E79" s="437"/>
      <c r="F79" s="437"/>
      <c r="G79" s="584"/>
    </row>
    <row r="80" spans="2:7" ht="13.8" thickBot="1" x14ac:dyDescent="0.3">
      <c r="B80" s="1491" t="s">
        <v>526</v>
      </c>
      <c r="C80" s="1492"/>
      <c r="D80" s="579">
        <f ca="1">SUM(D77:D79)</f>
        <v>3.2388008693082906</v>
      </c>
      <c r="E80" s="585">
        <f ca="1">SUM(E77:E79)</f>
        <v>3.3388553463853297E-2</v>
      </c>
      <c r="F80" s="585">
        <f ca="1">SUM(F77:F79)</f>
        <v>1.6909370600370205E-4</v>
      </c>
      <c r="G80" s="586">
        <f ca="1">SUM(G77:G79)</f>
        <v>4.1239046302937261</v>
      </c>
    </row>
    <row r="81" spans="2:7" ht="14.4" thickTop="1" thickBot="1" x14ac:dyDescent="0.3"/>
    <row r="82" spans="2:7" ht="16.8" thickTop="1" thickBot="1" x14ac:dyDescent="0.35">
      <c r="B82" s="391" t="s">
        <v>521</v>
      </c>
      <c r="C82" s="392"/>
      <c r="D82" s="535" t="s">
        <v>398</v>
      </c>
      <c r="E82" s="536" t="s">
        <v>399</v>
      </c>
      <c r="F82" s="536" t="s">
        <v>400</v>
      </c>
      <c r="G82" s="537" t="s">
        <v>401</v>
      </c>
    </row>
    <row r="83" spans="2:7" x14ac:dyDescent="0.25">
      <c r="B83" s="1489" t="s">
        <v>232</v>
      </c>
      <c r="C83" s="1490"/>
      <c r="D83" s="538">
        <f ca="1">SUM(C95:C105)</f>
        <v>9.3682023858919941</v>
      </c>
      <c r="E83" s="538">
        <f ca="1">SUM(D95:D105)</f>
        <v>0</v>
      </c>
      <c r="F83" s="538">
        <f ca="1">SUM(E95:E105)</f>
        <v>0</v>
      </c>
      <c r="G83" s="539">
        <f ca="1">SUM(F95:F105)</f>
        <v>9.3682023858919941</v>
      </c>
    </row>
    <row r="84" spans="2:7" x14ac:dyDescent="0.25">
      <c r="B84" s="1487" t="s">
        <v>233</v>
      </c>
      <c r="C84" s="1488"/>
      <c r="D84" s="540">
        <f ca="1">ROUND(D83*output_kgyear/1000,-2)</f>
        <v>2031100</v>
      </c>
      <c r="E84" s="540">
        <f ca="1">ROUND(E83*output_kgyear/1000,-2)</f>
        <v>0</v>
      </c>
      <c r="F84" s="540">
        <f ca="1">ROUND(F83*output_kgyear/1000,-2)</f>
        <v>0</v>
      </c>
      <c r="G84" s="541">
        <f ca="1">ROUND(G83*output_kgyear/1000,-2)</f>
        <v>2031100</v>
      </c>
    </row>
    <row r="85" spans="2:7" x14ac:dyDescent="0.25">
      <c r="B85" s="1487" t="s">
        <v>234</v>
      </c>
      <c r="C85" s="1488"/>
      <c r="D85" s="542">
        <f ca="1">SUM(C95:C98)</f>
        <v>9.3682023858919941</v>
      </c>
      <c r="E85" s="542">
        <f ca="1">SUM(D95:D98)</f>
        <v>0</v>
      </c>
      <c r="F85" s="542">
        <f ca="1">SUM(E95:E98)</f>
        <v>0</v>
      </c>
      <c r="G85" s="543">
        <f ca="1">SUM(F95:F98)</f>
        <v>9.3682023858919941</v>
      </c>
    </row>
    <row r="86" spans="2:7" x14ac:dyDescent="0.25">
      <c r="B86" s="1487" t="s">
        <v>235</v>
      </c>
      <c r="C86" s="1488"/>
      <c r="D86" s="540">
        <f ca="1">ROUND(D85*output_kgyear/1000,-2)</f>
        <v>2031100</v>
      </c>
      <c r="E86" s="540">
        <f ca="1">ROUND(E85*output_kgyear/1000,-2)</f>
        <v>0</v>
      </c>
      <c r="F86" s="540">
        <f ca="1">ROUND(F85*output_kgyear/1000,-2)</f>
        <v>0</v>
      </c>
      <c r="G86" s="541">
        <f ca="1">ROUND(G85*output_kgyear/1000,-2)</f>
        <v>2031100</v>
      </c>
    </row>
    <row r="87" spans="2:7" x14ac:dyDescent="0.25">
      <c r="B87" s="646" t="s">
        <v>237</v>
      </c>
      <c r="C87" s="647"/>
      <c r="D87" s="663">
        <f ca="1">D85*CO2_Capture_Efficiency</f>
        <v>8.8511658962632307</v>
      </c>
      <c r="E87" s="540"/>
      <c r="F87" s="540"/>
      <c r="G87" s="664"/>
    </row>
    <row r="88" spans="2:7" x14ac:dyDescent="0.25">
      <c r="B88" s="1487" t="s">
        <v>238</v>
      </c>
      <c r="C88" s="1488"/>
      <c r="D88" s="540">
        <f ca="1">ROUND(D87*output_kgyear/1000,-2)</f>
        <v>1919000</v>
      </c>
      <c r="E88" s="540"/>
      <c r="F88" s="540"/>
      <c r="G88" s="541"/>
    </row>
    <row r="89" spans="2:7" x14ac:dyDescent="0.25">
      <c r="B89" s="1487" t="s">
        <v>236</v>
      </c>
      <c r="C89" s="1488"/>
      <c r="D89" s="663">
        <f ca="1">D83-D87</f>
        <v>0.51703648962876336</v>
      </c>
      <c r="E89" s="540">
        <f ca="1">E83-E87</f>
        <v>0</v>
      </c>
      <c r="F89" s="540">
        <f ca="1">F83-F87</f>
        <v>0</v>
      </c>
      <c r="G89" s="664">
        <f ca="1">D89*GHG_CO2_factor + E89*GHG_CH4_factor + F89*GHG_N2O_factor</f>
        <v>0.51703648962876336</v>
      </c>
    </row>
    <row r="90" spans="2:7" ht="13.8" thickBot="1" x14ac:dyDescent="0.3">
      <c r="B90" s="1491" t="s">
        <v>1032</v>
      </c>
      <c r="C90" s="1492"/>
      <c r="D90" s="544">
        <f ca="1">ROUND(D89*output_kgyear/1000,-2)</f>
        <v>112100</v>
      </c>
      <c r="E90" s="544">
        <f ca="1">ROUND(E89*output_kgyear/1000,-2)</f>
        <v>0</v>
      </c>
      <c r="F90" s="544">
        <f ca="1">ROUND(F89*output_kgyear/1000,-2)</f>
        <v>0</v>
      </c>
      <c r="G90" s="545">
        <f ca="1">ROUND(G89*output_kgyear/1000,-2)</f>
        <v>112100</v>
      </c>
    </row>
    <row r="91" spans="2:7" ht="13.8" thickTop="1" x14ac:dyDescent="0.25">
      <c r="B91" t="s">
        <v>239</v>
      </c>
    </row>
    <row r="92" spans="2:7" ht="13.8" thickBot="1" x14ac:dyDescent="0.3"/>
    <row r="93" spans="2:7" ht="16.8" thickTop="1" thickBot="1" x14ac:dyDescent="0.35">
      <c r="B93" s="1485" t="s">
        <v>522</v>
      </c>
      <c r="C93" s="1486"/>
      <c r="D93" s="500"/>
      <c r="E93" s="500"/>
      <c r="F93" s="519"/>
    </row>
    <row r="94" spans="2:7" x14ac:dyDescent="0.25">
      <c r="B94" s="546" t="s">
        <v>245</v>
      </c>
      <c r="C94" s="549" t="s">
        <v>398</v>
      </c>
      <c r="D94" s="549" t="s">
        <v>399</v>
      </c>
      <c r="E94" s="549" t="s">
        <v>400</v>
      </c>
      <c r="F94" s="550" t="s">
        <v>401</v>
      </c>
    </row>
    <row r="95" spans="2:7" x14ac:dyDescent="0.25">
      <c r="B95" s="547" t="str">
        <f>B32</f>
        <v>Industrial Electricity</v>
      </c>
      <c r="C95" s="551">
        <f ca="1">IF($B95="","",VLOOKUP($B95,MASTER_PROPERTY_TABLE,MATCH("CO2 Emissions Factor (kg CO2 produced/GJ feed)",key_MPTable,0),FALSE)*$E32*$F32)</f>
        <v>0</v>
      </c>
      <c r="D95" s="556">
        <f ca="1">IF($B95="","",VLOOKUP($B95,MASTER_PROPERTY_TABLE,MATCH("CH4 Emissions Factor (kg CH4 produced/GJ or mmBtu feed)",key_MPTable,0),FALSE)*$E32*$F32)</f>
        <v>0</v>
      </c>
      <c r="E95" s="556">
        <f ca="1">IF($B95="","",VLOOKUP($B95,MASTER_PROPERTY_TABLE,MATCH("N2O Emissions Factor (kg N2O produced/GJ or mmBtu feed)",key_MPTable,0),FALSE)*$E32*$F32)</f>
        <v>0</v>
      </c>
      <c r="F95" s="559">
        <f ca="1">IF($B95="","",$C95*GHG_CO2_factor+$D95*GHG_CH4_factor+$E95*GHG_N2O_factor)</f>
        <v>0</v>
      </c>
    </row>
    <row r="96" spans="2:7" x14ac:dyDescent="0.25">
      <c r="B96" s="547" t="str">
        <f>B33</f>
        <v>Industrial Natural Gas</v>
      </c>
      <c r="C96" s="551">
        <f ca="1">IF($B96="","",VLOOKUP($B96,MASTER_PROPERTY_TABLE,MATCH("CO2 Emissions Factor (kg CO2 produced/GJ feed)",key_MPTable,0),FALSE)*$E33*$F33)</f>
        <v>9.3682023858919941</v>
      </c>
      <c r="D96" s="556">
        <f ca="1">IF($B96="","",VLOOKUP($B96,MASTER_PROPERTY_TABLE,MATCH("CH4 Emissions Factor (kg CH4 produced/GJ or mmBtu feed)",key_MPTable,0),FALSE)*$E33*$F33)</f>
        <v>0</v>
      </c>
      <c r="E96" s="556">
        <f ca="1">IF($B96="","",VLOOKUP($B96,MASTER_PROPERTY_TABLE,MATCH("N2O Emissions Factor (kg N2O produced/GJ or mmBtu feed)",key_MPTable,0),FALSE)*$E33*$F33)</f>
        <v>0</v>
      </c>
      <c r="F96" s="559">
        <f ca="1">IF($B96="","",$C96*GHG_CO2_factor+$D96*GHG_CH4_factor+$E96*GHG_N2O_factor)</f>
        <v>9.3682023858919941</v>
      </c>
    </row>
    <row r="97" spans="2:6" x14ac:dyDescent="0.25">
      <c r="B97" s="547" t="str">
        <f>B34</f>
        <v/>
      </c>
      <c r="C97" s="551" t="str">
        <f>IF($B97="","",VLOOKUP($B97,MASTER_PROPERTY_TABLE,MATCH("CO2 Emissions Factor (kg CO2 produced/GJ feed)",key_MPTable,0),FALSE)*$E34*$F34)</f>
        <v/>
      </c>
      <c r="D97" s="556" t="str">
        <f>IF($B97="","",VLOOKUP($B97,MASTER_PROPERTY_TABLE,MATCH("CH4 Emissions Factor (kg CH4 produced/GJ or mmBtu feed)",key_MPTable,0),FALSE)*$E34*$F34)</f>
        <v/>
      </c>
      <c r="E97" s="556" t="str">
        <f>IF($B97="","",VLOOKUP($B97,MASTER_PROPERTY_TABLE,MATCH("N2O Emissions Factor (kg N2O produced/GJ or mmBtu feed)",key_MPTable,0),FALSE)*$E34*$F34)</f>
        <v/>
      </c>
      <c r="F97" s="559" t="str">
        <f>IF($B97="","",$C97*GHG_CO2_factor+$D97*GHG_CH4_factor+$E97*GHG_N2O_factor)</f>
        <v/>
      </c>
    </row>
    <row r="98" spans="2:6" x14ac:dyDescent="0.25">
      <c r="B98" s="547" t="str">
        <f>B35</f>
        <v/>
      </c>
      <c r="C98" s="551" t="str">
        <f>IF($B98="","",VLOOKUP($B98,MASTER_PROPERTY_TABLE,MATCH("CO2 Emissions Factor (kg CO2 produced/GJ feed)",key_MPTable,0),FALSE)*$E35*$F35)</f>
        <v/>
      </c>
      <c r="D98" s="556" t="str">
        <f>IF($B98="","",VLOOKUP($B98,MASTER_PROPERTY_TABLE,MATCH("CH4 Emissions Factor (kg CH4 produced/GJ or mmBtu feed)",key_MPTable,0),FALSE)*$E35*$F35)</f>
        <v/>
      </c>
      <c r="E98" s="556" t="str">
        <f>IF($B98="","",VLOOKUP($B98,MASTER_PROPERTY_TABLE,MATCH("N2O Emissions Factor (kg N2O produced/GJ or mmBtu feed)",key_MPTable,0),FALSE)*$E35*$F35)</f>
        <v/>
      </c>
      <c r="F98" s="559" t="str">
        <f>IF($B98="","",$C98*GHG_CO2_factor+$D98*GHG_CH4_factor+$E98*GHG_N2O_factor)</f>
        <v/>
      </c>
    </row>
    <row r="99" spans="2:6" x14ac:dyDescent="0.25">
      <c r="B99" s="610" t="s">
        <v>268</v>
      </c>
      <c r="C99" s="611"/>
      <c r="D99" s="612"/>
      <c r="E99" s="612"/>
      <c r="F99" s="613"/>
    </row>
    <row r="100" spans="2:6" x14ac:dyDescent="0.25">
      <c r="B100" s="547" t="str">
        <f>B37</f>
        <v/>
      </c>
      <c r="C100" s="551" t="str">
        <f>IF($B100="","",VLOOKUP($B100,MASTER_PROPERTY_TABLE,MATCH("CO2 Emissions Factor (kg CO2 produced/GJ feed)",key_MPTable,0),FALSE)*$E37*$F37)</f>
        <v/>
      </c>
      <c r="D100" s="556" t="str">
        <f>IF($B100="","",VLOOKUP($B100,MASTER_PROPERTY_TABLE,MATCH("CH4 Emissions Factor (kg CH4 produced/GJ or mmBtu feed)",key_MPTable,0),FALSE)*$E37*$F37)</f>
        <v/>
      </c>
      <c r="E100" s="556" t="str">
        <f>IF($B100="","",VLOOKUP($B100,MASTER_PROPERTY_TABLE,MATCH("N2O Emissions Factor (kg N2O produced/GJ or mmBtu feed)",key_MPTable,0),FALSE)*$E37*$F37)</f>
        <v/>
      </c>
      <c r="F100" s="559" t="str">
        <f>IF($B100="","",$C100*GHG_CO2_factor+$D100*GHG_CH4_factor+$E100*GHG_N2O_factor)</f>
        <v/>
      </c>
    </row>
    <row r="101" spans="2:6" x14ac:dyDescent="0.25">
      <c r="B101" s="547" t="str">
        <f>B38</f>
        <v/>
      </c>
      <c r="C101" s="551" t="str">
        <f>IF($B101="","",VLOOKUP($B101,MASTER_PROPERTY_TABLE,MATCH("CO2 Emissions Factor (kg CO2 produced/GJ feed)",key_MPTable,0),FALSE)*$E38*$F38)</f>
        <v/>
      </c>
      <c r="D101" s="556" t="str">
        <f>IF($B101="","",VLOOKUP($B101,MASTER_PROPERTY_TABLE,MATCH("CH4 Emissions Factor (kg CH4 produced/GJ or mmBtu feed)",key_MPTable,0),FALSE)*$E38*$F38)</f>
        <v/>
      </c>
      <c r="E101" s="556" t="str">
        <f>IF($B101="","",VLOOKUP($B101,MASTER_PROPERTY_TABLE,MATCH("N2O Emissions Factor (kg N2O produced/GJ or mmBtu feed)",key_MPTable,0),FALSE)*$E38*$F38)</f>
        <v/>
      </c>
      <c r="F101" s="559" t="str">
        <f>IF($B101="","",$C101*GHG_CO2_factor+$D101*GHG_CH4_factor+$E101*GHG_N2O_factor)</f>
        <v/>
      </c>
    </row>
    <row r="102" spans="2:6" x14ac:dyDescent="0.25">
      <c r="B102" s="547" t="str">
        <f>B39</f>
        <v/>
      </c>
      <c r="C102" s="551" t="str">
        <f>IF($B102="","",VLOOKUP($B102,MASTER_PROPERTY_TABLE,MATCH("CO2 Emissions Factor (kg CO2 produced/GJ feed)",key_MPTable,0),FALSE)*$E39*$F39)</f>
        <v/>
      </c>
      <c r="D102" s="556" t="str">
        <f>IF($B102="","",VLOOKUP($B102,MASTER_PROPERTY_TABLE,MATCH("CH4 Emissions Factor (kg CH4 produced/GJ or mmBtu feed)",key_MPTable,0),FALSE)*$E39*$F39)</f>
        <v/>
      </c>
      <c r="E102" s="556" t="str">
        <f>IF($B102="","",VLOOKUP($B102,MASTER_PROPERTY_TABLE,MATCH("N2O Emissions Factor (kg N2O produced/GJ or mmBtu feed)",key_MPTable,0),FALSE)*$E39*$F39)</f>
        <v/>
      </c>
      <c r="F102" s="559" t="str">
        <f>IF($B102="","",$C102*GHG_CO2_factor+$D102*GHG_CH4_factor+$E102*GHG_N2O_factor)</f>
        <v/>
      </c>
    </row>
    <row r="103" spans="2:6" x14ac:dyDescent="0.25">
      <c r="B103" s="547" t="str">
        <f>B40</f>
        <v/>
      </c>
      <c r="C103" s="551" t="str">
        <f>IF($B103="","",VLOOKUP($B103,MASTER_PROPERTY_TABLE,MATCH("CO2 Emissions Factor (kg CO2 produced/GJ feed)",key_MPTable,0),FALSE)*$E40*$F40)</f>
        <v/>
      </c>
      <c r="D103" s="556" t="str">
        <f>IF($B103="","",VLOOKUP($B103,MASTER_PROPERTY_TABLE,MATCH("CH4 Emissions Factor (kg CH4 produced/GJ or mmBtu feed)",key_MPTable,0),FALSE)*$E40*$F40)</f>
        <v/>
      </c>
      <c r="E103" s="556" t="str">
        <f>IF($B103="","",VLOOKUP($B103,MASTER_PROPERTY_TABLE,MATCH("N2O Emissions Factor (kg N2O produced/GJ or mmBtu feed)",key_MPTable,0),FALSE)*$E40*$F40)</f>
        <v/>
      </c>
      <c r="F103" s="559" t="str">
        <f>IF($B103="","",$C103*GHG_CO2_factor+$D103*GHG_CH4_factor+$E103*GHG_N2O_factor)</f>
        <v/>
      </c>
    </row>
    <row r="104" spans="2:6" x14ac:dyDescent="0.25">
      <c r="B104" s="610" t="s">
        <v>395</v>
      </c>
      <c r="C104" s="611"/>
      <c r="D104" s="612"/>
      <c r="E104" s="612"/>
      <c r="F104" s="613"/>
    </row>
    <row r="105" spans="2:6" ht="13.8" thickBot="1" x14ac:dyDescent="0.3">
      <c r="B105" s="548" t="str">
        <f>B42</f>
        <v/>
      </c>
      <c r="C105" s="562" t="str">
        <f>IF($B105="","",VLOOKUP($B105,MASTER_PROPERTY_TABLE,MATCH("CO2 Emissions Factor (kg CO2 produced/GJ feed)",key_MPTable,0),FALSE)*$E42*$F42)</f>
        <v/>
      </c>
      <c r="D105" s="563" t="str">
        <f>IF($B105="","",VLOOKUP($B105,MASTER_PROPERTY_TABLE,MATCH("CH4 Emissions Factor (kg CH4 produced/GJ or mmBtu feed)",key_MPTable,0),FALSE)*$E42*$F42)</f>
        <v/>
      </c>
      <c r="E105" s="563" t="str">
        <f>IF($B105="","",VLOOKUP($B105,MASTER_PROPERTY_TABLE,MATCH("N2O Emissions Factor (kg N2O produced/GJ or mmBtu feed)",key_MPTable,0),FALSE)*$E42*$F42)</f>
        <v/>
      </c>
      <c r="F105" s="564" t="str">
        <f>IF($B105="","",$C105*GHG_CO2_factor+$D105*GHG_CH4_factor+$E105*GHG_N2O_factor)</f>
        <v/>
      </c>
    </row>
    <row r="106" spans="2:6" ht="13.8" thickTop="1" x14ac:dyDescent="0.25"/>
    <row r="107" spans="2:6" ht="13.8" thickBot="1" x14ac:dyDescent="0.3"/>
    <row r="108" spans="2:6" ht="16.8" thickTop="1" thickBot="1" x14ac:dyDescent="0.35">
      <c r="B108" s="1485" t="s">
        <v>1239</v>
      </c>
      <c r="C108" s="1486"/>
      <c r="D108" s="500"/>
      <c r="E108" s="500"/>
      <c r="F108" s="519"/>
    </row>
    <row r="109" spans="2:6" x14ac:dyDescent="0.25">
      <c r="B109" s="546" t="s">
        <v>245</v>
      </c>
      <c r="C109" s="549" t="s">
        <v>398</v>
      </c>
      <c r="D109" s="549" t="s">
        <v>399</v>
      </c>
      <c r="E109" s="549" t="s">
        <v>400</v>
      </c>
      <c r="F109" s="550" t="s">
        <v>401</v>
      </c>
    </row>
    <row r="110" spans="2:6" x14ac:dyDescent="0.25">
      <c r="B110" s="547" t="str">
        <f>B32</f>
        <v>Industrial Electricity</v>
      </c>
      <c r="C110" s="551">
        <f ca="1">IF($B110="","",$C32*VLOOKUP($B110,Tbl_Emissions,6,FALSE))</f>
        <v>1.7629579621818179</v>
      </c>
      <c r="D110" s="556">
        <f ca="1">IF($B110="","",$C32*VLOOKUP($B110,Tbl_Emissions,7,FALSE))</f>
        <v>2.6744498245818175E-3</v>
      </c>
      <c r="E110" s="556">
        <f ca="1">IF($B110="","",$C32*VLOOKUP($B110,Tbl_Emissions,8,FALSE))</f>
        <v>2.5790192349090908E-5</v>
      </c>
      <c r="F110" s="559">
        <f ca="1">IF($B110="","",$C110*GHG_CO2_factor+$D110*GHG_CH4_factor+$E110*GHG_N2O_factor)</f>
        <v>1.8375046851163923</v>
      </c>
    </row>
    <row r="111" spans="2:6" x14ac:dyDescent="0.25">
      <c r="B111" s="547" t="str">
        <f>B33</f>
        <v>Industrial Natural Gas</v>
      </c>
      <c r="C111" s="551">
        <f ca="1">IF($B111="","",$C33*VLOOKUP($B111,Tbl_Emissions,6,FALSE))</f>
        <v>0.95880641749770945</v>
      </c>
      <c r="D111" s="556">
        <f ca="1">IF($B111="","",$C33*VLOOKUP($B111,Tbl_Emissions,7,FALSE))</f>
        <v>3.0714103639271483E-2</v>
      </c>
      <c r="E111" s="556">
        <f ca="1">IF($B111="","",$C33*VLOOKUP($B111,Tbl_Emissions,8,FALSE))</f>
        <v>1.4330351365461115E-4</v>
      </c>
      <c r="F111" s="559">
        <f ca="1">IF($B111="","",$C111*GHG_CO2_factor+$D111*GHG_CH4_factor+$E111*GHG_N2O_factor)</f>
        <v>1.7693634555485704</v>
      </c>
    </row>
    <row r="112" spans="2:6" x14ac:dyDescent="0.25">
      <c r="B112" s="547" t="str">
        <f>B34</f>
        <v/>
      </c>
      <c r="C112" s="551" t="str">
        <f>IF($B112="","",$C34*VLOOKUP($B112,Tbl_Emissions,6,FALSE))</f>
        <v/>
      </c>
      <c r="D112" s="556" t="str">
        <f>IF($B112="","",$C34*VLOOKUP($B112,Tbl_Emissions,7,FALSE))</f>
        <v/>
      </c>
      <c r="E112" s="556" t="str">
        <f>IF($B112="","",$C34*VLOOKUP($B112,Tbl_Emissions,8,FALSE))</f>
        <v/>
      </c>
      <c r="F112" s="559" t="str">
        <f>IF($B112="","",$C112*GHG_CO2_factor+$D112*GHG_CH4_factor+$E112*GHG_N2O_factor)</f>
        <v/>
      </c>
    </row>
    <row r="113" spans="2:6" x14ac:dyDescent="0.25">
      <c r="B113" s="547" t="str">
        <f>B35</f>
        <v/>
      </c>
      <c r="C113" s="551" t="str">
        <f>IF($B113="","",$C35*VLOOKUP($B113,Tbl_Emissions,6,FALSE))</f>
        <v/>
      </c>
      <c r="D113" s="556" t="str">
        <f>IF($B113="","",$C35*VLOOKUP($B113,Tbl_Emissions,7,FALSE))</f>
        <v/>
      </c>
      <c r="E113" s="556" t="str">
        <f>IF($B113="","",$C35*VLOOKUP($B113,Tbl_Emissions,8,FALSE))</f>
        <v/>
      </c>
      <c r="F113" s="559" t="str">
        <f>IF($B113="","",$C113*GHG_CO2_factor+$D113*GHG_CH4_factor+$E113*GHG_N2O_factor)</f>
        <v/>
      </c>
    </row>
    <row r="114" spans="2:6" x14ac:dyDescent="0.25">
      <c r="B114" s="610" t="s">
        <v>268</v>
      </c>
      <c r="C114" s="611"/>
      <c r="D114" s="612"/>
      <c r="E114" s="612"/>
      <c r="F114" s="613"/>
    </row>
    <row r="115" spans="2:6" x14ac:dyDescent="0.25">
      <c r="B115" s="547" t="str">
        <f>B37</f>
        <v/>
      </c>
      <c r="C115" s="551" t="str">
        <f>IF($B115="","",$C37*VLOOKUP($B115,Tbl_Emissions,6,FALSE))</f>
        <v/>
      </c>
      <c r="D115" s="556" t="str">
        <f>IF($B115="","",$C37*VLOOKUP($B115,Tbl_Emissions,7,FALSE))</f>
        <v/>
      </c>
      <c r="E115" s="556" t="str">
        <f>IF($B115="","",$C37*VLOOKUP($B115,Tbl_Emissions,8,FALSE))</f>
        <v/>
      </c>
      <c r="F115" s="559" t="str">
        <f>IF($B115="","",$C115*GHG_CO2_factor+$D115*GHG_CH4_factor+$E115*GHG_N2O_factor)</f>
        <v/>
      </c>
    </row>
    <row r="116" spans="2:6" x14ac:dyDescent="0.25">
      <c r="B116" s="547" t="str">
        <f>B38</f>
        <v/>
      </c>
      <c r="C116" s="551" t="str">
        <f>IF($B116="","",$C38*VLOOKUP($B116,Tbl_Emissions,6,FALSE))</f>
        <v/>
      </c>
      <c r="D116" s="556" t="str">
        <f>IF($B116="","",$C38*VLOOKUP($B116,Tbl_Emissions,7,FALSE))</f>
        <v/>
      </c>
      <c r="E116" s="556" t="str">
        <f>IF($B116="","",$C38*VLOOKUP($B116,Tbl_Emissions,8,FALSE))</f>
        <v/>
      </c>
      <c r="F116" s="559" t="str">
        <f>IF($B116="","",$C116*GHG_CO2_factor+$D116*GHG_CH4_factor+$E116*GHG_N2O_factor)</f>
        <v/>
      </c>
    </row>
    <row r="117" spans="2:6" x14ac:dyDescent="0.25">
      <c r="B117" s="547" t="str">
        <f>B39</f>
        <v/>
      </c>
      <c r="C117" s="551" t="str">
        <f>IF($B117="","",$C39*VLOOKUP($B117,Tbl_Emissions,6,FALSE))</f>
        <v/>
      </c>
      <c r="D117" s="556" t="str">
        <f>IF($B117="","",$C39*VLOOKUP($B117,Tbl_Emissions,7,FALSE))</f>
        <v/>
      </c>
      <c r="E117" s="556" t="str">
        <f>IF($B117="","",$C39*VLOOKUP($B117,Tbl_Emissions,8,FALSE))</f>
        <v/>
      </c>
      <c r="F117" s="559" t="str">
        <f>IF($B117="","",$C117*GHG_CO2_factor+$D117*GHG_CH4_factor+$E117*GHG_N2O_factor)</f>
        <v/>
      </c>
    </row>
    <row r="118" spans="2:6" x14ac:dyDescent="0.25">
      <c r="B118" s="547" t="str">
        <f>B40</f>
        <v/>
      </c>
      <c r="C118" s="551" t="str">
        <f>IF($B118="","",$C40*VLOOKUP($B118,Tbl_Emissions,6,FALSE))</f>
        <v/>
      </c>
      <c r="D118" s="556" t="str">
        <f>IF($B118="","",$C40*VLOOKUP($B118,Tbl_Emissions,7,FALSE))</f>
        <v/>
      </c>
      <c r="E118" s="556" t="str">
        <f>IF($B118="","",$C40*VLOOKUP($B118,Tbl_Emissions,8,FALSE))</f>
        <v/>
      </c>
      <c r="F118" s="559" t="str">
        <f>IF($B118="","",$C118*GHG_CO2_factor+$D118*GHG_CH4_factor+$E118*GHG_N2O_factor)</f>
        <v/>
      </c>
    </row>
    <row r="119" spans="2:6" x14ac:dyDescent="0.25">
      <c r="B119" s="610" t="s">
        <v>395</v>
      </c>
      <c r="C119" s="611"/>
      <c r="D119" s="612"/>
      <c r="E119" s="612"/>
      <c r="F119" s="613"/>
    </row>
    <row r="120" spans="2:6" ht="13.8" thickBot="1" x14ac:dyDescent="0.3">
      <c r="B120" s="552" t="str">
        <f>B42</f>
        <v/>
      </c>
      <c r="C120" s="554" t="str">
        <f>IF($B120="","",$C42*VLOOKUP($B120,Tbl_Emissions,6,FALSE))</f>
        <v/>
      </c>
      <c r="D120" s="557" t="str">
        <f>IF($B120="","",$C42*VLOOKUP($B120,Tbl_Emissions,7,FALSE))</f>
        <v/>
      </c>
      <c r="E120" s="557" t="str">
        <f>IF($B120="","",$C42*VLOOKUP($B120,Tbl_Emissions,8,FALSE))</f>
        <v/>
      </c>
      <c r="F120" s="560" t="str">
        <f>IF($B120="","",$C120*GHG_CO2_factor+$D120*GHG_CH4_factor+$E120*GHG_N2O_factor)</f>
        <v/>
      </c>
    </row>
    <row r="121" spans="2:6" ht="13.8" thickBot="1" x14ac:dyDescent="0.3">
      <c r="B121" s="553" t="s">
        <v>527</v>
      </c>
      <c r="C121" s="555">
        <f ca="1">SUM(C110:C120)</f>
        <v>2.7217643796795272</v>
      </c>
      <c r="D121" s="558">
        <f ca="1">SUM(D110:D120)</f>
        <v>3.3388553463853297E-2</v>
      </c>
      <c r="E121" s="558">
        <f ca="1">SUM(E110:E120)</f>
        <v>1.6909370600370205E-4</v>
      </c>
      <c r="F121" s="561">
        <f ca="1">SUM(F110:F120)</f>
        <v>3.6068681406649628</v>
      </c>
    </row>
    <row r="122" spans="2:6" ht="13.8" thickTop="1" x14ac:dyDescent="0.25"/>
  </sheetData>
  <mergeCells count="18">
    <mergeCell ref="F17:H17"/>
    <mergeCell ref="B30:C30"/>
    <mergeCell ref="B52:C52"/>
    <mergeCell ref="B93:C93"/>
    <mergeCell ref="F23:H24"/>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election activeCell="G43" sqref="G43"/>
    </sheetView>
  </sheetViews>
  <sheetFormatPr defaultRowHeight="13.2" x14ac:dyDescent="0.25"/>
  <cols>
    <col min="1" max="1" width="7.33203125" customWidth="1"/>
    <col min="2" max="2" width="35.5546875" customWidth="1"/>
    <col min="3" max="3" width="18.6640625" customWidth="1"/>
    <col min="4" max="6" width="20.6640625" customWidth="1"/>
    <col min="7" max="8" width="16.33203125" customWidth="1"/>
    <col min="9" max="9" width="16" bestFit="1" customWidth="1"/>
    <col min="10" max="15" width="12.33203125" customWidth="1"/>
    <col min="16" max="16" width="17.44140625" bestFit="1" customWidth="1"/>
    <col min="17" max="22" width="12.33203125" customWidth="1"/>
    <col min="23" max="23" width="18.44140625" customWidth="1"/>
    <col min="24" max="24" width="12.33203125" customWidth="1"/>
  </cols>
  <sheetData>
    <row r="1" spans="1:73" x14ac:dyDescent="0.25">
      <c r="A1" s="827"/>
      <c r="B1" s="827"/>
      <c r="C1" s="828"/>
      <c r="D1" s="827"/>
      <c r="E1" s="827"/>
      <c r="F1" s="828"/>
      <c r="G1" s="828"/>
      <c r="H1" s="827"/>
      <c r="I1" s="827"/>
      <c r="J1" s="827"/>
      <c r="K1" s="827"/>
      <c r="L1" s="827"/>
      <c r="M1" s="827"/>
      <c r="N1" s="827"/>
      <c r="O1" s="827"/>
      <c r="P1" s="827"/>
      <c r="Q1" s="827"/>
      <c r="R1" s="827"/>
      <c r="S1" s="827"/>
      <c r="T1" s="827"/>
      <c r="U1" s="827"/>
      <c r="V1" s="827"/>
      <c r="W1" s="827"/>
      <c r="X1" s="827"/>
      <c r="Y1" s="827"/>
      <c r="Z1" s="827"/>
      <c r="AA1" s="827"/>
      <c r="AB1" s="827"/>
      <c r="AC1" s="827"/>
      <c r="AD1" s="827"/>
      <c r="AE1" s="827"/>
      <c r="AF1" s="827"/>
      <c r="AG1" s="827"/>
      <c r="AH1" s="827"/>
      <c r="AI1" s="827"/>
      <c r="AJ1" s="827"/>
      <c r="AK1" s="827"/>
      <c r="AL1" s="827"/>
      <c r="AM1" s="827"/>
      <c r="AN1" s="827"/>
      <c r="AO1" s="827"/>
      <c r="AP1" s="827"/>
      <c r="AQ1" s="827"/>
      <c r="AR1" s="827"/>
      <c r="AS1" s="827"/>
      <c r="AT1" s="827"/>
      <c r="AU1" s="827"/>
      <c r="AV1" s="827"/>
      <c r="AW1" s="827"/>
      <c r="AX1" s="827"/>
      <c r="AY1" s="827"/>
      <c r="AZ1" s="827"/>
      <c r="BA1" s="827"/>
      <c r="BB1" s="827"/>
      <c r="BC1" s="827"/>
      <c r="BD1" s="827"/>
      <c r="BE1" s="827"/>
      <c r="BF1" s="827"/>
      <c r="BG1" s="827"/>
      <c r="BH1" s="827"/>
      <c r="BI1" s="827"/>
      <c r="BJ1" s="827"/>
      <c r="BK1" s="827"/>
      <c r="BL1" s="827"/>
      <c r="BM1" s="827"/>
      <c r="BN1" s="827"/>
      <c r="BO1" s="827"/>
      <c r="BP1" s="827"/>
      <c r="BQ1" s="827"/>
      <c r="BR1" s="827"/>
      <c r="BS1" s="827"/>
      <c r="BT1" s="827"/>
      <c r="BU1" s="827"/>
    </row>
    <row r="2" spans="1:73" ht="26.4" x14ac:dyDescent="0.25">
      <c r="A2" s="827"/>
      <c r="B2" s="838" t="s">
        <v>1107</v>
      </c>
      <c r="C2" s="838" t="s">
        <v>1106</v>
      </c>
      <c r="D2" s="838" t="s">
        <v>1173</v>
      </c>
      <c r="E2" s="838" t="s">
        <v>1174</v>
      </c>
      <c r="F2" s="838" t="s">
        <v>1110</v>
      </c>
      <c r="G2" s="838" t="s">
        <v>1111</v>
      </c>
      <c r="H2" s="838" t="s">
        <v>1112</v>
      </c>
      <c r="I2" s="838" t="s">
        <v>1113</v>
      </c>
      <c r="J2" s="828"/>
      <c r="K2" s="828"/>
      <c r="L2" s="827"/>
      <c r="M2" s="827"/>
      <c r="N2" s="827"/>
      <c r="O2" s="827"/>
      <c r="P2" s="827"/>
      <c r="Q2" s="827"/>
      <c r="R2" s="827"/>
      <c r="S2" s="827"/>
      <c r="T2" s="827"/>
      <c r="U2" s="827"/>
      <c r="V2" s="827"/>
      <c r="W2" s="827"/>
      <c r="X2" s="827"/>
      <c r="Y2" s="827"/>
      <c r="Z2" s="827"/>
      <c r="AA2" s="827"/>
      <c r="AB2" s="827"/>
      <c r="AC2" s="827"/>
      <c r="AD2" s="827"/>
      <c r="AE2" s="827"/>
      <c r="AF2" s="827"/>
      <c r="AG2" s="827"/>
      <c r="AH2" s="827"/>
      <c r="AI2" s="827"/>
      <c r="AJ2" s="827"/>
      <c r="AK2" s="827"/>
      <c r="AL2" s="827"/>
      <c r="AM2" s="827"/>
      <c r="AN2" s="827"/>
      <c r="AO2" s="827"/>
      <c r="AP2" s="827"/>
      <c r="AQ2" s="827"/>
      <c r="AR2" s="827"/>
      <c r="AS2" s="827"/>
      <c r="AT2" s="827"/>
      <c r="AU2" s="827"/>
      <c r="AV2" s="827"/>
      <c r="AW2" s="827"/>
      <c r="AX2" s="827"/>
      <c r="AY2" s="827"/>
      <c r="AZ2" s="827"/>
      <c r="BA2" s="827"/>
      <c r="BB2" s="827"/>
      <c r="BC2" s="827"/>
      <c r="BD2" s="827"/>
      <c r="BE2" s="827"/>
      <c r="BF2" s="827"/>
      <c r="BG2" s="827"/>
      <c r="BH2" s="827"/>
      <c r="BI2" s="827"/>
      <c r="BJ2" s="827"/>
      <c r="BK2" s="827"/>
      <c r="BL2" s="827"/>
      <c r="BM2" s="827"/>
      <c r="BN2" s="827"/>
      <c r="BO2" s="827"/>
      <c r="BP2" s="827"/>
      <c r="BQ2" s="827"/>
      <c r="BR2" s="827"/>
      <c r="BS2" s="827"/>
      <c r="BT2" s="827"/>
      <c r="BU2" s="827"/>
    </row>
    <row r="3" spans="1:73" x14ac:dyDescent="0.25">
      <c r="A3" s="827"/>
      <c r="B3" s="830" t="s">
        <v>1147</v>
      </c>
      <c r="C3" s="834">
        <f ca="1">+cap_factor</f>
        <v>0.9</v>
      </c>
      <c r="D3" s="833">
        <v>0.05</v>
      </c>
      <c r="E3" s="833">
        <v>0.05</v>
      </c>
      <c r="F3" s="842">
        <f>1+D3</f>
        <v>1.05</v>
      </c>
      <c r="G3" s="840">
        <f>1-E3</f>
        <v>0.95</v>
      </c>
      <c r="H3" s="832">
        <f t="shared" ref="H3:H9" ca="1" si="0">+C3*F3</f>
        <v>0.94500000000000006</v>
      </c>
      <c r="I3" s="832">
        <f t="shared" ref="I3:I9" ca="1" si="1">+C3*G3</f>
        <v>0.85499999999999998</v>
      </c>
      <c r="J3" s="1061"/>
      <c r="K3" s="1061"/>
      <c r="L3" s="827"/>
      <c r="M3" s="827"/>
      <c r="N3" s="827"/>
      <c r="O3" s="827"/>
      <c r="P3" s="827"/>
      <c r="Q3" s="827"/>
      <c r="R3" s="827"/>
      <c r="S3" s="827"/>
      <c r="T3" s="827"/>
      <c r="U3" s="827"/>
      <c r="V3" s="827"/>
      <c r="W3" s="827"/>
      <c r="X3" s="827"/>
      <c r="Y3" s="827"/>
      <c r="Z3" s="827"/>
      <c r="AA3" s="827"/>
      <c r="AB3" s="827"/>
      <c r="AC3" s="827"/>
      <c r="AD3" s="827"/>
      <c r="AE3" s="827"/>
      <c r="AF3" s="827"/>
      <c r="AG3" s="827"/>
      <c r="AH3" s="827"/>
      <c r="AI3" s="827"/>
      <c r="AJ3" s="827"/>
      <c r="AK3" s="827"/>
      <c r="AL3" s="827"/>
      <c r="AM3" s="827"/>
      <c r="AN3" s="827"/>
      <c r="AO3" s="827"/>
      <c r="AP3" s="827"/>
      <c r="AQ3" s="827"/>
      <c r="AR3" s="827"/>
      <c r="AS3" s="827"/>
      <c r="AT3" s="827"/>
      <c r="AU3" s="827"/>
      <c r="AV3" s="827"/>
      <c r="AW3" s="827"/>
      <c r="AX3" s="827"/>
      <c r="AY3" s="827"/>
      <c r="AZ3" s="827"/>
      <c r="BA3" s="827"/>
      <c r="BB3" s="827"/>
      <c r="BC3" s="827"/>
      <c r="BD3" s="827"/>
      <c r="BE3" s="827"/>
      <c r="BF3" s="827"/>
      <c r="BG3" s="827"/>
      <c r="BH3" s="827"/>
      <c r="BI3" s="827"/>
      <c r="BJ3" s="827"/>
      <c r="BK3" s="827"/>
      <c r="BL3" s="827"/>
      <c r="BM3" s="827"/>
      <c r="BN3" s="827"/>
      <c r="BO3" s="827"/>
      <c r="BP3" s="827"/>
      <c r="BQ3" s="827"/>
      <c r="BR3" s="827"/>
      <c r="BS3" s="827"/>
      <c r="BT3" s="827"/>
      <c r="BU3" s="827"/>
    </row>
    <row r="4" spans="1:73" x14ac:dyDescent="0.25">
      <c r="A4" s="827"/>
      <c r="B4" s="830" t="str">
        <f>+Input_Sheet_Template!B26</f>
        <v>Plant Design Capacity (kg of H2/day)</v>
      </c>
      <c r="C4" s="835">
        <f ca="1">+design_cap</f>
        <v>660000</v>
      </c>
      <c r="D4" s="833">
        <v>0.05</v>
      </c>
      <c r="E4" s="833">
        <v>0.05</v>
      </c>
      <c r="F4" s="842">
        <f>1+D4</f>
        <v>1.05</v>
      </c>
      <c r="G4" s="840">
        <f>1-E4</f>
        <v>0.95</v>
      </c>
      <c r="H4" s="837">
        <f t="shared" ca="1" si="0"/>
        <v>693000</v>
      </c>
      <c r="I4" s="837">
        <f t="shared" ca="1" si="1"/>
        <v>627000</v>
      </c>
      <c r="J4" s="1061"/>
      <c r="K4" s="1061"/>
      <c r="L4" s="827"/>
      <c r="M4" s="827"/>
      <c r="N4" s="827"/>
      <c r="O4" s="827"/>
      <c r="P4" s="827"/>
      <c r="Q4" s="827"/>
      <c r="R4" s="827"/>
      <c r="S4" s="827"/>
      <c r="T4" s="827"/>
      <c r="U4" s="827"/>
      <c r="V4" s="827"/>
      <c r="W4" s="827"/>
      <c r="X4" s="827"/>
      <c r="Y4" s="827"/>
      <c r="Z4" s="827"/>
      <c r="AA4" s="827"/>
      <c r="AB4" s="827"/>
      <c r="AC4" s="827"/>
      <c r="AD4" s="827"/>
      <c r="AE4" s="827"/>
      <c r="AF4" s="827"/>
      <c r="AG4" s="827"/>
      <c r="AH4" s="827"/>
      <c r="AI4" s="827"/>
      <c r="AJ4" s="827"/>
      <c r="AK4" s="827"/>
      <c r="AL4" s="827"/>
      <c r="AM4" s="827"/>
      <c r="AN4" s="827"/>
      <c r="AO4" s="827"/>
      <c r="AP4" s="827"/>
      <c r="AQ4" s="827"/>
      <c r="AR4" s="827"/>
      <c r="AS4" s="827"/>
      <c r="AT4" s="827"/>
      <c r="AU4" s="827"/>
      <c r="AV4" s="827"/>
      <c r="AW4" s="827"/>
      <c r="AX4" s="827"/>
      <c r="AY4" s="827"/>
      <c r="AZ4" s="827"/>
      <c r="BA4" s="827"/>
      <c r="BB4" s="827"/>
      <c r="BC4" s="827"/>
      <c r="BD4" s="827"/>
      <c r="BE4" s="827"/>
      <c r="BF4" s="827"/>
      <c r="BG4" s="827"/>
      <c r="BH4" s="827"/>
      <c r="BI4" s="827"/>
      <c r="BJ4" s="827"/>
      <c r="BK4" s="827"/>
      <c r="BL4" s="827"/>
      <c r="BM4" s="827"/>
      <c r="BN4" s="827"/>
      <c r="BO4" s="827"/>
      <c r="BP4" s="827"/>
      <c r="BQ4" s="827"/>
      <c r="BR4" s="827"/>
      <c r="BS4" s="827"/>
      <c r="BT4" s="827"/>
      <c r="BU4" s="827"/>
    </row>
    <row r="5" spans="1:73" x14ac:dyDescent="0.25">
      <c r="A5" s="827"/>
      <c r="B5" s="830" t="s">
        <v>1148</v>
      </c>
      <c r="C5" s="834">
        <f ca="1">+real_irr</f>
        <v>0.08</v>
      </c>
      <c r="D5" s="833">
        <v>0.05</v>
      </c>
      <c r="E5" s="833">
        <v>0.05</v>
      </c>
      <c r="F5" s="842">
        <f>1-D5</f>
        <v>0.95</v>
      </c>
      <c r="G5" s="840">
        <f>1+E5</f>
        <v>1.05</v>
      </c>
      <c r="H5" s="832">
        <f t="shared" ca="1" si="0"/>
        <v>7.5999999999999998E-2</v>
      </c>
      <c r="I5" s="832">
        <f t="shared" ca="1" si="1"/>
        <v>8.4000000000000005E-2</v>
      </c>
      <c r="J5" s="1061"/>
      <c r="K5" s="1061"/>
      <c r="L5" s="827"/>
      <c r="M5" s="827"/>
      <c r="N5" s="827"/>
      <c r="O5" s="827"/>
      <c r="P5" s="827"/>
      <c r="Q5" s="827"/>
      <c r="R5" s="827"/>
      <c r="S5" s="827"/>
      <c r="T5" s="827"/>
      <c r="U5" s="827"/>
      <c r="V5" s="827"/>
      <c r="W5" s="827"/>
      <c r="X5" s="827"/>
      <c r="Y5" s="827"/>
      <c r="Z5" s="827"/>
      <c r="AA5" s="827"/>
      <c r="AB5" s="827"/>
      <c r="AC5" s="827"/>
      <c r="AD5" s="827"/>
      <c r="AE5" s="827"/>
      <c r="AF5" s="827"/>
      <c r="AG5" s="827"/>
      <c r="AH5" s="827"/>
      <c r="AI5" s="827"/>
      <c r="AJ5" s="827"/>
      <c r="AK5" s="827"/>
      <c r="AL5" s="827"/>
      <c r="AM5" s="827"/>
      <c r="AN5" s="827"/>
      <c r="AO5" s="827"/>
      <c r="AP5" s="827"/>
      <c r="AQ5" s="827"/>
      <c r="AR5" s="827"/>
      <c r="AS5" s="827"/>
      <c r="AT5" s="827"/>
      <c r="AU5" s="827"/>
      <c r="AV5" s="827"/>
      <c r="AW5" s="827"/>
      <c r="AX5" s="827"/>
      <c r="AY5" s="827"/>
      <c r="AZ5" s="827"/>
      <c r="BA5" s="827"/>
      <c r="BB5" s="827"/>
      <c r="BC5" s="827"/>
      <c r="BD5" s="827"/>
      <c r="BE5" s="827"/>
      <c r="BF5" s="827"/>
      <c r="BG5" s="827"/>
      <c r="BH5" s="827"/>
      <c r="BI5" s="827"/>
      <c r="BJ5" s="827"/>
      <c r="BK5" s="827"/>
      <c r="BL5" s="827"/>
      <c r="BM5" s="827"/>
      <c r="BN5" s="827"/>
      <c r="BO5" s="827"/>
      <c r="BP5" s="827"/>
      <c r="BQ5" s="827"/>
      <c r="BR5" s="827"/>
      <c r="BS5" s="827"/>
      <c r="BT5" s="827"/>
      <c r="BU5" s="827"/>
    </row>
    <row r="6" spans="1:73" x14ac:dyDescent="0.25">
      <c r="A6" s="827"/>
      <c r="B6" s="830" t="s">
        <v>1157</v>
      </c>
      <c r="C6" s="925">
        <v>1</v>
      </c>
      <c r="D6" s="833">
        <v>0.05</v>
      </c>
      <c r="E6" s="833">
        <v>0.05</v>
      </c>
      <c r="F6" s="842">
        <f>1-D6</f>
        <v>0.95</v>
      </c>
      <c r="G6" s="840">
        <f t="shared" ref="G6:G9" si="2">1+E6</f>
        <v>1.05</v>
      </c>
      <c r="H6" s="923">
        <f t="shared" si="0"/>
        <v>0.95</v>
      </c>
      <c r="I6" s="923">
        <f t="shared" si="1"/>
        <v>1.05</v>
      </c>
      <c r="J6" s="1061"/>
      <c r="K6" s="1061"/>
      <c r="L6" s="827"/>
      <c r="M6" s="827"/>
      <c r="N6" s="827"/>
      <c r="O6" s="827"/>
      <c r="P6" s="827"/>
      <c r="Q6" s="827"/>
      <c r="R6" s="827"/>
      <c r="S6" s="827"/>
      <c r="T6" s="827"/>
      <c r="U6" s="827"/>
      <c r="V6" s="827"/>
      <c r="W6" s="827"/>
      <c r="X6" s="827"/>
      <c r="Y6" s="827"/>
      <c r="Z6" s="827"/>
      <c r="AA6" s="827"/>
      <c r="AB6" s="827"/>
      <c r="AC6" s="827"/>
      <c r="AD6" s="827"/>
      <c r="AE6" s="827"/>
      <c r="AF6" s="827"/>
      <c r="AG6" s="827"/>
      <c r="AH6" s="827"/>
      <c r="AI6" s="827"/>
      <c r="AJ6" s="827"/>
      <c r="AK6" s="827"/>
      <c r="AL6" s="827"/>
      <c r="AM6" s="827"/>
      <c r="AN6" s="827"/>
      <c r="AO6" s="827"/>
      <c r="AP6" s="827"/>
      <c r="AQ6" s="827"/>
      <c r="AR6" s="827"/>
      <c r="AS6" s="827"/>
      <c r="AT6" s="827"/>
      <c r="AU6" s="827"/>
      <c r="AV6" s="827"/>
      <c r="AW6" s="827"/>
      <c r="AX6" s="827"/>
      <c r="AY6" s="827"/>
      <c r="AZ6" s="827"/>
      <c r="BA6" s="827"/>
      <c r="BB6" s="827"/>
      <c r="BC6" s="827"/>
      <c r="BD6" s="827"/>
      <c r="BE6" s="827"/>
      <c r="BF6" s="827"/>
      <c r="BG6" s="827"/>
      <c r="BH6" s="827"/>
      <c r="BI6" s="827"/>
      <c r="BJ6" s="827"/>
      <c r="BK6" s="827"/>
      <c r="BL6" s="827"/>
      <c r="BM6" s="827"/>
      <c r="BN6" s="827"/>
      <c r="BO6" s="827"/>
      <c r="BP6" s="827"/>
      <c r="BQ6" s="827"/>
      <c r="BR6" s="827"/>
      <c r="BS6" s="827"/>
      <c r="BT6" s="827"/>
      <c r="BU6" s="827"/>
    </row>
    <row r="7" spans="1:73" x14ac:dyDescent="0.25">
      <c r="A7" s="827"/>
      <c r="B7" s="830" t="s">
        <v>1158</v>
      </c>
      <c r="C7" s="925">
        <v>1</v>
      </c>
      <c r="D7" s="833">
        <v>0.05</v>
      </c>
      <c r="E7" s="833">
        <v>0.05</v>
      </c>
      <c r="F7" s="842">
        <f>1-D7</f>
        <v>0.95</v>
      </c>
      <c r="G7" s="840">
        <f t="shared" si="2"/>
        <v>1.05</v>
      </c>
      <c r="H7" s="923">
        <f t="shared" si="0"/>
        <v>0.95</v>
      </c>
      <c r="I7" s="923">
        <f t="shared" si="1"/>
        <v>1.05</v>
      </c>
      <c r="J7" s="1061"/>
      <c r="K7" s="1061"/>
      <c r="L7" s="827"/>
      <c r="M7" s="827"/>
      <c r="N7" s="827"/>
      <c r="O7" s="827"/>
      <c r="P7" s="827"/>
      <c r="Q7" s="827"/>
      <c r="R7" s="827"/>
      <c r="S7" s="827"/>
      <c r="T7" s="827"/>
      <c r="U7" s="827"/>
      <c r="V7" s="827"/>
      <c r="W7" s="827"/>
      <c r="X7" s="827"/>
      <c r="Y7" s="827"/>
      <c r="Z7" s="827"/>
      <c r="AA7" s="827"/>
      <c r="AB7" s="827"/>
      <c r="AC7" s="827"/>
      <c r="AD7" s="827"/>
      <c r="AE7" s="827"/>
      <c r="AF7" s="827"/>
      <c r="AG7" s="827"/>
      <c r="AH7" s="827"/>
      <c r="AI7" s="827"/>
      <c r="AJ7" s="827"/>
      <c r="AK7" s="827"/>
      <c r="AL7" s="827"/>
      <c r="AM7" s="827"/>
      <c r="AN7" s="827"/>
      <c r="AO7" s="827"/>
      <c r="AP7" s="827"/>
      <c r="AQ7" s="827"/>
      <c r="AR7" s="827"/>
      <c r="AS7" s="827"/>
      <c r="AT7" s="827"/>
      <c r="AU7" s="827"/>
      <c r="AV7" s="827"/>
      <c r="AW7" s="827"/>
      <c r="AX7" s="827"/>
      <c r="AY7" s="827"/>
      <c r="AZ7" s="827"/>
      <c r="BA7" s="827"/>
      <c r="BB7" s="827"/>
      <c r="BC7" s="827"/>
      <c r="BD7" s="827"/>
      <c r="BE7" s="827"/>
      <c r="BF7" s="827"/>
      <c r="BG7" s="827"/>
      <c r="BH7" s="827"/>
      <c r="BI7" s="827"/>
      <c r="BJ7" s="827"/>
      <c r="BK7" s="827"/>
      <c r="BL7" s="827"/>
      <c r="BM7" s="827"/>
      <c r="BN7" s="827"/>
      <c r="BO7" s="827"/>
      <c r="BP7" s="827"/>
      <c r="BQ7" s="827"/>
      <c r="BR7" s="827"/>
      <c r="BS7" s="827"/>
      <c r="BT7" s="827"/>
      <c r="BU7" s="827"/>
    </row>
    <row r="8" spans="1:73" x14ac:dyDescent="0.25">
      <c r="A8" s="827"/>
      <c r="B8" s="830" t="s">
        <v>114</v>
      </c>
      <c r="C8" s="835">
        <f ca="1">+total_cap</f>
        <v>778204523.70143759</v>
      </c>
      <c r="D8" s="833">
        <v>0.05</v>
      </c>
      <c r="E8" s="833">
        <v>0.05</v>
      </c>
      <c r="F8" s="842">
        <f>1-D8</f>
        <v>0.95</v>
      </c>
      <c r="G8" s="840">
        <f t="shared" si="2"/>
        <v>1.05</v>
      </c>
      <c r="H8" s="837">
        <f t="shared" ca="1" si="0"/>
        <v>739294297.51636565</v>
      </c>
      <c r="I8" s="837">
        <f t="shared" ca="1" si="1"/>
        <v>817114749.88650954</v>
      </c>
      <c r="J8" s="1061"/>
      <c r="K8" s="1061"/>
      <c r="L8" s="827"/>
      <c r="M8" s="827"/>
      <c r="N8" s="827"/>
      <c r="O8" s="827"/>
      <c r="P8" s="827"/>
      <c r="Q8" s="827"/>
      <c r="R8" s="827"/>
      <c r="S8" s="827"/>
      <c r="T8" s="827"/>
      <c r="U8" s="827"/>
      <c r="V8" s="827"/>
      <c r="W8" s="827"/>
      <c r="X8" s="827"/>
      <c r="Y8" s="827"/>
      <c r="Z8" s="827"/>
      <c r="AA8" s="827"/>
      <c r="AB8" s="827"/>
      <c r="AC8" s="827"/>
      <c r="AD8" s="827"/>
      <c r="AE8" s="827"/>
      <c r="AF8" s="827"/>
      <c r="AG8" s="827"/>
      <c r="AH8" s="827"/>
      <c r="AI8" s="827"/>
      <c r="AJ8" s="827"/>
      <c r="AK8" s="827"/>
      <c r="AL8" s="827"/>
      <c r="AM8" s="827"/>
      <c r="AN8" s="827"/>
      <c r="AO8" s="827"/>
      <c r="AP8" s="827"/>
      <c r="AQ8" s="827"/>
      <c r="AR8" s="827"/>
      <c r="AS8" s="827"/>
      <c r="AT8" s="827"/>
      <c r="AU8" s="827"/>
      <c r="AV8" s="827"/>
      <c r="AW8" s="827"/>
      <c r="AX8" s="827"/>
      <c r="AY8" s="827"/>
      <c r="AZ8" s="827"/>
      <c r="BA8" s="827"/>
      <c r="BB8" s="827"/>
      <c r="BC8" s="827"/>
      <c r="BD8" s="827"/>
      <c r="BE8" s="827"/>
      <c r="BF8" s="827"/>
      <c r="BG8" s="827"/>
      <c r="BH8" s="827"/>
      <c r="BI8" s="827"/>
      <c r="BJ8" s="827"/>
      <c r="BK8" s="827"/>
      <c r="BL8" s="827"/>
      <c r="BM8" s="827"/>
      <c r="BN8" s="827"/>
      <c r="BO8" s="827"/>
      <c r="BP8" s="827"/>
      <c r="BQ8" s="827"/>
      <c r="BR8" s="827"/>
      <c r="BS8" s="827"/>
      <c r="BT8" s="827"/>
      <c r="BU8" s="827"/>
    </row>
    <row r="9" spans="1:73" x14ac:dyDescent="0.25">
      <c r="A9" s="827"/>
      <c r="B9" s="830" t="s">
        <v>619</v>
      </c>
      <c r="C9" s="835">
        <f ca="1">+fixed</f>
        <v>33114890.286807273</v>
      </c>
      <c r="D9" s="833">
        <v>0.05</v>
      </c>
      <c r="E9" s="833">
        <v>0.05</v>
      </c>
      <c r="F9" s="842">
        <f>1-D9</f>
        <v>0.95</v>
      </c>
      <c r="G9" s="840">
        <f t="shared" si="2"/>
        <v>1.05</v>
      </c>
      <c r="H9" s="837">
        <f t="shared" ca="1" si="0"/>
        <v>31459145.772466909</v>
      </c>
      <c r="I9" s="837">
        <f t="shared" ca="1" si="1"/>
        <v>34770634.80114764</v>
      </c>
      <c r="J9" s="1061"/>
      <c r="K9" s="1061"/>
      <c r="L9" s="827"/>
      <c r="M9" s="827"/>
      <c r="N9" s="827"/>
      <c r="O9" s="827"/>
      <c r="P9" s="827"/>
      <c r="Q9" s="827"/>
      <c r="R9" s="827"/>
      <c r="S9" s="827"/>
      <c r="T9" s="827"/>
      <c r="U9" s="827"/>
      <c r="V9" s="827"/>
      <c r="W9" s="827"/>
      <c r="X9" s="827"/>
      <c r="Y9" s="827"/>
      <c r="Z9" s="827"/>
      <c r="AA9" s="827"/>
      <c r="AB9" s="827"/>
      <c r="AC9" s="827"/>
      <c r="AD9" s="827"/>
      <c r="AE9" s="827"/>
      <c r="AF9" s="827"/>
      <c r="AG9" s="827"/>
      <c r="AH9" s="827"/>
      <c r="AI9" s="827"/>
      <c r="AJ9" s="827"/>
      <c r="AK9" s="827"/>
      <c r="AL9" s="827"/>
      <c r="AM9" s="827"/>
      <c r="AN9" s="827"/>
      <c r="AO9" s="827"/>
      <c r="AP9" s="827"/>
      <c r="AQ9" s="827"/>
      <c r="AR9" s="827"/>
      <c r="AS9" s="827"/>
      <c r="AT9" s="827"/>
      <c r="AU9" s="827"/>
      <c r="AV9" s="827"/>
      <c r="AW9" s="827"/>
      <c r="AX9" s="827"/>
      <c r="AY9" s="827"/>
      <c r="AZ9" s="827"/>
      <c r="BA9" s="827"/>
      <c r="BB9" s="827"/>
      <c r="BC9" s="827"/>
      <c r="BD9" s="827"/>
      <c r="BE9" s="827"/>
      <c r="BF9" s="827"/>
      <c r="BG9" s="827"/>
      <c r="BH9" s="827"/>
      <c r="BI9" s="827"/>
      <c r="BJ9" s="827"/>
      <c r="BK9" s="827"/>
      <c r="BL9" s="827"/>
      <c r="BM9" s="827"/>
      <c r="BN9" s="827"/>
      <c r="BO9" s="827"/>
      <c r="BP9" s="827"/>
      <c r="BQ9" s="827"/>
      <c r="BR9" s="827"/>
      <c r="BS9" s="827"/>
      <c r="BT9" s="827"/>
      <c r="BU9" s="827"/>
    </row>
    <row r="10" spans="1:73" x14ac:dyDescent="0.25">
      <c r="A10" s="827"/>
      <c r="B10" s="827"/>
      <c r="C10" s="827"/>
      <c r="D10" s="827"/>
      <c r="E10" s="827"/>
      <c r="F10" s="827"/>
      <c r="G10" s="827"/>
      <c r="H10" s="827"/>
      <c r="I10" s="827"/>
      <c r="J10" s="827"/>
      <c r="K10" s="827"/>
      <c r="L10" s="827"/>
      <c r="M10" s="827"/>
      <c r="N10" s="827"/>
      <c r="O10" s="827"/>
      <c r="P10" s="827"/>
      <c r="Q10" s="827"/>
      <c r="R10" s="827"/>
      <c r="S10" s="827"/>
      <c r="T10" s="827"/>
      <c r="U10" s="827"/>
      <c r="V10" s="827"/>
      <c r="W10" s="827"/>
      <c r="X10" s="827"/>
      <c r="Y10" s="827"/>
      <c r="Z10" s="827"/>
      <c r="AA10" s="827"/>
      <c r="AB10" s="827"/>
      <c r="AC10" s="827"/>
      <c r="AD10" s="827"/>
      <c r="AE10" s="827"/>
      <c r="AF10" s="827"/>
      <c r="AG10" s="827"/>
      <c r="AH10" s="827"/>
      <c r="AI10" s="827"/>
      <c r="AJ10" s="827"/>
      <c r="AK10" s="827"/>
      <c r="AL10" s="827"/>
      <c r="AM10" s="827"/>
      <c r="AN10" s="827"/>
      <c r="AO10" s="827"/>
      <c r="AP10" s="827"/>
      <c r="AQ10" s="827"/>
      <c r="AR10" s="827"/>
      <c r="AS10" s="827"/>
      <c r="AT10" s="827"/>
      <c r="AU10" s="827"/>
      <c r="AV10" s="827"/>
      <c r="AW10" s="827"/>
      <c r="AX10" s="827"/>
      <c r="AY10" s="827"/>
      <c r="AZ10" s="827"/>
      <c r="BA10" s="827"/>
      <c r="BB10" s="827"/>
      <c r="BC10" s="827"/>
      <c r="BD10" s="827"/>
      <c r="BE10" s="827"/>
      <c r="BF10" s="827"/>
      <c r="BG10" s="827"/>
      <c r="BH10" s="827"/>
      <c r="BI10" s="827"/>
      <c r="BJ10" s="827"/>
      <c r="BK10" s="827"/>
      <c r="BL10" s="827"/>
      <c r="BM10" s="827"/>
      <c r="BN10" s="827"/>
      <c r="BO10" s="827"/>
      <c r="BP10" s="827"/>
      <c r="BQ10" s="827"/>
      <c r="BR10" s="827"/>
      <c r="BS10" s="827"/>
      <c r="BT10" s="827"/>
      <c r="BU10" s="827"/>
    </row>
    <row r="11" spans="1:73" x14ac:dyDescent="0.25">
      <c r="A11" s="827"/>
      <c r="B11" s="1500" t="s">
        <v>1251</v>
      </c>
      <c r="C11" s="1500"/>
      <c r="D11" s="833" t="s">
        <v>20</v>
      </c>
      <c r="E11" s="1072" t="str">
        <f>IF(RunRiskAnalysis="Yes","          Please click Update Charts and Risk Analysis button before using results below","")</f>
        <v xml:space="preserve">          Please click Update Charts and Risk Analysis button before using results below</v>
      </c>
      <c r="F11" s="827"/>
      <c r="H11" s="827"/>
      <c r="I11" s="827"/>
      <c r="J11" s="827"/>
      <c r="K11" s="827"/>
      <c r="L11" s="827"/>
      <c r="M11" s="827"/>
      <c r="N11" s="827"/>
      <c r="O11" s="827"/>
      <c r="P11" s="827"/>
      <c r="Q11" s="827"/>
      <c r="R11" s="827"/>
      <c r="S11" s="827"/>
      <c r="T11" s="827"/>
      <c r="U11" s="827"/>
      <c r="V11" s="827"/>
      <c r="W11" s="827"/>
      <c r="X11" s="827"/>
      <c r="Y11" s="827"/>
      <c r="Z11" s="827"/>
      <c r="AA11" s="827"/>
      <c r="AB11" s="827"/>
      <c r="AC11" s="827"/>
      <c r="AD11" s="827"/>
      <c r="AE11" s="827"/>
      <c r="AF11" s="827"/>
      <c r="AG11" s="827"/>
      <c r="AH11" s="827"/>
      <c r="AI11" s="827"/>
      <c r="AJ11" s="827"/>
      <c r="AK11" s="827"/>
      <c r="AL11" s="827"/>
      <c r="AM11" s="827"/>
      <c r="AN11" s="827"/>
      <c r="AO11" s="827"/>
      <c r="AP11" s="827"/>
      <c r="AQ11" s="827"/>
      <c r="AR11" s="827"/>
      <c r="AS11" s="827"/>
      <c r="AT11" s="827"/>
      <c r="AU11" s="827"/>
      <c r="AV11" s="827"/>
      <c r="AW11" s="827"/>
      <c r="AX11" s="827"/>
      <c r="AY11" s="827"/>
      <c r="AZ11" s="827"/>
      <c r="BA11" s="827"/>
      <c r="BB11" s="827"/>
      <c r="BC11" s="827"/>
      <c r="BD11" s="827"/>
      <c r="BE11" s="827"/>
      <c r="BF11" s="827"/>
      <c r="BG11" s="827"/>
      <c r="BH11" s="827"/>
      <c r="BI11" s="827"/>
      <c r="BJ11" s="827"/>
      <c r="BK11" s="827"/>
      <c r="BL11" s="827"/>
      <c r="BM11" s="827"/>
      <c r="BN11" s="827"/>
      <c r="BO11" s="827"/>
      <c r="BP11" s="827"/>
      <c r="BQ11" s="827"/>
      <c r="BR11" s="827"/>
      <c r="BS11" s="827"/>
      <c r="BT11" s="827"/>
      <c r="BU11" s="827"/>
    </row>
    <row r="12" spans="1:73" ht="12.75" customHeight="1" x14ac:dyDescent="0.25">
      <c r="A12" s="827"/>
      <c r="B12" s="827"/>
      <c r="C12" s="827"/>
      <c r="D12" s="827"/>
      <c r="E12" s="827"/>
      <c r="F12" s="827"/>
      <c r="G12" s="827"/>
      <c r="H12" s="827"/>
      <c r="I12" s="827"/>
      <c r="J12" s="827"/>
      <c r="K12" s="827"/>
      <c r="L12" s="827"/>
      <c r="M12" s="827"/>
      <c r="N12" s="827"/>
      <c r="P12" s="1500" t="s">
        <v>1215</v>
      </c>
      <c r="Q12" s="1500"/>
      <c r="R12" s="1501" t="s">
        <v>1238</v>
      </c>
      <c r="S12" s="1501"/>
      <c r="T12" s="1501"/>
      <c r="U12" s="1501"/>
      <c r="V12" s="827"/>
      <c r="W12" s="827"/>
      <c r="X12" s="827"/>
      <c r="Y12" s="827"/>
      <c r="Z12" s="827"/>
      <c r="AA12" s="827"/>
      <c r="AB12" s="827"/>
      <c r="AC12" s="827"/>
      <c r="AD12" s="827"/>
      <c r="AE12" s="827"/>
      <c r="AF12" s="827"/>
      <c r="AG12" s="827"/>
      <c r="AH12" s="827"/>
      <c r="AI12" s="827"/>
      <c r="AJ12" s="827"/>
      <c r="AK12" s="827"/>
      <c r="AL12" s="827"/>
      <c r="AM12" s="827"/>
      <c r="AN12" s="827"/>
      <c r="AO12" s="827"/>
      <c r="AP12" s="827"/>
      <c r="AQ12" s="827"/>
      <c r="AR12" s="827"/>
      <c r="AS12" s="827"/>
      <c r="AT12" s="827"/>
      <c r="AU12" s="827"/>
      <c r="AV12" s="827"/>
      <c r="AW12" s="827"/>
      <c r="AX12" s="827"/>
      <c r="AY12" s="827"/>
      <c r="AZ12" s="827"/>
      <c r="BA12" s="827"/>
      <c r="BB12" s="827"/>
      <c r="BC12" s="827"/>
      <c r="BD12" s="827"/>
      <c r="BE12" s="827"/>
      <c r="BF12" s="827"/>
      <c r="BG12" s="827"/>
      <c r="BH12" s="827"/>
      <c r="BI12" s="827"/>
      <c r="BJ12" s="827"/>
      <c r="BK12" s="827"/>
      <c r="BL12" s="827"/>
      <c r="BM12" s="827"/>
      <c r="BN12" s="827"/>
      <c r="BO12" s="827"/>
      <c r="BP12" s="827"/>
      <c r="BQ12" s="827"/>
      <c r="BR12" s="827"/>
      <c r="BS12" s="827"/>
      <c r="BT12" s="827"/>
      <c r="BU12" s="827"/>
    </row>
    <row r="13" spans="1:73" x14ac:dyDescent="0.25">
      <c r="A13" s="827"/>
      <c r="B13" s="827"/>
      <c r="C13" s="827"/>
      <c r="D13" s="827"/>
      <c r="E13" s="827"/>
      <c r="F13" s="827"/>
      <c r="G13" s="827"/>
      <c r="H13" s="827"/>
      <c r="I13" s="827"/>
      <c r="J13" s="827"/>
      <c r="K13" s="827"/>
      <c r="L13" s="827"/>
      <c r="M13" s="827"/>
      <c r="N13" s="827"/>
      <c r="O13" s="827"/>
      <c r="P13" s="827"/>
      <c r="Q13" s="827"/>
      <c r="R13" s="827"/>
      <c r="S13" s="827"/>
      <c r="T13" s="827"/>
      <c r="U13" s="827"/>
      <c r="V13" s="838" t="s">
        <v>1201</v>
      </c>
      <c r="W13" s="838" t="s">
        <v>1065</v>
      </c>
      <c r="X13" s="827"/>
      <c r="Y13" s="827"/>
      <c r="Z13" s="827"/>
      <c r="AA13" s="827"/>
      <c r="AB13" s="827"/>
      <c r="AC13" s="827"/>
      <c r="AD13" s="827"/>
      <c r="AE13" s="827"/>
      <c r="AF13" s="827"/>
      <c r="AG13" s="827"/>
      <c r="AH13" s="827"/>
      <c r="AI13" s="827"/>
      <c r="AJ13" s="827"/>
      <c r="AK13" s="827"/>
      <c r="AL13" s="827"/>
      <c r="AM13" s="827"/>
      <c r="AN13" s="827"/>
      <c r="AO13" s="827"/>
      <c r="AP13" s="827"/>
      <c r="AQ13" s="827"/>
      <c r="AR13" s="827"/>
      <c r="AS13" s="827"/>
      <c r="AT13" s="827"/>
      <c r="AU13" s="827"/>
      <c r="AV13" s="827"/>
      <c r="AW13" s="827"/>
      <c r="AX13" s="827"/>
      <c r="AY13" s="827"/>
      <c r="AZ13" s="827"/>
      <c r="BA13" s="827"/>
      <c r="BB13" s="827"/>
      <c r="BC13" s="827"/>
      <c r="BD13" s="827"/>
      <c r="BE13" s="827"/>
      <c r="BF13" s="827"/>
      <c r="BG13" s="827"/>
      <c r="BH13" s="827"/>
      <c r="BI13" s="827"/>
      <c r="BJ13" s="827"/>
      <c r="BK13" s="827"/>
      <c r="BL13" s="827"/>
      <c r="BM13" s="827"/>
      <c r="BN13" s="827"/>
      <c r="BO13" s="827"/>
      <c r="BP13" s="827"/>
      <c r="BQ13" s="827"/>
      <c r="BR13" s="827"/>
      <c r="BS13" s="827"/>
      <c r="BT13" s="827"/>
      <c r="BU13" s="827"/>
    </row>
    <row r="14" spans="1:73" ht="11.25" customHeight="1" x14ac:dyDescent="0.25">
      <c r="A14" s="827"/>
      <c r="B14" s="827"/>
      <c r="C14" s="827"/>
      <c r="D14" s="827"/>
      <c r="E14" s="827"/>
      <c r="F14" s="827"/>
      <c r="G14" s="827"/>
      <c r="H14" s="827"/>
      <c r="I14" s="827"/>
      <c r="J14" s="827"/>
      <c r="K14" s="827"/>
      <c r="L14" s="827"/>
      <c r="M14" s="827"/>
      <c r="N14" s="827"/>
      <c r="O14" s="827"/>
      <c r="P14" s="827"/>
      <c r="Q14" s="827"/>
      <c r="R14" s="827"/>
      <c r="S14" s="827"/>
      <c r="T14" s="827"/>
      <c r="U14" s="827"/>
      <c r="V14" s="840">
        <v>0</v>
      </c>
      <c r="W14" s="841">
        <f ca="1">+MIN(OFFSET($B$251:$B$2250,0,$C$194))*$C$198</f>
        <v>1.6952405926418359</v>
      </c>
      <c r="X14" s="827"/>
      <c r="Y14" s="827"/>
      <c r="Z14" s="827"/>
      <c r="AA14" s="827"/>
      <c r="AB14" s="827"/>
      <c r="AC14" s="827"/>
      <c r="AD14" s="827"/>
      <c r="AE14" s="827"/>
      <c r="AF14" s="827"/>
      <c r="AG14" s="827"/>
      <c r="AH14" s="827"/>
      <c r="AI14" s="827"/>
      <c r="AJ14" s="827"/>
      <c r="AK14" s="827"/>
      <c r="AL14" s="827"/>
      <c r="AM14" s="827"/>
      <c r="AN14" s="827"/>
      <c r="AO14" s="827"/>
      <c r="AP14" s="827"/>
      <c r="AQ14" s="827"/>
      <c r="AR14" s="827"/>
      <c r="AS14" s="827"/>
      <c r="AT14" s="827"/>
      <c r="AU14" s="827"/>
      <c r="AV14" s="827"/>
      <c r="AW14" s="827"/>
      <c r="AX14" s="827"/>
      <c r="AY14" s="827"/>
      <c r="AZ14" s="827"/>
      <c r="BA14" s="827"/>
      <c r="BB14" s="827"/>
      <c r="BC14" s="827"/>
      <c r="BD14" s="827"/>
      <c r="BE14" s="827"/>
      <c r="BF14" s="827"/>
      <c r="BG14" s="827"/>
      <c r="BH14" s="827"/>
      <c r="BI14" s="827"/>
      <c r="BJ14" s="827"/>
      <c r="BK14" s="827"/>
      <c r="BL14" s="827"/>
      <c r="BM14" s="827"/>
      <c r="BN14" s="827"/>
      <c r="BO14" s="827"/>
      <c r="BP14" s="827"/>
      <c r="BQ14" s="827"/>
      <c r="BR14" s="827"/>
      <c r="BS14" s="827"/>
      <c r="BT14" s="827"/>
      <c r="BU14" s="827"/>
    </row>
    <row r="15" spans="1:73" x14ac:dyDescent="0.25">
      <c r="A15" s="827"/>
      <c r="B15" s="827"/>
      <c r="C15" s="827"/>
      <c r="D15" s="827"/>
      <c r="E15" s="827"/>
      <c r="F15" s="827"/>
      <c r="G15" s="827"/>
      <c r="H15" s="827"/>
      <c r="I15" s="827"/>
      <c r="J15" s="827"/>
      <c r="K15" s="827"/>
      <c r="L15" s="827"/>
      <c r="M15" s="827"/>
      <c r="N15" s="827"/>
      <c r="O15" s="827"/>
      <c r="P15" s="827"/>
      <c r="Q15" s="827"/>
      <c r="R15" s="827"/>
      <c r="S15" s="827"/>
      <c r="T15" s="827"/>
      <c r="U15" s="827"/>
      <c r="V15" s="1070">
        <v>0.05</v>
      </c>
      <c r="W15" s="1071">
        <f t="shared" ref="W15:W33" ca="1" si="3">+PERCENTILE(OFFSET($B$251:$B$2250,0,$C$194),V15)*$C$198</f>
        <v>1.7128025299051668</v>
      </c>
      <c r="X15" s="827"/>
      <c r="Y15" s="827"/>
      <c r="Z15" s="827"/>
      <c r="AA15" s="827"/>
      <c r="AB15" s="827"/>
      <c r="AC15" s="827"/>
      <c r="AD15" s="827"/>
      <c r="AE15" s="827"/>
      <c r="AF15" s="827"/>
      <c r="AG15" s="827"/>
      <c r="AH15" s="827"/>
      <c r="AI15" s="827"/>
      <c r="AJ15" s="827"/>
      <c r="AK15" s="827"/>
      <c r="AL15" s="827"/>
      <c r="AM15" s="827"/>
      <c r="AN15" s="827"/>
      <c r="AO15" s="827"/>
      <c r="AP15" s="827"/>
      <c r="AQ15" s="827"/>
      <c r="AR15" s="827"/>
      <c r="AS15" s="827"/>
      <c r="AT15" s="827"/>
      <c r="AU15" s="827"/>
      <c r="AV15" s="827"/>
      <c r="AW15" s="827"/>
      <c r="AX15" s="827"/>
      <c r="AY15" s="827"/>
      <c r="AZ15" s="827"/>
      <c r="BA15" s="827"/>
      <c r="BB15" s="827"/>
      <c r="BC15" s="827"/>
      <c r="BD15" s="827"/>
      <c r="BE15" s="827"/>
      <c r="BF15" s="827"/>
      <c r="BG15" s="827"/>
      <c r="BH15" s="827"/>
      <c r="BI15" s="827"/>
      <c r="BJ15" s="827"/>
      <c r="BK15" s="827"/>
      <c r="BL15" s="827"/>
      <c r="BM15" s="827"/>
      <c r="BN15" s="827"/>
      <c r="BO15" s="827"/>
      <c r="BP15" s="827"/>
      <c r="BQ15" s="827"/>
      <c r="BR15" s="827"/>
      <c r="BS15" s="827"/>
      <c r="BT15" s="827"/>
      <c r="BU15" s="827"/>
    </row>
    <row r="16" spans="1:73" x14ac:dyDescent="0.25">
      <c r="A16" s="827"/>
      <c r="B16" s="828"/>
      <c r="C16" s="827"/>
      <c r="D16" s="827"/>
      <c r="E16" s="827"/>
      <c r="F16" s="827"/>
      <c r="G16" s="827"/>
      <c r="H16" s="827"/>
      <c r="I16" s="827"/>
      <c r="J16" s="827"/>
      <c r="K16" s="827"/>
      <c r="L16" s="827"/>
      <c r="M16" s="827"/>
      <c r="N16" s="827"/>
      <c r="O16" s="827"/>
      <c r="P16" s="827"/>
      <c r="Q16" s="827"/>
      <c r="R16" s="827"/>
      <c r="S16" s="827"/>
      <c r="T16" s="827"/>
      <c r="U16" s="827"/>
      <c r="V16" s="832">
        <f t="shared" ref="V16:V33" si="4">+V15+0.05</f>
        <v>0.1</v>
      </c>
      <c r="W16" s="841">
        <f t="shared" ca="1" si="3"/>
        <v>1.717377500689772</v>
      </c>
      <c r="X16" s="827"/>
      <c r="Y16" s="827"/>
      <c r="Z16" s="827"/>
      <c r="AA16" s="827"/>
      <c r="AB16" s="827"/>
      <c r="AC16" s="827"/>
      <c r="AD16" s="827"/>
      <c r="AE16" s="827"/>
      <c r="AF16" s="827"/>
      <c r="AG16" s="827"/>
      <c r="AH16" s="827"/>
      <c r="AI16" s="827"/>
      <c r="AJ16" s="827"/>
      <c r="AK16" s="827"/>
      <c r="AL16" s="827"/>
      <c r="AM16" s="827"/>
      <c r="AN16" s="827"/>
      <c r="AO16" s="827"/>
      <c r="AP16" s="827"/>
      <c r="AQ16" s="827"/>
      <c r="AR16" s="827"/>
      <c r="AS16" s="827"/>
      <c r="AT16" s="827"/>
      <c r="AU16" s="827"/>
      <c r="AV16" s="827"/>
      <c r="AW16" s="827"/>
      <c r="AX16" s="827"/>
      <c r="AY16" s="827"/>
      <c r="AZ16" s="827"/>
      <c r="BA16" s="827"/>
      <c r="BB16" s="827"/>
      <c r="BC16" s="827"/>
      <c r="BD16" s="827"/>
      <c r="BE16" s="827"/>
      <c r="BF16" s="827"/>
      <c r="BG16" s="827"/>
      <c r="BH16" s="827"/>
      <c r="BI16" s="827"/>
      <c r="BJ16" s="827"/>
      <c r="BK16" s="827"/>
      <c r="BL16" s="827"/>
      <c r="BM16" s="827"/>
      <c r="BN16" s="827"/>
      <c r="BO16" s="827"/>
      <c r="BP16" s="827"/>
      <c r="BQ16" s="827"/>
      <c r="BR16" s="827"/>
      <c r="BS16" s="827"/>
      <c r="BT16" s="827"/>
      <c r="BU16" s="827"/>
    </row>
    <row r="17" spans="1:73" x14ac:dyDescent="0.25">
      <c r="A17" s="827"/>
      <c r="B17" s="827"/>
      <c r="C17" s="827"/>
      <c r="D17" s="827"/>
      <c r="E17" s="827"/>
      <c r="F17" s="827"/>
      <c r="G17" s="827"/>
      <c r="H17" s="827"/>
      <c r="I17" s="827"/>
      <c r="J17" s="827"/>
      <c r="K17" s="827"/>
      <c r="L17" s="827"/>
      <c r="M17" s="827"/>
      <c r="N17" s="827"/>
      <c r="O17" s="827"/>
      <c r="P17" s="827"/>
      <c r="Q17" s="827"/>
      <c r="R17" s="827"/>
      <c r="S17" s="827"/>
      <c r="T17" s="827"/>
      <c r="U17" s="827"/>
      <c r="V17" s="832">
        <f t="shared" si="4"/>
        <v>0.15000000000000002</v>
      </c>
      <c r="W17" s="841">
        <f t="shared" ca="1" si="3"/>
        <v>1.7215076210730091</v>
      </c>
      <c r="X17" s="827"/>
      <c r="Y17" s="827"/>
      <c r="Z17" s="827"/>
      <c r="AA17" s="827"/>
      <c r="AB17" s="827"/>
      <c r="AC17" s="827"/>
      <c r="AD17" s="827"/>
      <c r="AE17" s="827"/>
      <c r="AF17" s="827"/>
      <c r="AG17" s="827"/>
      <c r="AH17" s="827"/>
      <c r="AI17" s="827"/>
      <c r="AJ17" s="827"/>
      <c r="AK17" s="827"/>
      <c r="AL17" s="827"/>
      <c r="AM17" s="827"/>
      <c r="AN17" s="827"/>
      <c r="AO17" s="827"/>
      <c r="AP17" s="827"/>
      <c r="AQ17" s="827"/>
      <c r="AR17" s="827"/>
      <c r="AS17" s="827"/>
      <c r="AT17" s="827"/>
      <c r="AU17" s="827"/>
      <c r="AV17" s="827"/>
      <c r="AW17" s="827"/>
      <c r="AX17" s="827"/>
      <c r="AY17" s="827"/>
      <c r="AZ17" s="827"/>
      <c r="BA17" s="827"/>
      <c r="BB17" s="827"/>
      <c r="BC17" s="827"/>
      <c r="BD17" s="827"/>
      <c r="BE17" s="827"/>
      <c r="BF17" s="827"/>
      <c r="BG17" s="827"/>
      <c r="BH17" s="827"/>
      <c r="BI17" s="827"/>
      <c r="BJ17" s="827"/>
      <c r="BK17" s="827"/>
      <c r="BL17" s="827"/>
      <c r="BM17" s="827"/>
      <c r="BN17" s="827"/>
      <c r="BO17" s="827"/>
      <c r="BP17" s="827"/>
      <c r="BQ17" s="827"/>
      <c r="BR17" s="827"/>
      <c r="BS17" s="827"/>
      <c r="BT17" s="827"/>
      <c r="BU17" s="827"/>
    </row>
    <row r="18" spans="1:73" x14ac:dyDescent="0.25">
      <c r="A18" s="827"/>
      <c r="B18" s="827"/>
      <c r="C18" s="827"/>
      <c r="D18" s="827"/>
      <c r="E18" s="827"/>
      <c r="F18" s="827"/>
      <c r="G18" s="827"/>
      <c r="H18" s="827"/>
      <c r="I18" s="827"/>
      <c r="J18" s="827"/>
      <c r="K18" s="827"/>
      <c r="L18" s="827"/>
      <c r="M18" s="827"/>
      <c r="N18" s="827"/>
      <c r="O18" s="827"/>
      <c r="P18" s="827"/>
      <c r="Q18" s="827"/>
      <c r="R18" s="827"/>
      <c r="S18" s="827"/>
      <c r="T18" s="827"/>
      <c r="U18" s="827"/>
      <c r="V18" s="832">
        <f t="shared" si="4"/>
        <v>0.2</v>
      </c>
      <c r="W18" s="841">
        <f t="shared" ca="1" si="3"/>
        <v>1.7240282826882551</v>
      </c>
      <c r="X18" s="827"/>
      <c r="Y18" s="827"/>
      <c r="Z18" s="827"/>
      <c r="AA18" s="827"/>
      <c r="AB18" s="827"/>
      <c r="AC18" s="827"/>
      <c r="AD18" s="827"/>
      <c r="AE18" s="827"/>
      <c r="AF18" s="827"/>
      <c r="AG18" s="827"/>
      <c r="AH18" s="827"/>
      <c r="AI18" s="827"/>
      <c r="AJ18" s="827"/>
      <c r="AK18" s="827"/>
      <c r="AL18" s="827"/>
      <c r="AM18" s="827"/>
      <c r="AN18" s="827"/>
      <c r="AO18" s="827"/>
      <c r="AP18" s="827"/>
      <c r="AQ18" s="827"/>
      <c r="AR18" s="827"/>
      <c r="AS18" s="827"/>
      <c r="AT18" s="827"/>
      <c r="AU18" s="827"/>
      <c r="AV18" s="827"/>
      <c r="AW18" s="827"/>
      <c r="AX18" s="827"/>
      <c r="AY18" s="827"/>
      <c r="AZ18" s="827"/>
      <c r="BA18" s="827"/>
      <c r="BB18" s="827"/>
      <c r="BC18" s="827"/>
      <c r="BD18" s="827"/>
      <c r="BE18" s="827"/>
      <c r="BF18" s="827"/>
      <c r="BG18" s="827"/>
      <c r="BH18" s="827"/>
      <c r="BI18" s="827"/>
      <c r="BJ18" s="827"/>
      <c r="BK18" s="827"/>
      <c r="BL18" s="827"/>
      <c r="BM18" s="827"/>
      <c r="BN18" s="827"/>
      <c r="BO18" s="827"/>
      <c r="BP18" s="827"/>
      <c r="BQ18" s="827"/>
      <c r="BR18" s="827"/>
      <c r="BS18" s="827"/>
      <c r="BT18" s="827"/>
      <c r="BU18" s="827"/>
    </row>
    <row r="19" spans="1:73" x14ac:dyDescent="0.25">
      <c r="A19" s="827"/>
      <c r="B19" s="827"/>
      <c r="C19" s="827"/>
      <c r="D19" s="827"/>
      <c r="E19" s="827"/>
      <c r="F19" s="827"/>
      <c r="G19" s="827"/>
      <c r="H19" s="827"/>
      <c r="I19" s="827"/>
      <c r="J19" s="827"/>
      <c r="K19" s="827"/>
      <c r="L19" s="827"/>
      <c r="M19" s="827"/>
      <c r="N19" s="827"/>
      <c r="O19" s="827"/>
      <c r="P19" s="827"/>
      <c r="Q19" s="827"/>
      <c r="R19" s="827"/>
      <c r="S19" s="827"/>
      <c r="T19" s="827"/>
      <c r="U19" s="827"/>
      <c r="V19" s="832">
        <f t="shared" si="4"/>
        <v>0.25</v>
      </c>
      <c r="W19" s="841">
        <f t="shared" ca="1" si="3"/>
        <v>1.7266603222872305</v>
      </c>
      <c r="X19" s="827"/>
      <c r="Y19" s="827"/>
      <c r="Z19" s="827"/>
      <c r="AA19" s="827"/>
      <c r="AB19" s="827"/>
      <c r="AC19" s="827"/>
      <c r="AD19" s="827"/>
      <c r="AE19" s="827"/>
      <c r="AF19" s="827"/>
      <c r="AG19" s="827"/>
      <c r="AH19" s="827"/>
      <c r="AI19" s="827"/>
      <c r="AJ19" s="827"/>
      <c r="AK19" s="827"/>
      <c r="AL19" s="827"/>
      <c r="AM19" s="827"/>
      <c r="AN19" s="827"/>
      <c r="AO19" s="827"/>
      <c r="AP19" s="827"/>
      <c r="AQ19" s="827"/>
      <c r="AR19" s="827"/>
      <c r="AS19" s="827"/>
      <c r="AT19" s="827"/>
      <c r="AU19" s="827"/>
      <c r="AV19" s="827"/>
      <c r="AW19" s="827"/>
      <c r="AX19" s="827"/>
      <c r="AY19" s="827"/>
      <c r="AZ19" s="827"/>
      <c r="BA19" s="827"/>
      <c r="BB19" s="827"/>
      <c r="BC19" s="827"/>
      <c r="BD19" s="827"/>
      <c r="BE19" s="827"/>
      <c r="BF19" s="827"/>
      <c r="BG19" s="827"/>
      <c r="BH19" s="827"/>
      <c r="BI19" s="827"/>
      <c r="BJ19" s="827"/>
      <c r="BK19" s="827"/>
      <c r="BL19" s="827"/>
      <c r="BM19" s="827"/>
      <c r="BN19" s="827"/>
      <c r="BO19" s="827"/>
      <c r="BP19" s="827"/>
      <c r="BQ19" s="827"/>
      <c r="BR19" s="827"/>
      <c r="BS19" s="827"/>
      <c r="BT19" s="827"/>
      <c r="BU19" s="827"/>
    </row>
    <row r="20" spans="1:73" x14ac:dyDescent="0.25">
      <c r="A20" s="827"/>
      <c r="B20" s="827"/>
      <c r="C20" s="827"/>
      <c r="D20" s="827"/>
      <c r="E20" s="827"/>
      <c r="F20" s="827"/>
      <c r="G20" s="827"/>
      <c r="H20" s="827"/>
      <c r="I20" s="827"/>
      <c r="J20" s="827"/>
      <c r="K20" s="827"/>
      <c r="L20" s="827"/>
      <c r="M20" s="827"/>
      <c r="N20" s="827"/>
      <c r="O20" s="827"/>
      <c r="P20" s="827"/>
      <c r="Q20" s="827"/>
      <c r="R20" s="827"/>
      <c r="S20" s="827"/>
      <c r="T20" s="827"/>
      <c r="U20" s="827"/>
      <c r="V20" s="832">
        <f t="shared" si="4"/>
        <v>0.3</v>
      </c>
      <c r="W20" s="841">
        <f t="shared" ca="1" si="3"/>
        <v>1.729056141067874</v>
      </c>
      <c r="X20" s="827"/>
      <c r="Y20" s="827"/>
      <c r="Z20" s="827"/>
      <c r="AA20" s="827"/>
      <c r="AB20" s="827"/>
      <c r="AC20" s="827"/>
      <c r="AD20" s="827"/>
      <c r="AE20" s="827"/>
      <c r="AF20" s="827"/>
      <c r="AG20" s="827"/>
      <c r="AH20" s="827"/>
      <c r="AI20" s="827"/>
      <c r="AJ20" s="827"/>
      <c r="AK20" s="827"/>
      <c r="AL20" s="827"/>
      <c r="AM20" s="827"/>
      <c r="AN20" s="827"/>
      <c r="AO20" s="827"/>
      <c r="AP20" s="827"/>
      <c r="AQ20" s="827"/>
      <c r="AR20" s="827"/>
      <c r="AS20" s="827"/>
      <c r="AT20" s="827"/>
      <c r="AU20" s="827"/>
      <c r="AV20" s="827"/>
      <c r="AW20" s="827"/>
      <c r="AX20" s="827"/>
      <c r="AY20" s="827"/>
      <c r="AZ20" s="827"/>
      <c r="BA20" s="827"/>
      <c r="BB20" s="827"/>
      <c r="BC20" s="827"/>
      <c r="BD20" s="827"/>
      <c r="BE20" s="827"/>
      <c r="BF20" s="827"/>
      <c r="BG20" s="827"/>
      <c r="BH20" s="827"/>
      <c r="BI20" s="827"/>
      <c r="BJ20" s="827"/>
      <c r="BK20" s="827"/>
      <c r="BL20" s="827"/>
      <c r="BM20" s="827"/>
      <c r="BN20" s="827"/>
      <c r="BO20" s="827"/>
      <c r="BP20" s="827"/>
      <c r="BQ20" s="827"/>
      <c r="BR20" s="827"/>
      <c r="BS20" s="827"/>
      <c r="BT20" s="827"/>
      <c r="BU20" s="827"/>
    </row>
    <row r="21" spans="1:73" x14ac:dyDescent="0.25">
      <c r="A21" s="827"/>
      <c r="B21" s="827"/>
      <c r="C21" s="827"/>
      <c r="D21" s="827"/>
      <c r="E21" s="827"/>
      <c r="F21" s="827"/>
      <c r="G21" s="827"/>
      <c r="H21" s="827"/>
      <c r="I21" s="827"/>
      <c r="J21" s="827"/>
      <c r="K21" s="827"/>
      <c r="L21" s="827"/>
      <c r="M21" s="827"/>
      <c r="N21" s="827"/>
      <c r="O21" s="827"/>
      <c r="P21" s="827"/>
      <c r="Q21" s="827"/>
      <c r="R21" s="827"/>
      <c r="S21" s="827"/>
      <c r="T21" s="827"/>
      <c r="U21" s="827"/>
      <c r="V21" s="832">
        <f t="shared" si="4"/>
        <v>0.35</v>
      </c>
      <c r="W21" s="841">
        <f t="shared" ca="1" si="3"/>
        <v>1.7309225856390458</v>
      </c>
      <c r="X21" s="827"/>
      <c r="Y21" s="827"/>
      <c r="Z21" s="827"/>
      <c r="AA21" s="827"/>
      <c r="AB21" s="827"/>
      <c r="AC21" s="827"/>
      <c r="AD21" s="827"/>
      <c r="AE21" s="827"/>
      <c r="AF21" s="827"/>
      <c r="AG21" s="827"/>
      <c r="AH21" s="827"/>
      <c r="AI21" s="827"/>
      <c r="AJ21" s="827"/>
      <c r="AK21" s="827"/>
      <c r="AL21" s="827"/>
      <c r="AM21" s="827"/>
      <c r="AN21" s="827"/>
      <c r="AO21" s="827"/>
      <c r="AP21" s="827"/>
      <c r="AQ21" s="827"/>
      <c r="AR21" s="827"/>
      <c r="AS21" s="827"/>
      <c r="AT21" s="827"/>
      <c r="AU21" s="827"/>
      <c r="AV21" s="827"/>
      <c r="AW21" s="827"/>
      <c r="AX21" s="827"/>
      <c r="AY21" s="827"/>
      <c r="AZ21" s="827"/>
      <c r="BA21" s="827"/>
      <c r="BB21" s="827"/>
      <c r="BC21" s="827"/>
      <c r="BD21" s="827"/>
      <c r="BE21" s="827"/>
      <c r="BF21" s="827"/>
      <c r="BG21" s="827"/>
      <c r="BH21" s="827"/>
      <c r="BI21" s="827"/>
      <c r="BJ21" s="827"/>
      <c r="BK21" s="827"/>
      <c r="BL21" s="827"/>
      <c r="BM21" s="827"/>
      <c r="BN21" s="827"/>
      <c r="BO21" s="827"/>
      <c r="BP21" s="827"/>
      <c r="BQ21" s="827"/>
      <c r="BR21" s="827"/>
      <c r="BS21" s="827"/>
      <c r="BT21" s="827"/>
      <c r="BU21" s="827"/>
    </row>
    <row r="22" spans="1:73" x14ac:dyDescent="0.25">
      <c r="A22" s="827"/>
      <c r="B22" s="827"/>
      <c r="C22" s="827"/>
      <c r="D22" s="827"/>
      <c r="E22" s="827"/>
      <c r="F22" s="827"/>
      <c r="G22" s="827"/>
      <c r="H22" s="827"/>
      <c r="I22" s="827"/>
      <c r="J22" s="827"/>
      <c r="K22" s="827"/>
      <c r="L22" s="827"/>
      <c r="M22" s="827"/>
      <c r="N22" s="827"/>
      <c r="O22" s="827"/>
      <c r="P22" s="827"/>
      <c r="Q22" s="827"/>
      <c r="R22" s="827"/>
      <c r="S22" s="827"/>
      <c r="T22" s="827"/>
      <c r="U22" s="827"/>
      <c r="V22" s="832">
        <f t="shared" si="4"/>
        <v>0.39999999999999997</v>
      </c>
      <c r="W22" s="841">
        <f t="shared" ca="1" si="3"/>
        <v>1.7328636310601204</v>
      </c>
      <c r="X22" s="827"/>
      <c r="Y22" s="827"/>
      <c r="Z22" s="827"/>
      <c r="AA22" s="827"/>
      <c r="AB22" s="827"/>
      <c r="AC22" s="827"/>
      <c r="AD22" s="827"/>
      <c r="AE22" s="827"/>
      <c r="AF22" s="827"/>
      <c r="AG22" s="827"/>
      <c r="AH22" s="827"/>
      <c r="AI22" s="827"/>
      <c r="AJ22" s="827"/>
      <c r="AK22" s="827"/>
      <c r="AL22" s="827"/>
      <c r="AM22" s="827"/>
      <c r="AN22" s="827"/>
      <c r="AO22" s="827"/>
      <c r="AP22" s="827"/>
      <c r="AQ22" s="827"/>
      <c r="AR22" s="827"/>
      <c r="AS22" s="827"/>
      <c r="AT22" s="827"/>
      <c r="AU22" s="827"/>
      <c r="AV22" s="827"/>
      <c r="AW22" s="827"/>
      <c r="AX22" s="827"/>
      <c r="AY22" s="827"/>
      <c r="AZ22" s="827"/>
      <c r="BA22" s="827"/>
      <c r="BB22" s="827"/>
      <c r="BC22" s="827"/>
      <c r="BD22" s="827"/>
      <c r="BE22" s="827"/>
      <c r="BF22" s="827"/>
      <c r="BG22" s="827"/>
      <c r="BH22" s="827"/>
      <c r="BI22" s="827"/>
      <c r="BJ22" s="827"/>
      <c r="BK22" s="827"/>
      <c r="BL22" s="827"/>
      <c r="BM22" s="827"/>
      <c r="BN22" s="827"/>
      <c r="BO22" s="827"/>
      <c r="BP22" s="827"/>
      <c r="BQ22" s="827"/>
      <c r="BR22" s="827"/>
      <c r="BS22" s="827"/>
      <c r="BT22" s="827"/>
      <c r="BU22" s="827"/>
    </row>
    <row r="23" spans="1:73" x14ac:dyDescent="0.25">
      <c r="A23" s="827"/>
      <c r="B23" s="827"/>
      <c r="C23" s="827"/>
      <c r="D23" s="827"/>
      <c r="E23" s="827"/>
      <c r="F23" s="827"/>
      <c r="G23" s="827"/>
      <c r="H23" s="827"/>
      <c r="I23" s="827"/>
      <c r="J23" s="827"/>
      <c r="K23" s="827"/>
      <c r="L23" s="827"/>
      <c r="M23" s="827"/>
      <c r="N23" s="827"/>
      <c r="O23" s="827"/>
      <c r="P23" s="827"/>
      <c r="Q23" s="827"/>
      <c r="R23" s="827"/>
      <c r="S23" s="827"/>
      <c r="T23" s="827"/>
      <c r="U23" s="827"/>
      <c r="V23" s="832">
        <f t="shared" si="4"/>
        <v>0.44999999999999996</v>
      </c>
      <c r="W23" s="841">
        <f t="shared" ca="1" si="3"/>
        <v>1.7348777634506862</v>
      </c>
      <c r="X23" s="827"/>
      <c r="Y23" s="827"/>
      <c r="Z23" s="827"/>
      <c r="AA23" s="827"/>
      <c r="AB23" s="827"/>
      <c r="AC23" s="827"/>
      <c r="AD23" s="827"/>
      <c r="AE23" s="827"/>
      <c r="AF23" s="827"/>
      <c r="AG23" s="827"/>
      <c r="AH23" s="827"/>
      <c r="AI23" s="827"/>
      <c r="AJ23" s="827"/>
      <c r="AK23" s="827"/>
      <c r="AL23" s="827"/>
      <c r="AM23" s="827"/>
      <c r="AN23" s="827"/>
      <c r="AO23" s="827"/>
      <c r="AP23" s="827"/>
      <c r="AQ23" s="827"/>
      <c r="AR23" s="827"/>
      <c r="AS23" s="827"/>
      <c r="AT23" s="827"/>
      <c r="AU23" s="827"/>
      <c r="AV23" s="827"/>
      <c r="AW23" s="827"/>
      <c r="AX23" s="827"/>
      <c r="AY23" s="827"/>
      <c r="AZ23" s="827"/>
      <c r="BA23" s="827"/>
      <c r="BB23" s="827"/>
      <c r="BC23" s="827"/>
      <c r="BD23" s="827"/>
      <c r="BE23" s="827"/>
      <c r="BF23" s="827"/>
      <c r="BG23" s="827"/>
      <c r="BH23" s="827"/>
      <c r="BI23" s="827"/>
      <c r="BJ23" s="827"/>
      <c r="BK23" s="827"/>
      <c r="BL23" s="827"/>
      <c r="BM23" s="827"/>
      <c r="BN23" s="827"/>
      <c r="BO23" s="827"/>
      <c r="BP23" s="827"/>
      <c r="BQ23" s="827"/>
      <c r="BR23" s="827"/>
      <c r="BS23" s="827"/>
      <c r="BT23" s="827"/>
      <c r="BU23" s="827"/>
    </row>
    <row r="24" spans="1:73" x14ac:dyDescent="0.25">
      <c r="A24" s="827"/>
      <c r="B24" s="827"/>
      <c r="C24" s="827"/>
      <c r="D24" s="827"/>
      <c r="E24" s="827"/>
      <c r="F24" s="827"/>
      <c r="G24" s="827"/>
      <c r="H24" s="827"/>
      <c r="I24" s="827"/>
      <c r="J24" s="827"/>
      <c r="K24" s="827"/>
      <c r="L24" s="827"/>
      <c r="M24" s="827"/>
      <c r="N24" s="827"/>
      <c r="O24" s="827"/>
      <c r="P24" s="827"/>
      <c r="Q24" s="827"/>
      <c r="R24" s="827"/>
      <c r="S24" s="827"/>
      <c r="T24" s="827"/>
      <c r="U24" s="827"/>
      <c r="V24" s="1070">
        <f t="shared" si="4"/>
        <v>0.49999999999999994</v>
      </c>
      <c r="W24" s="1071">
        <f t="shared" ca="1" si="3"/>
        <v>1.7364705667960472</v>
      </c>
      <c r="X24" s="827"/>
      <c r="Y24" s="827"/>
      <c r="Z24" s="827"/>
      <c r="AA24" s="827"/>
      <c r="AB24" s="827"/>
      <c r="AC24" s="827"/>
      <c r="AD24" s="827"/>
      <c r="AE24" s="827"/>
      <c r="AF24" s="827"/>
      <c r="AG24" s="827"/>
      <c r="AH24" s="827"/>
      <c r="AI24" s="827"/>
      <c r="AJ24" s="827"/>
      <c r="AK24" s="827"/>
      <c r="AL24" s="827"/>
      <c r="AM24" s="827"/>
      <c r="AN24" s="827"/>
      <c r="AO24" s="827"/>
      <c r="AP24" s="827"/>
      <c r="AQ24" s="827"/>
      <c r="AR24" s="827"/>
      <c r="AS24" s="827"/>
      <c r="AT24" s="827"/>
      <c r="AU24" s="827"/>
      <c r="AV24" s="827"/>
      <c r="AW24" s="827"/>
      <c r="AX24" s="827"/>
      <c r="AY24" s="827"/>
      <c r="AZ24" s="827"/>
      <c r="BA24" s="827"/>
      <c r="BB24" s="827"/>
      <c r="BC24" s="827"/>
      <c r="BD24" s="827"/>
      <c r="BE24" s="827"/>
      <c r="BF24" s="827"/>
      <c r="BG24" s="827"/>
      <c r="BH24" s="827"/>
      <c r="BI24" s="827"/>
      <c r="BJ24" s="827"/>
      <c r="BK24" s="827"/>
      <c r="BL24" s="827"/>
      <c r="BM24" s="827"/>
      <c r="BN24" s="827"/>
      <c r="BO24" s="827"/>
      <c r="BP24" s="827"/>
      <c r="BQ24" s="827"/>
      <c r="BR24" s="827"/>
      <c r="BS24" s="827"/>
      <c r="BT24" s="827"/>
      <c r="BU24" s="827"/>
    </row>
    <row r="25" spans="1:73" x14ac:dyDescent="0.25">
      <c r="A25" s="827"/>
      <c r="B25" s="827"/>
      <c r="C25" s="827"/>
      <c r="D25" s="827"/>
      <c r="E25" s="827"/>
      <c r="F25" s="827"/>
      <c r="G25" s="827"/>
      <c r="H25" s="827"/>
      <c r="I25" s="827"/>
      <c r="J25" s="827"/>
      <c r="K25" s="827"/>
      <c r="L25" s="827"/>
      <c r="M25" s="827"/>
      <c r="N25" s="827"/>
      <c r="O25" s="827"/>
      <c r="P25" s="827"/>
      <c r="Q25" s="827"/>
      <c r="R25" s="827"/>
      <c r="S25" s="827"/>
      <c r="T25" s="827"/>
      <c r="U25" s="827"/>
      <c r="V25" s="832">
        <f t="shared" si="4"/>
        <v>0.54999999999999993</v>
      </c>
      <c r="W25" s="841">
        <f t="shared" ca="1" si="3"/>
        <v>1.7381414145369858</v>
      </c>
      <c r="X25" s="827"/>
      <c r="Y25" s="827"/>
      <c r="Z25" s="827"/>
      <c r="AA25" s="827"/>
      <c r="AB25" s="827"/>
      <c r="AC25" s="827"/>
      <c r="AD25" s="827"/>
      <c r="AE25" s="827"/>
      <c r="AF25" s="827"/>
      <c r="AG25" s="827"/>
      <c r="AH25" s="827"/>
      <c r="AI25" s="827"/>
      <c r="AJ25" s="827"/>
      <c r="AK25" s="827"/>
      <c r="AL25" s="827"/>
      <c r="AM25" s="827"/>
      <c r="AN25" s="827"/>
      <c r="AO25" s="827"/>
      <c r="AP25" s="827"/>
      <c r="AQ25" s="827"/>
      <c r="AR25" s="827"/>
      <c r="AS25" s="827"/>
      <c r="AT25" s="827"/>
      <c r="AU25" s="827"/>
      <c r="AV25" s="827"/>
      <c r="AW25" s="827"/>
      <c r="AX25" s="827"/>
      <c r="AY25" s="827"/>
      <c r="AZ25" s="827"/>
      <c r="BA25" s="827"/>
      <c r="BB25" s="827"/>
      <c r="BC25" s="827"/>
      <c r="BD25" s="827"/>
      <c r="BE25" s="827"/>
      <c r="BF25" s="827"/>
      <c r="BG25" s="827"/>
      <c r="BH25" s="827"/>
      <c r="BI25" s="827"/>
      <c r="BJ25" s="827"/>
      <c r="BK25" s="827"/>
      <c r="BL25" s="827"/>
      <c r="BM25" s="827"/>
      <c r="BN25" s="827"/>
      <c r="BO25" s="827"/>
      <c r="BP25" s="827"/>
      <c r="BQ25" s="827"/>
      <c r="BR25" s="827"/>
      <c r="BS25" s="827"/>
      <c r="BT25" s="827"/>
      <c r="BU25" s="827"/>
    </row>
    <row r="26" spans="1:73" x14ac:dyDescent="0.25">
      <c r="A26" s="827"/>
      <c r="B26" s="827"/>
      <c r="C26" s="827"/>
      <c r="D26" s="827"/>
      <c r="E26" s="827"/>
      <c r="F26" s="827"/>
      <c r="G26" s="827"/>
      <c r="H26" s="827"/>
      <c r="I26" s="827"/>
      <c r="J26" s="827"/>
      <c r="K26" s="827"/>
      <c r="L26" s="827"/>
      <c r="M26" s="827"/>
      <c r="N26" s="827"/>
      <c r="O26" s="827"/>
      <c r="P26" s="827"/>
      <c r="Q26" s="827"/>
      <c r="R26" s="827"/>
      <c r="S26" s="827"/>
      <c r="T26" s="827"/>
      <c r="U26" s="827"/>
      <c r="V26" s="832">
        <f t="shared" si="4"/>
        <v>0.6</v>
      </c>
      <c r="W26" s="841">
        <f t="shared" ca="1" si="3"/>
        <v>1.7398538477847072</v>
      </c>
      <c r="X26" s="827"/>
      <c r="Y26" s="827"/>
      <c r="Z26" s="827"/>
      <c r="AA26" s="827"/>
      <c r="AB26" s="827"/>
      <c r="AC26" s="827"/>
      <c r="AD26" s="827"/>
      <c r="AE26" s="827"/>
      <c r="AF26" s="827"/>
      <c r="AG26" s="827"/>
      <c r="AH26" s="827"/>
      <c r="AI26" s="827"/>
      <c r="AJ26" s="827"/>
      <c r="AK26" s="827"/>
      <c r="AL26" s="827"/>
      <c r="AM26" s="827"/>
      <c r="AN26" s="827"/>
      <c r="AO26" s="827"/>
      <c r="AP26" s="827"/>
      <c r="AQ26" s="827"/>
      <c r="AR26" s="827"/>
      <c r="AS26" s="827"/>
      <c r="AT26" s="827"/>
      <c r="AU26" s="827"/>
      <c r="AV26" s="827"/>
      <c r="AW26" s="827"/>
      <c r="AX26" s="827"/>
      <c r="AY26" s="827"/>
      <c r="AZ26" s="827"/>
      <c r="BA26" s="827"/>
      <c r="BB26" s="827"/>
      <c r="BC26" s="827"/>
      <c r="BD26" s="827"/>
      <c r="BE26" s="827"/>
      <c r="BF26" s="827"/>
      <c r="BG26" s="827"/>
      <c r="BH26" s="827"/>
      <c r="BI26" s="827"/>
      <c r="BJ26" s="827"/>
      <c r="BK26" s="827"/>
      <c r="BL26" s="827"/>
      <c r="BM26" s="827"/>
      <c r="BN26" s="827"/>
      <c r="BO26" s="827"/>
      <c r="BP26" s="827"/>
      <c r="BQ26" s="827"/>
      <c r="BR26" s="827"/>
      <c r="BS26" s="827"/>
      <c r="BT26" s="827"/>
      <c r="BU26" s="827"/>
    </row>
    <row r="27" spans="1:73" x14ac:dyDescent="0.25">
      <c r="A27" s="827"/>
      <c r="B27" s="827"/>
      <c r="C27" s="827"/>
      <c r="D27" s="827"/>
      <c r="E27" s="827"/>
      <c r="F27" s="827"/>
      <c r="G27" s="827"/>
      <c r="H27" s="827"/>
      <c r="I27" s="827"/>
      <c r="J27" s="827"/>
      <c r="K27" s="827"/>
      <c r="L27" s="827"/>
      <c r="M27" s="827"/>
      <c r="N27" s="827"/>
      <c r="O27" s="827"/>
      <c r="P27" s="827"/>
      <c r="Q27" s="827"/>
      <c r="R27" s="827"/>
      <c r="S27" s="827"/>
      <c r="T27" s="827"/>
      <c r="U27" s="827"/>
      <c r="V27" s="832">
        <f t="shared" si="4"/>
        <v>0.65</v>
      </c>
      <c r="W27" s="841">
        <f t="shared" ca="1" si="3"/>
        <v>1.7418928781892822</v>
      </c>
      <c r="X27" s="827"/>
      <c r="Y27" s="827"/>
      <c r="Z27" s="827"/>
      <c r="AA27" s="827"/>
      <c r="AB27" s="827"/>
      <c r="AC27" s="827"/>
      <c r="AD27" s="827"/>
      <c r="AE27" s="827"/>
      <c r="AF27" s="827"/>
      <c r="AG27" s="827"/>
      <c r="AH27" s="827"/>
      <c r="AI27" s="827"/>
      <c r="AJ27" s="827"/>
      <c r="AK27" s="827"/>
      <c r="AL27" s="827"/>
      <c r="AM27" s="827"/>
      <c r="AN27" s="827"/>
      <c r="AO27" s="827"/>
      <c r="AP27" s="827"/>
      <c r="AQ27" s="827"/>
      <c r="AR27" s="827"/>
      <c r="AS27" s="827"/>
      <c r="AT27" s="827"/>
      <c r="AU27" s="827"/>
      <c r="AV27" s="827"/>
      <c r="AW27" s="827"/>
      <c r="AX27" s="827"/>
      <c r="AY27" s="827"/>
      <c r="AZ27" s="827"/>
      <c r="BA27" s="827"/>
      <c r="BB27" s="827"/>
      <c r="BC27" s="827"/>
      <c r="BD27" s="827"/>
      <c r="BE27" s="827"/>
      <c r="BF27" s="827"/>
      <c r="BG27" s="827"/>
      <c r="BH27" s="827"/>
      <c r="BI27" s="827"/>
      <c r="BJ27" s="827"/>
      <c r="BK27" s="827"/>
      <c r="BL27" s="827"/>
      <c r="BM27" s="827"/>
      <c r="BN27" s="827"/>
      <c r="BO27" s="827"/>
      <c r="BP27" s="827"/>
      <c r="BQ27" s="827"/>
      <c r="BR27" s="827"/>
      <c r="BS27" s="827"/>
      <c r="BT27" s="827"/>
      <c r="BU27" s="827"/>
    </row>
    <row r="28" spans="1:73" x14ac:dyDescent="0.25">
      <c r="A28" s="827"/>
      <c r="B28" s="827"/>
      <c r="C28" s="827"/>
      <c r="D28" s="827"/>
      <c r="E28" s="827"/>
      <c r="F28" s="827"/>
      <c r="G28" s="827"/>
      <c r="H28" s="827"/>
      <c r="I28" s="827"/>
      <c r="J28" s="827"/>
      <c r="K28" s="827"/>
      <c r="L28" s="827"/>
      <c r="M28" s="827"/>
      <c r="N28" s="827"/>
      <c r="O28" s="827"/>
      <c r="P28" s="827"/>
      <c r="Q28" s="827"/>
      <c r="R28" s="827"/>
      <c r="S28" s="827"/>
      <c r="T28" s="827"/>
      <c r="U28" s="827"/>
      <c r="V28" s="832">
        <f t="shared" si="4"/>
        <v>0.70000000000000007</v>
      </c>
      <c r="W28" s="841">
        <f t="shared" ca="1" si="3"/>
        <v>1.7439555351804437</v>
      </c>
      <c r="X28" s="827"/>
      <c r="Y28" s="827"/>
      <c r="Z28" s="827"/>
      <c r="AA28" s="827"/>
      <c r="AB28" s="827"/>
      <c r="AC28" s="827"/>
      <c r="AD28" s="827"/>
      <c r="AE28" s="827"/>
      <c r="AF28" s="827"/>
      <c r="AG28" s="827"/>
      <c r="AH28" s="827"/>
      <c r="AI28" s="827"/>
      <c r="AJ28" s="827"/>
      <c r="AK28" s="827"/>
      <c r="AL28" s="827"/>
      <c r="AM28" s="827"/>
      <c r="AN28" s="827"/>
      <c r="AO28" s="827"/>
      <c r="AP28" s="827"/>
      <c r="AQ28" s="827"/>
      <c r="AR28" s="827"/>
      <c r="AS28" s="827"/>
      <c r="AT28" s="827"/>
      <c r="AU28" s="827"/>
      <c r="AV28" s="827"/>
      <c r="AW28" s="827"/>
      <c r="AX28" s="827"/>
      <c r="AY28" s="827"/>
      <c r="AZ28" s="827"/>
      <c r="BA28" s="827"/>
      <c r="BB28" s="827"/>
      <c r="BC28" s="827"/>
      <c r="BD28" s="827"/>
      <c r="BE28" s="827"/>
      <c r="BF28" s="827"/>
      <c r="BG28" s="827"/>
      <c r="BH28" s="827"/>
      <c r="BI28" s="827"/>
      <c r="BJ28" s="827"/>
      <c r="BK28" s="827"/>
      <c r="BL28" s="827"/>
      <c r="BM28" s="827"/>
      <c r="BN28" s="827"/>
      <c r="BO28" s="827"/>
      <c r="BP28" s="827"/>
      <c r="BQ28" s="827"/>
      <c r="BR28" s="827"/>
      <c r="BS28" s="827"/>
      <c r="BT28" s="827"/>
      <c r="BU28" s="827"/>
    </row>
    <row r="29" spans="1:73" x14ac:dyDescent="0.25">
      <c r="A29" s="827"/>
      <c r="B29" s="827"/>
      <c r="C29" s="827"/>
      <c r="D29" s="827"/>
      <c r="E29" s="827"/>
      <c r="F29" s="827"/>
      <c r="G29" s="827"/>
      <c r="H29" s="827"/>
      <c r="I29" s="827"/>
      <c r="J29" s="827"/>
      <c r="K29" s="827"/>
      <c r="L29" s="827"/>
      <c r="M29" s="827"/>
      <c r="N29" s="827"/>
      <c r="O29" s="827"/>
      <c r="P29" s="827"/>
      <c r="Q29" s="827"/>
      <c r="R29" s="827"/>
      <c r="S29" s="827"/>
      <c r="T29" s="827"/>
      <c r="U29" s="827"/>
      <c r="V29" s="832">
        <f t="shared" si="4"/>
        <v>0.75000000000000011</v>
      </c>
      <c r="W29" s="841">
        <f t="shared" ca="1" si="3"/>
        <v>1.746579866401349</v>
      </c>
      <c r="X29" s="827"/>
      <c r="Y29" s="827"/>
      <c r="Z29" s="827"/>
      <c r="AA29" s="827"/>
      <c r="AB29" s="827"/>
      <c r="AC29" s="827"/>
      <c r="AD29" s="827"/>
      <c r="AE29" s="827"/>
      <c r="AF29" s="827"/>
      <c r="AG29" s="827"/>
      <c r="AH29" s="827"/>
      <c r="AI29" s="827"/>
      <c r="AJ29" s="827"/>
      <c r="AK29" s="827"/>
      <c r="AL29" s="827"/>
      <c r="AM29" s="827"/>
      <c r="AN29" s="827"/>
      <c r="AO29" s="827"/>
      <c r="AP29" s="827"/>
      <c r="AQ29" s="827"/>
      <c r="AR29" s="827"/>
      <c r="AS29" s="827"/>
      <c r="AT29" s="827"/>
      <c r="AU29" s="827"/>
      <c r="AV29" s="827"/>
      <c r="AW29" s="827"/>
      <c r="AX29" s="827"/>
      <c r="AY29" s="827"/>
      <c r="AZ29" s="827"/>
      <c r="BA29" s="827"/>
      <c r="BB29" s="827"/>
      <c r="BC29" s="827"/>
      <c r="BD29" s="827"/>
      <c r="BE29" s="827"/>
      <c r="BF29" s="827"/>
      <c r="BG29" s="827"/>
      <c r="BH29" s="827"/>
      <c r="BI29" s="827"/>
      <c r="BJ29" s="827"/>
      <c r="BK29" s="827"/>
      <c r="BL29" s="827"/>
      <c r="BM29" s="827"/>
      <c r="BN29" s="827"/>
      <c r="BO29" s="827"/>
      <c r="BP29" s="827"/>
      <c r="BQ29" s="827"/>
      <c r="BR29" s="827"/>
      <c r="BS29" s="827"/>
      <c r="BT29" s="827"/>
      <c r="BU29" s="827"/>
    </row>
    <row r="30" spans="1:73" x14ac:dyDescent="0.25">
      <c r="A30" s="827"/>
      <c r="B30" s="827"/>
      <c r="C30" s="827"/>
      <c r="D30" s="827"/>
      <c r="E30" s="827"/>
      <c r="F30" s="828"/>
      <c r="G30" s="827"/>
      <c r="H30" s="827"/>
      <c r="I30" s="827"/>
      <c r="J30" s="827"/>
      <c r="K30" s="827"/>
      <c r="L30" s="827"/>
      <c r="M30" s="827"/>
      <c r="N30" s="827"/>
      <c r="O30" s="827"/>
      <c r="P30" s="827"/>
      <c r="Q30" s="827"/>
      <c r="R30" s="827"/>
      <c r="S30" s="827"/>
      <c r="T30" s="827"/>
      <c r="U30" s="827"/>
      <c r="V30" s="832">
        <f t="shared" si="4"/>
        <v>0.80000000000000016</v>
      </c>
      <c r="W30" s="841">
        <f t="shared" ca="1" si="3"/>
        <v>1.749865690545797</v>
      </c>
      <c r="X30" s="827"/>
      <c r="Y30" s="827"/>
      <c r="Z30" s="827"/>
      <c r="AA30" s="827"/>
      <c r="AB30" s="827"/>
      <c r="AC30" s="827"/>
      <c r="AD30" s="827"/>
      <c r="AE30" s="827"/>
      <c r="AF30" s="827"/>
      <c r="AG30" s="827"/>
      <c r="AH30" s="827"/>
      <c r="AI30" s="827"/>
      <c r="AJ30" s="827"/>
      <c r="AK30" s="827"/>
      <c r="AL30" s="827"/>
      <c r="AM30" s="827"/>
      <c r="AN30" s="827"/>
      <c r="AO30" s="827"/>
      <c r="AP30" s="827"/>
      <c r="AQ30" s="827"/>
      <c r="AR30" s="827"/>
      <c r="AS30" s="827"/>
      <c r="AT30" s="827"/>
      <c r="AU30" s="827"/>
      <c r="AV30" s="827"/>
      <c r="AW30" s="827"/>
      <c r="AX30" s="827"/>
      <c r="AY30" s="827"/>
      <c r="AZ30" s="827"/>
      <c r="BA30" s="827"/>
      <c r="BB30" s="827"/>
      <c r="BC30" s="827"/>
      <c r="BD30" s="827"/>
      <c r="BE30" s="827"/>
      <c r="BF30" s="827"/>
      <c r="BG30" s="827"/>
      <c r="BH30" s="827"/>
      <c r="BI30" s="827"/>
      <c r="BJ30" s="827"/>
      <c r="BK30" s="827"/>
      <c r="BL30" s="827"/>
      <c r="BM30" s="827"/>
      <c r="BN30" s="827"/>
      <c r="BO30" s="827"/>
      <c r="BP30" s="827"/>
      <c r="BQ30" s="827"/>
      <c r="BR30" s="827"/>
      <c r="BS30" s="827"/>
      <c r="BT30" s="827"/>
      <c r="BU30" s="827"/>
    </row>
    <row r="31" spans="1:73" x14ac:dyDescent="0.25">
      <c r="A31" s="827"/>
      <c r="B31" s="827"/>
      <c r="C31" s="827"/>
      <c r="D31" s="827"/>
      <c r="E31" s="827"/>
      <c r="F31" s="827"/>
      <c r="G31" s="827"/>
      <c r="H31" s="827"/>
      <c r="I31" s="827"/>
      <c r="J31" s="827"/>
      <c r="K31" s="827"/>
      <c r="L31" s="827"/>
      <c r="M31" s="827"/>
      <c r="N31" s="827"/>
      <c r="O31" s="827"/>
      <c r="P31" s="827"/>
      <c r="Q31" s="827"/>
      <c r="R31" s="827"/>
      <c r="S31" s="827"/>
      <c r="T31" s="827"/>
      <c r="U31" s="827"/>
      <c r="V31" s="832">
        <f t="shared" si="4"/>
        <v>0.8500000000000002</v>
      </c>
      <c r="W31" s="841">
        <f t="shared" ca="1" si="3"/>
        <v>1.7524018208107595</v>
      </c>
      <c r="X31" s="827"/>
      <c r="Y31" s="827"/>
      <c r="Z31" s="827"/>
      <c r="AA31" s="827"/>
      <c r="AB31" s="827"/>
      <c r="AC31" s="827"/>
      <c r="AD31" s="827"/>
      <c r="AE31" s="827"/>
      <c r="AF31" s="827"/>
      <c r="AG31" s="827"/>
      <c r="AH31" s="827"/>
      <c r="AI31" s="827"/>
      <c r="AJ31" s="827"/>
      <c r="AK31" s="827"/>
      <c r="AL31" s="827"/>
      <c r="AM31" s="827"/>
      <c r="AN31" s="827"/>
      <c r="AO31" s="827"/>
      <c r="AP31" s="827"/>
      <c r="AQ31" s="827"/>
      <c r="AR31" s="827"/>
      <c r="AS31" s="827"/>
      <c r="AT31" s="827"/>
      <c r="AU31" s="827"/>
      <c r="AV31" s="827"/>
      <c r="AW31" s="827"/>
      <c r="AX31" s="827"/>
      <c r="AY31" s="827"/>
      <c r="AZ31" s="827"/>
      <c r="BA31" s="827"/>
      <c r="BB31" s="827"/>
      <c r="BC31" s="827"/>
      <c r="BD31" s="827"/>
      <c r="BE31" s="827"/>
      <c r="BF31" s="827"/>
      <c r="BG31" s="827"/>
      <c r="BH31" s="827"/>
      <c r="BI31" s="827"/>
      <c r="BJ31" s="827"/>
      <c r="BK31" s="827"/>
      <c r="BL31" s="827"/>
      <c r="BM31" s="827"/>
      <c r="BN31" s="827"/>
      <c r="BO31" s="827"/>
      <c r="BP31" s="827"/>
      <c r="BQ31" s="827"/>
      <c r="BR31" s="827"/>
      <c r="BS31" s="827"/>
      <c r="BT31" s="827"/>
      <c r="BU31" s="827"/>
    </row>
    <row r="32" spans="1:73" x14ac:dyDescent="0.25">
      <c r="A32" s="827"/>
      <c r="B32" s="827"/>
      <c r="C32" s="827"/>
      <c r="D32" s="827"/>
      <c r="E32" s="827"/>
      <c r="F32" s="827"/>
      <c r="G32" s="827"/>
      <c r="H32" s="827"/>
      <c r="I32" s="827"/>
      <c r="J32" s="827"/>
      <c r="K32" s="827"/>
      <c r="L32" s="827"/>
      <c r="M32" s="827"/>
      <c r="N32" s="827"/>
      <c r="O32" s="827"/>
      <c r="P32" s="827"/>
      <c r="Q32" s="827"/>
      <c r="R32" s="827"/>
      <c r="S32" s="827"/>
      <c r="T32" s="827"/>
      <c r="U32" s="827"/>
      <c r="V32" s="832">
        <f t="shared" si="4"/>
        <v>0.90000000000000024</v>
      </c>
      <c r="W32" s="841">
        <f t="shared" ca="1" si="3"/>
        <v>1.755909999250687</v>
      </c>
      <c r="X32" s="827"/>
      <c r="Y32" s="827"/>
      <c r="Z32" s="827"/>
      <c r="AA32" s="827"/>
      <c r="AB32" s="827"/>
      <c r="AC32" s="827"/>
      <c r="AD32" s="827"/>
      <c r="AE32" s="827"/>
      <c r="AF32" s="827"/>
      <c r="AG32" s="827"/>
      <c r="AH32" s="827"/>
      <c r="AI32" s="827"/>
      <c r="AJ32" s="827"/>
      <c r="AK32" s="827"/>
      <c r="AL32" s="827"/>
      <c r="AM32" s="827"/>
      <c r="AN32" s="827"/>
      <c r="AO32" s="827"/>
      <c r="AP32" s="827"/>
      <c r="AQ32" s="827"/>
      <c r="AR32" s="827"/>
      <c r="AS32" s="827"/>
      <c r="AT32" s="827"/>
      <c r="AU32" s="827"/>
      <c r="AV32" s="827"/>
      <c r="AW32" s="827"/>
      <c r="AX32" s="827"/>
      <c r="AY32" s="827"/>
      <c r="AZ32" s="827"/>
      <c r="BA32" s="827"/>
      <c r="BB32" s="827"/>
      <c r="BC32" s="827"/>
      <c r="BD32" s="827"/>
      <c r="BE32" s="827"/>
      <c r="BF32" s="827"/>
      <c r="BG32" s="827"/>
      <c r="BH32" s="827"/>
      <c r="BI32" s="827"/>
      <c r="BJ32" s="827"/>
      <c r="BK32" s="827"/>
      <c r="BL32" s="827"/>
      <c r="BM32" s="827"/>
      <c r="BN32" s="827"/>
      <c r="BO32" s="827"/>
      <c r="BP32" s="827"/>
      <c r="BQ32" s="827"/>
      <c r="BR32" s="827"/>
      <c r="BS32" s="827"/>
      <c r="BT32" s="827"/>
      <c r="BU32" s="827"/>
    </row>
    <row r="33" spans="1:73" x14ac:dyDescent="0.25">
      <c r="A33" s="827"/>
      <c r="B33" s="827"/>
      <c r="C33" s="827"/>
      <c r="D33" s="827"/>
      <c r="E33" s="827"/>
      <c r="F33" s="827"/>
      <c r="G33" s="827"/>
      <c r="H33" s="827"/>
      <c r="I33" s="827"/>
      <c r="J33" s="827"/>
      <c r="K33" s="827"/>
      <c r="L33" s="827"/>
      <c r="M33" s="827"/>
      <c r="N33" s="827"/>
      <c r="O33" s="827"/>
      <c r="P33" s="827"/>
      <c r="Q33" s="827"/>
      <c r="R33" s="827"/>
      <c r="S33" s="827"/>
      <c r="T33" s="827"/>
      <c r="U33" s="827"/>
      <c r="V33" s="1070">
        <f t="shared" si="4"/>
        <v>0.95000000000000029</v>
      </c>
      <c r="W33" s="1071">
        <f t="shared" ca="1" si="3"/>
        <v>1.7616084851221196</v>
      </c>
      <c r="X33" s="827"/>
      <c r="Y33" s="827"/>
      <c r="Z33" s="827"/>
      <c r="AA33" s="827"/>
      <c r="AB33" s="827"/>
      <c r="AC33" s="827"/>
      <c r="AD33" s="827"/>
      <c r="AE33" s="827"/>
      <c r="AF33" s="827"/>
      <c r="AG33" s="827"/>
      <c r="AH33" s="827"/>
      <c r="AI33" s="827"/>
      <c r="AJ33" s="827"/>
      <c r="AK33" s="827"/>
      <c r="AL33" s="827"/>
      <c r="AM33" s="827"/>
      <c r="AN33" s="827"/>
      <c r="AO33" s="827"/>
      <c r="AP33" s="827"/>
      <c r="AQ33" s="827"/>
      <c r="AR33" s="827"/>
      <c r="AS33" s="827"/>
      <c r="AT33" s="827"/>
      <c r="AU33" s="827"/>
      <c r="AV33" s="827"/>
      <c r="AW33" s="827"/>
      <c r="AX33" s="827"/>
      <c r="AY33" s="827"/>
      <c r="AZ33" s="827"/>
      <c r="BA33" s="827"/>
      <c r="BB33" s="827"/>
      <c r="BC33" s="827"/>
      <c r="BD33" s="827"/>
      <c r="BE33" s="827"/>
      <c r="BF33" s="827"/>
      <c r="BG33" s="827"/>
      <c r="BH33" s="827"/>
      <c r="BI33" s="827"/>
      <c r="BJ33" s="827"/>
      <c r="BK33" s="827"/>
      <c r="BL33" s="827"/>
      <c r="BM33" s="827"/>
      <c r="BN33" s="827"/>
      <c r="BO33" s="827"/>
      <c r="BP33" s="827"/>
      <c r="BQ33" s="827"/>
      <c r="BR33" s="827"/>
      <c r="BS33" s="827"/>
      <c r="BT33" s="827"/>
      <c r="BU33" s="827"/>
    </row>
    <row r="34" spans="1:73" x14ac:dyDescent="0.25">
      <c r="A34" s="827"/>
      <c r="B34" s="827"/>
      <c r="C34" s="827"/>
      <c r="D34" s="827"/>
      <c r="E34" s="827"/>
      <c r="F34" s="827"/>
      <c r="G34" s="827"/>
      <c r="H34" s="827"/>
      <c r="I34" s="827"/>
      <c r="J34" s="827"/>
      <c r="K34" s="827"/>
      <c r="L34" s="827"/>
      <c r="M34" s="827"/>
      <c r="N34" s="827"/>
      <c r="O34" s="827"/>
      <c r="P34" s="827"/>
      <c r="Q34" s="827"/>
      <c r="R34" s="827"/>
      <c r="S34" s="827"/>
      <c r="T34" s="827"/>
      <c r="U34" s="827"/>
      <c r="V34" s="832">
        <v>1</v>
      </c>
      <c r="W34" s="841">
        <f ca="1">+MAX(OFFSET($B$251:$B$2250,0,$C$194))*$C$198</f>
        <v>1.7887762870839352</v>
      </c>
      <c r="X34" s="827"/>
      <c r="Y34" s="827"/>
      <c r="Z34" s="827"/>
      <c r="AA34" s="827"/>
      <c r="AB34" s="827"/>
      <c r="AC34" s="827"/>
      <c r="AD34" s="827"/>
      <c r="AE34" s="827"/>
      <c r="AF34" s="827"/>
      <c r="AG34" s="827"/>
      <c r="AH34" s="827"/>
      <c r="AI34" s="827"/>
      <c r="AJ34" s="827"/>
      <c r="AK34" s="827"/>
      <c r="AL34" s="827"/>
      <c r="AM34" s="827"/>
      <c r="AN34" s="827"/>
      <c r="AO34" s="827"/>
      <c r="AP34" s="827"/>
      <c r="AQ34" s="827"/>
      <c r="AR34" s="827"/>
      <c r="AS34" s="827"/>
      <c r="AT34" s="827"/>
      <c r="AU34" s="827"/>
      <c r="AV34" s="827"/>
      <c r="AW34" s="827"/>
      <c r="AX34" s="827"/>
      <c r="AY34" s="827"/>
      <c r="AZ34" s="827"/>
      <c r="BA34" s="827"/>
      <c r="BB34" s="827"/>
      <c r="BC34" s="827"/>
      <c r="BD34" s="827"/>
      <c r="BE34" s="827"/>
      <c r="BF34" s="827"/>
      <c r="BG34" s="827"/>
      <c r="BH34" s="827"/>
      <c r="BI34" s="827"/>
      <c r="BJ34" s="827"/>
      <c r="BK34" s="827"/>
      <c r="BL34" s="827"/>
      <c r="BM34" s="827"/>
      <c r="BN34" s="827"/>
      <c r="BO34" s="827"/>
      <c r="BP34" s="827"/>
      <c r="BQ34" s="827"/>
      <c r="BR34" s="827"/>
      <c r="BS34" s="827"/>
      <c r="BT34" s="827"/>
      <c r="BU34" s="827"/>
    </row>
    <row r="35" spans="1:73" ht="13.8" x14ac:dyDescent="0.3">
      <c r="A35" s="827"/>
      <c r="B35" s="827"/>
      <c r="C35" s="827"/>
      <c r="D35" s="827"/>
      <c r="E35" s="827"/>
      <c r="F35" s="827"/>
      <c r="G35" s="827"/>
      <c r="H35" s="827"/>
      <c r="I35" s="827"/>
      <c r="J35" s="827"/>
      <c r="K35" s="827"/>
      <c r="L35" s="827"/>
      <c r="M35" s="955"/>
      <c r="N35" s="827"/>
      <c r="O35" s="827"/>
      <c r="P35" s="827"/>
      <c r="Q35" s="827"/>
      <c r="R35" s="827"/>
      <c r="S35" s="827"/>
      <c r="T35" s="827"/>
      <c r="U35" s="827"/>
      <c r="V35" s="827"/>
      <c r="W35" s="827"/>
      <c r="X35" s="827"/>
      <c r="Y35" s="827"/>
      <c r="Z35" s="827"/>
      <c r="AA35" s="827"/>
      <c r="AB35" s="827"/>
      <c r="AC35" s="827"/>
      <c r="AD35" s="827"/>
      <c r="AE35" s="827"/>
      <c r="AF35" s="827"/>
      <c r="AG35" s="827"/>
      <c r="AH35" s="827"/>
      <c r="AI35" s="827"/>
      <c r="AJ35" s="827"/>
      <c r="AK35" s="827"/>
      <c r="AL35" s="827"/>
      <c r="AM35" s="827"/>
      <c r="AN35" s="827"/>
      <c r="AO35" s="827"/>
      <c r="AP35" s="827"/>
      <c r="AQ35" s="827"/>
      <c r="AR35" s="827"/>
      <c r="AS35" s="827"/>
      <c r="AT35" s="827"/>
      <c r="AU35" s="827"/>
      <c r="AV35" s="827"/>
      <c r="AW35" s="827"/>
      <c r="AX35" s="827"/>
      <c r="AY35" s="827"/>
      <c r="AZ35" s="827"/>
      <c r="BA35" s="827"/>
      <c r="BB35" s="827"/>
      <c r="BC35" s="827"/>
      <c r="BD35" s="827"/>
      <c r="BE35" s="827"/>
      <c r="BF35" s="827"/>
      <c r="BG35" s="827"/>
      <c r="BH35" s="827"/>
      <c r="BI35" s="827"/>
      <c r="BJ35" s="827"/>
      <c r="BK35" s="827"/>
      <c r="BL35" s="827"/>
      <c r="BM35" s="827"/>
      <c r="BN35" s="827"/>
      <c r="BO35" s="827"/>
      <c r="BP35" s="827"/>
      <c r="BQ35" s="827"/>
      <c r="BR35" s="827"/>
      <c r="BS35" s="827"/>
      <c r="BT35" s="827"/>
      <c r="BU35" s="827"/>
    </row>
    <row r="36" spans="1:73" x14ac:dyDescent="0.25">
      <c r="A36" s="827"/>
      <c r="B36" s="827"/>
      <c r="C36" s="827"/>
      <c r="D36" s="827"/>
      <c r="E36" s="827"/>
      <c r="F36" s="827"/>
      <c r="G36" s="827"/>
      <c r="H36" s="827"/>
      <c r="I36" s="827"/>
      <c r="J36" s="827"/>
      <c r="K36" s="827"/>
      <c r="L36" s="827"/>
      <c r="M36" s="827"/>
      <c r="N36" s="827"/>
      <c r="O36" s="827"/>
      <c r="P36" s="827"/>
      <c r="Q36" s="827"/>
      <c r="R36" s="827"/>
      <c r="S36" s="827"/>
      <c r="T36" s="827"/>
      <c r="U36" s="827"/>
      <c r="V36" s="827"/>
      <c r="W36" s="827"/>
      <c r="X36" s="827"/>
      <c r="Y36" s="827"/>
      <c r="Z36" s="827"/>
      <c r="AA36" s="827"/>
      <c r="AB36" s="827"/>
      <c r="AC36" s="827"/>
      <c r="AD36" s="827"/>
      <c r="AE36" s="827"/>
      <c r="AF36" s="827"/>
      <c r="AG36" s="827"/>
      <c r="AH36" s="827"/>
      <c r="AI36" s="827"/>
      <c r="AJ36" s="827"/>
      <c r="AK36" s="827"/>
      <c r="AL36" s="827"/>
      <c r="AM36" s="827"/>
      <c r="AN36" s="827"/>
      <c r="AO36" s="827"/>
      <c r="AP36" s="827"/>
      <c r="AQ36" s="827"/>
      <c r="AR36" s="827"/>
      <c r="AS36" s="827"/>
      <c r="AT36" s="827"/>
      <c r="AU36" s="827"/>
      <c r="AV36" s="827"/>
      <c r="AW36" s="827"/>
      <c r="AX36" s="827"/>
      <c r="AY36" s="827"/>
      <c r="AZ36" s="827"/>
      <c r="BA36" s="827"/>
      <c r="BB36" s="827"/>
      <c r="BC36" s="827"/>
      <c r="BD36" s="827"/>
      <c r="BE36" s="827"/>
      <c r="BF36" s="827"/>
      <c r="BG36" s="827"/>
      <c r="BH36" s="827"/>
      <c r="BI36" s="827"/>
      <c r="BJ36" s="827"/>
      <c r="BK36" s="827"/>
      <c r="BL36" s="827"/>
      <c r="BM36" s="827"/>
      <c r="BN36" s="827"/>
      <c r="BO36" s="827"/>
      <c r="BP36" s="827"/>
      <c r="BQ36" s="827"/>
      <c r="BR36" s="827"/>
      <c r="BS36" s="827"/>
      <c r="BT36" s="827"/>
      <c r="BU36" s="827"/>
    </row>
    <row r="37" spans="1:73" x14ac:dyDescent="0.25">
      <c r="A37" s="827"/>
      <c r="B37" s="827"/>
      <c r="C37" s="827"/>
      <c r="D37" s="827"/>
      <c r="E37" s="827"/>
      <c r="F37" s="827"/>
      <c r="G37" s="827"/>
      <c r="H37" s="827"/>
      <c r="I37" s="827"/>
      <c r="J37" s="827"/>
      <c r="K37" s="827"/>
      <c r="L37" s="827"/>
      <c r="M37" s="827"/>
      <c r="N37" s="827"/>
      <c r="O37" s="827"/>
      <c r="P37" s="827"/>
      <c r="Q37" s="827"/>
      <c r="R37" s="827"/>
      <c r="S37" s="827"/>
      <c r="T37" s="827"/>
      <c r="U37" s="827"/>
      <c r="V37" s="827"/>
      <c r="W37" s="827"/>
      <c r="X37" s="827"/>
      <c r="Y37" s="827"/>
      <c r="Z37" s="827"/>
      <c r="AA37" s="827"/>
      <c r="AB37" s="827"/>
      <c r="AC37" s="827"/>
      <c r="AD37" s="827"/>
      <c r="AE37" s="827"/>
      <c r="AF37" s="827"/>
      <c r="AG37" s="827"/>
      <c r="AH37" s="827"/>
      <c r="AI37" s="827"/>
      <c r="AJ37" s="827"/>
      <c r="AK37" s="827"/>
      <c r="AL37" s="827"/>
      <c r="AM37" s="827"/>
      <c r="AN37" s="827"/>
      <c r="AO37" s="827"/>
      <c r="AP37" s="827"/>
      <c r="AQ37" s="827"/>
      <c r="AR37" s="827"/>
      <c r="AS37" s="827"/>
      <c r="AT37" s="827"/>
      <c r="AU37" s="827"/>
      <c r="AV37" s="827"/>
      <c r="AW37" s="827"/>
      <c r="AX37" s="827"/>
      <c r="AY37" s="827"/>
      <c r="AZ37" s="827"/>
      <c r="BA37" s="827"/>
      <c r="BB37" s="827"/>
      <c r="BC37" s="827"/>
      <c r="BD37" s="827"/>
      <c r="BE37" s="827"/>
      <c r="BF37" s="827"/>
      <c r="BG37" s="827"/>
      <c r="BH37" s="827"/>
      <c r="BI37" s="827"/>
      <c r="BJ37" s="827"/>
      <c r="BK37" s="827"/>
      <c r="BL37" s="827"/>
      <c r="BM37" s="827"/>
      <c r="BN37" s="827"/>
      <c r="BO37" s="827"/>
      <c r="BP37" s="827"/>
      <c r="BQ37" s="827"/>
      <c r="BR37" s="827"/>
      <c r="BS37" s="827"/>
      <c r="BT37" s="827"/>
      <c r="BU37" s="827"/>
    </row>
    <row r="38" spans="1:73" x14ac:dyDescent="0.25">
      <c r="A38" s="827"/>
      <c r="B38" s="827"/>
      <c r="C38" s="827"/>
      <c r="D38" s="827"/>
      <c r="E38" s="827"/>
      <c r="F38" s="827"/>
      <c r="G38" s="827"/>
      <c r="H38" s="827"/>
      <c r="I38" s="827"/>
      <c r="J38" s="827"/>
      <c r="K38" s="827"/>
      <c r="L38" s="827"/>
      <c r="M38" s="827"/>
      <c r="N38" s="827"/>
      <c r="O38" s="827"/>
      <c r="P38" s="827"/>
      <c r="Q38" s="827"/>
      <c r="R38" s="827"/>
      <c r="S38" s="827"/>
      <c r="T38" s="827"/>
      <c r="U38" s="827"/>
      <c r="V38" s="827"/>
      <c r="W38" s="827"/>
      <c r="X38" s="827"/>
      <c r="Y38" s="827"/>
      <c r="Z38" s="827"/>
      <c r="AA38" s="827"/>
      <c r="AB38" s="827"/>
      <c r="AC38" s="827"/>
      <c r="AD38" s="827"/>
      <c r="AE38" s="827"/>
      <c r="AF38" s="827"/>
      <c r="AG38" s="827"/>
      <c r="AH38" s="827"/>
      <c r="AI38" s="827"/>
      <c r="AJ38" s="827"/>
      <c r="AK38" s="827"/>
      <c r="AL38" s="827"/>
      <c r="AM38" s="827"/>
      <c r="AN38" s="827"/>
      <c r="AO38" s="827"/>
      <c r="AP38" s="827"/>
      <c r="AQ38" s="827"/>
      <c r="AR38" s="827"/>
      <c r="AS38" s="827"/>
      <c r="AT38" s="827"/>
      <c r="AU38" s="827"/>
      <c r="AV38" s="827"/>
      <c r="AW38" s="827"/>
      <c r="AX38" s="827"/>
      <c r="AY38" s="827"/>
      <c r="AZ38" s="827"/>
      <c r="BA38" s="827"/>
      <c r="BB38" s="827"/>
      <c r="BC38" s="827"/>
      <c r="BD38" s="827"/>
      <c r="BE38" s="827"/>
      <c r="BF38" s="827"/>
      <c r="BG38" s="827"/>
      <c r="BH38" s="827"/>
      <c r="BI38" s="827"/>
      <c r="BJ38" s="827"/>
      <c r="BK38" s="827"/>
      <c r="BL38" s="827"/>
      <c r="BM38" s="827"/>
      <c r="BN38" s="827"/>
      <c r="BO38" s="827"/>
      <c r="BP38" s="827"/>
      <c r="BQ38" s="827"/>
      <c r="BR38" s="827"/>
      <c r="BS38" s="827"/>
      <c r="BT38" s="827"/>
      <c r="BU38" s="827"/>
    </row>
    <row r="39" spans="1:73" x14ac:dyDescent="0.25">
      <c r="A39" s="827"/>
      <c r="B39" s="827"/>
      <c r="C39" s="827"/>
      <c r="D39" s="827"/>
      <c r="E39" s="827"/>
      <c r="F39" s="827"/>
      <c r="G39" s="827"/>
      <c r="H39" s="827"/>
      <c r="I39" s="827"/>
      <c r="J39" s="827"/>
      <c r="K39" s="827"/>
      <c r="L39" s="827"/>
      <c r="M39" s="827"/>
      <c r="N39" s="827"/>
      <c r="O39" s="827"/>
      <c r="P39" s="827"/>
      <c r="Q39" s="827"/>
      <c r="R39" s="827"/>
      <c r="S39" s="827"/>
      <c r="T39" s="827"/>
      <c r="U39" s="827"/>
      <c r="V39" s="827"/>
      <c r="W39" s="827"/>
      <c r="X39" s="827"/>
      <c r="Y39" s="827"/>
      <c r="Z39" s="827"/>
      <c r="AA39" s="827"/>
      <c r="AB39" s="827"/>
      <c r="AC39" s="827"/>
      <c r="AD39" s="827"/>
      <c r="AE39" s="827"/>
      <c r="AF39" s="827"/>
      <c r="AG39" s="827"/>
      <c r="AH39" s="827"/>
      <c r="AI39" s="827"/>
      <c r="AJ39" s="827"/>
      <c r="AK39" s="827"/>
      <c r="AL39" s="827"/>
      <c r="AM39" s="827"/>
      <c r="AN39" s="827"/>
      <c r="AO39" s="827"/>
      <c r="AP39" s="827"/>
      <c r="AQ39" s="827"/>
      <c r="AR39" s="827"/>
      <c r="AS39" s="827"/>
      <c r="AT39" s="827"/>
      <c r="AU39" s="827"/>
      <c r="AV39" s="827"/>
      <c r="AW39" s="827"/>
      <c r="AX39" s="827"/>
      <c r="AY39" s="827"/>
      <c r="AZ39" s="827"/>
      <c r="BA39" s="827"/>
      <c r="BB39" s="827"/>
      <c r="BC39" s="827"/>
      <c r="BD39" s="827"/>
      <c r="BE39" s="827"/>
      <c r="BF39" s="827"/>
      <c r="BG39" s="827"/>
      <c r="BH39" s="827"/>
      <c r="BI39" s="827"/>
      <c r="BJ39" s="827"/>
      <c r="BK39" s="827"/>
      <c r="BL39" s="827"/>
      <c r="BM39" s="827"/>
      <c r="BN39" s="827"/>
      <c r="BO39" s="827"/>
      <c r="BP39" s="827"/>
      <c r="BQ39" s="827"/>
      <c r="BR39" s="827"/>
      <c r="BS39" s="827"/>
      <c r="BT39" s="827"/>
      <c r="BU39" s="827"/>
    </row>
    <row r="40" spans="1:73" x14ac:dyDescent="0.25">
      <c r="A40" s="827"/>
      <c r="B40" s="827"/>
      <c r="C40" s="827"/>
      <c r="D40" s="827"/>
      <c r="E40" s="827"/>
      <c r="F40" s="827"/>
      <c r="G40" s="827"/>
      <c r="H40" s="827"/>
      <c r="I40" s="827"/>
      <c r="J40" s="827"/>
      <c r="K40" s="827"/>
      <c r="L40" s="827"/>
      <c r="M40" s="827"/>
      <c r="N40" s="827"/>
      <c r="O40" s="827"/>
      <c r="P40" s="827"/>
      <c r="Q40" s="827"/>
      <c r="R40" s="827"/>
      <c r="S40" s="827"/>
      <c r="T40" s="827"/>
      <c r="U40" s="827"/>
      <c r="V40" s="827"/>
      <c r="W40" s="827"/>
      <c r="X40" s="827"/>
      <c r="Y40" s="827"/>
      <c r="Z40" s="827"/>
      <c r="AA40" s="827"/>
      <c r="AB40" s="827"/>
      <c r="AC40" s="827"/>
      <c r="AD40" s="827"/>
      <c r="AE40" s="827"/>
      <c r="AF40" s="827"/>
      <c r="AG40" s="827"/>
      <c r="AH40" s="827"/>
      <c r="AI40" s="827"/>
      <c r="AJ40" s="827"/>
      <c r="AK40" s="827"/>
      <c r="AL40" s="827"/>
      <c r="AM40" s="827"/>
      <c r="AN40" s="827"/>
      <c r="AO40" s="827"/>
      <c r="AP40" s="827"/>
      <c r="AQ40" s="827"/>
      <c r="AR40" s="827"/>
      <c r="AS40" s="827"/>
      <c r="AT40" s="827"/>
      <c r="AU40" s="827"/>
      <c r="AV40" s="827"/>
      <c r="AW40" s="827"/>
      <c r="AX40" s="827"/>
      <c r="AY40" s="827"/>
      <c r="AZ40" s="827"/>
      <c r="BA40" s="827"/>
      <c r="BB40" s="827"/>
      <c r="BC40" s="827"/>
      <c r="BD40" s="827"/>
      <c r="BE40" s="827"/>
      <c r="BF40" s="827"/>
      <c r="BG40" s="827"/>
      <c r="BH40" s="827"/>
      <c r="BI40" s="827"/>
      <c r="BJ40" s="827"/>
      <c r="BK40" s="827"/>
      <c r="BL40" s="827"/>
      <c r="BM40" s="827"/>
      <c r="BN40" s="827"/>
      <c r="BO40" s="827"/>
      <c r="BP40" s="827"/>
      <c r="BQ40" s="827"/>
      <c r="BR40" s="827"/>
      <c r="BS40" s="827"/>
      <c r="BT40" s="827"/>
      <c r="BU40" s="827"/>
    </row>
    <row r="41" spans="1:73" x14ac:dyDescent="0.25">
      <c r="A41" s="827"/>
      <c r="B41" s="827"/>
      <c r="C41" s="827"/>
      <c r="D41" s="827"/>
      <c r="E41" s="827"/>
      <c r="F41" s="827"/>
      <c r="G41" s="827"/>
      <c r="H41" s="827"/>
      <c r="I41" s="827"/>
      <c r="J41" s="827"/>
      <c r="K41" s="827"/>
      <c r="L41" s="827"/>
      <c r="M41" s="827"/>
      <c r="N41" s="827"/>
      <c r="O41" s="827"/>
      <c r="P41" s="827"/>
      <c r="Q41" s="827"/>
      <c r="R41" s="827"/>
      <c r="S41" s="827"/>
      <c r="T41" s="827"/>
      <c r="U41" s="827"/>
      <c r="V41" s="827"/>
      <c r="W41" s="827"/>
      <c r="X41" s="827"/>
      <c r="Y41" s="827"/>
      <c r="Z41" s="827"/>
      <c r="AA41" s="827"/>
      <c r="AB41" s="827"/>
      <c r="AC41" s="827"/>
      <c r="AD41" s="827"/>
      <c r="AE41" s="827"/>
      <c r="AF41" s="827"/>
      <c r="AG41" s="827"/>
      <c r="AH41" s="827"/>
      <c r="AI41" s="827"/>
      <c r="AJ41" s="827"/>
      <c r="AK41" s="827"/>
      <c r="AL41" s="827"/>
      <c r="AM41" s="827"/>
      <c r="AN41" s="827"/>
      <c r="AO41" s="827"/>
      <c r="AP41" s="827"/>
      <c r="AQ41" s="827"/>
      <c r="AR41" s="827"/>
      <c r="AS41" s="827"/>
      <c r="AT41" s="827"/>
      <c r="AU41" s="827"/>
      <c r="AV41" s="827"/>
      <c r="AW41" s="827"/>
      <c r="AX41" s="827"/>
      <c r="AY41" s="827"/>
      <c r="AZ41" s="827"/>
      <c r="BA41" s="827"/>
      <c r="BB41" s="827"/>
      <c r="BC41" s="827"/>
      <c r="BD41" s="827"/>
      <c r="BE41" s="827"/>
      <c r="BF41" s="827"/>
      <c r="BG41" s="827"/>
      <c r="BH41" s="827"/>
      <c r="BI41" s="827"/>
      <c r="BJ41" s="827"/>
      <c r="BK41" s="827"/>
      <c r="BL41" s="827"/>
      <c r="BM41" s="827"/>
      <c r="BN41" s="827"/>
      <c r="BO41" s="827"/>
      <c r="BP41" s="827"/>
      <c r="BQ41" s="827"/>
      <c r="BR41" s="827"/>
      <c r="BS41" s="827"/>
      <c r="BT41" s="827"/>
      <c r="BU41" s="827"/>
    </row>
    <row r="42" spans="1:73" x14ac:dyDescent="0.25">
      <c r="A42" s="827"/>
      <c r="B42" s="827"/>
      <c r="C42" s="827"/>
      <c r="D42" s="827"/>
      <c r="E42" s="827"/>
      <c r="F42" s="827"/>
      <c r="G42" s="827"/>
      <c r="H42" s="827"/>
      <c r="I42" s="827"/>
      <c r="J42" s="827"/>
      <c r="K42" s="827"/>
      <c r="L42" s="827"/>
      <c r="M42" s="827"/>
      <c r="N42" s="827"/>
      <c r="O42" s="827"/>
      <c r="P42" s="827"/>
      <c r="Q42" s="827"/>
      <c r="R42" s="827"/>
      <c r="S42" s="827"/>
      <c r="T42" s="827"/>
      <c r="U42" s="827"/>
      <c r="V42" s="827"/>
      <c r="W42" s="827"/>
      <c r="X42" s="827"/>
      <c r="Y42" s="827"/>
      <c r="Z42" s="827"/>
      <c r="AA42" s="827"/>
      <c r="AB42" s="827"/>
      <c r="AC42" s="827"/>
      <c r="AD42" s="827"/>
      <c r="AE42" s="827"/>
      <c r="AF42" s="827"/>
      <c r="AG42" s="827"/>
      <c r="AH42" s="827"/>
      <c r="AI42" s="827"/>
      <c r="AJ42" s="827"/>
      <c r="AK42" s="827"/>
      <c r="AL42" s="827"/>
      <c r="AM42" s="827"/>
      <c r="AN42" s="827"/>
      <c r="AO42" s="827"/>
      <c r="AP42" s="827"/>
      <c r="AQ42" s="827"/>
      <c r="AR42" s="827"/>
      <c r="AS42" s="827"/>
      <c r="AT42" s="827"/>
      <c r="AU42" s="827"/>
      <c r="AV42" s="827"/>
      <c r="AW42" s="827"/>
      <c r="AX42" s="827"/>
      <c r="AY42" s="827"/>
      <c r="AZ42" s="827"/>
      <c r="BA42" s="827"/>
      <c r="BB42" s="827"/>
      <c r="BC42" s="827"/>
      <c r="BD42" s="827"/>
      <c r="BE42" s="827"/>
      <c r="BF42" s="827"/>
      <c r="BG42" s="827"/>
      <c r="BH42" s="827"/>
      <c r="BI42" s="827"/>
      <c r="BJ42" s="827"/>
      <c r="BK42" s="827"/>
      <c r="BL42" s="827"/>
      <c r="BM42" s="827"/>
      <c r="BN42" s="827"/>
      <c r="BO42" s="827"/>
      <c r="BP42" s="827"/>
      <c r="BQ42" s="827"/>
      <c r="BR42" s="827"/>
      <c r="BS42" s="827"/>
      <c r="BT42" s="827"/>
      <c r="BU42" s="827"/>
    </row>
    <row r="43" spans="1:73" x14ac:dyDescent="0.25">
      <c r="A43" s="827"/>
      <c r="B43" s="827"/>
      <c r="C43" s="827"/>
      <c r="D43" s="827"/>
      <c r="E43" s="827"/>
      <c r="F43" s="827"/>
      <c r="G43" s="827"/>
      <c r="H43" s="827"/>
      <c r="I43" s="827"/>
      <c r="J43" s="827"/>
      <c r="K43" s="827"/>
      <c r="L43" s="827"/>
      <c r="M43" s="827"/>
      <c r="N43" s="827"/>
      <c r="O43" s="827"/>
      <c r="P43" s="827"/>
      <c r="Q43" s="827"/>
      <c r="R43" s="827"/>
      <c r="S43" s="827"/>
      <c r="T43" s="827"/>
      <c r="U43" s="827"/>
      <c r="V43" s="827"/>
      <c r="W43" s="827"/>
      <c r="X43" s="827"/>
      <c r="Y43" s="827"/>
      <c r="Z43" s="827"/>
      <c r="AA43" s="827"/>
      <c r="AB43" s="827"/>
      <c r="AC43" s="827"/>
      <c r="AD43" s="827"/>
      <c r="AE43" s="827"/>
      <c r="AF43" s="827"/>
      <c r="AG43" s="827"/>
      <c r="AH43" s="827"/>
      <c r="AI43" s="827"/>
      <c r="AJ43" s="827"/>
      <c r="AK43" s="827"/>
      <c r="AL43" s="827"/>
      <c r="AM43" s="827"/>
      <c r="AN43" s="827"/>
      <c r="AO43" s="827"/>
      <c r="AP43" s="827"/>
      <c r="AQ43" s="827"/>
      <c r="AR43" s="827"/>
      <c r="AS43" s="827"/>
      <c r="AT43" s="827"/>
      <c r="AU43" s="827"/>
      <c r="AV43" s="827"/>
      <c r="AW43" s="827"/>
      <c r="AX43" s="827"/>
      <c r="AY43" s="827"/>
      <c r="AZ43" s="827"/>
      <c r="BA43" s="827"/>
      <c r="BB43" s="827"/>
      <c r="BC43" s="827"/>
      <c r="BD43" s="827"/>
      <c r="BE43" s="827"/>
      <c r="BF43" s="827"/>
      <c r="BG43" s="827"/>
      <c r="BH43" s="827"/>
      <c r="BI43" s="827"/>
      <c r="BJ43" s="827"/>
      <c r="BK43" s="827"/>
      <c r="BL43" s="827"/>
      <c r="BM43" s="827"/>
      <c r="BN43" s="827"/>
      <c r="BO43" s="827"/>
      <c r="BP43" s="827"/>
      <c r="BQ43" s="827"/>
      <c r="BR43" s="827"/>
      <c r="BS43" s="827"/>
      <c r="BT43" s="827"/>
      <c r="BU43" s="827"/>
    </row>
    <row r="44" spans="1:73" x14ac:dyDescent="0.25">
      <c r="A44" s="827"/>
      <c r="B44" s="827"/>
      <c r="C44" s="827"/>
      <c r="D44" s="827"/>
      <c r="E44" s="827"/>
      <c r="F44" s="827"/>
      <c r="G44" s="827"/>
      <c r="H44" s="827"/>
      <c r="I44" s="827"/>
      <c r="J44" s="827"/>
      <c r="K44" s="827"/>
      <c r="L44" s="827"/>
      <c r="M44" s="827"/>
      <c r="N44" s="827"/>
      <c r="O44" s="827"/>
      <c r="P44" s="827"/>
      <c r="Q44" s="827"/>
      <c r="R44" s="827"/>
      <c r="S44" s="827"/>
      <c r="T44" s="827"/>
      <c r="U44" s="827"/>
      <c r="V44" s="827"/>
      <c r="W44" s="827"/>
      <c r="X44" s="827"/>
      <c r="Y44" s="827"/>
      <c r="Z44" s="827"/>
      <c r="AA44" s="827"/>
      <c r="AB44" s="827"/>
      <c r="AC44" s="827"/>
      <c r="AD44" s="827"/>
      <c r="AE44" s="827"/>
      <c r="AF44" s="827"/>
      <c r="AG44" s="827"/>
      <c r="AH44" s="827"/>
      <c r="AI44" s="827"/>
      <c r="AJ44" s="827"/>
      <c r="AK44" s="827"/>
      <c r="AL44" s="827"/>
      <c r="AM44" s="827"/>
      <c r="AN44" s="827"/>
      <c r="AO44" s="827"/>
      <c r="AP44" s="827"/>
      <c r="AQ44" s="827"/>
      <c r="AR44" s="827"/>
      <c r="AS44" s="827"/>
      <c r="AT44" s="827"/>
      <c r="AU44" s="827"/>
      <c r="AV44" s="827"/>
      <c r="AW44" s="827"/>
      <c r="AX44" s="827"/>
      <c r="AY44" s="827"/>
      <c r="AZ44" s="827"/>
      <c r="BA44" s="827"/>
      <c r="BB44" s="827"/>
      <c r="BC44" s="827"/>
      <c r="BD44" s="827"/>
      <c r="BE44" s="827"/>
      <c r="BF44" s="827"/>
      <c r="BG44" s="827"/>
      <c r="BH44" s="827"/>
      <c r="BI44" s="827"/>
      <c r="BJ44" s="827"/>
      <c r="BK44" s="827"/>
      <c r="BL44" s="827"/>
      <c r="BM44" s="827"/>
      <c r="BN44" s="827"/>
      <c r="BO44" s="827"/>
      <c r="BP44" s="827"/>
      <c r="BQ44" s="827"/>
      <c r="BR44" s="827"/>
      <c r="BS44" s="827"/>
      <c r="BT44" s="827"/>
      <c r="BU44" s="827"/>
    </row>
    <row r="45" spans="1:73" ht="13.8" thickBot="1" x14ac:dyDescent="0.3">
      <c r="A45" s="827"/>
      <c r="B45" s="922" t="s">
        <v>1216</v>
      </c>
      <c r="C45" s="922"/>
      <c r="D45" s="922"/>
      <c r="E45" s="922"/>
      <c r="F45" s="922"/>
      <c r="G45" s="922"/>
      <c r="H45" s="922"/>
      <c r="I45" s="922"/>
      <c r="J45" s="922"/>
      <c r="K45" s="922"/>
      <c r="L45" s="922"/>
      <c r="M45" s="922"/>
      <c r="N45" s="922"/>
      <c r="O45" s="922"/>
      <c r="P45" s="922"/>
      <c r="Q45" s="922"/>
      <c r="R45" s="922"/>
      <c r="S45" s="922"/>
      <c r="T45" s="922"/>
      <c r="U45" s="922"/>
      <c r="V45" s="922"/>
      <c r="W45" s="922"/>
      <c r="X45" s="922"/>
      <c r="Y45" s="827"/>
      <c r="Z45" s="827"/>
      <c r="AA45" s="827"/>
      <c r="AB45" s="827"/>
      <c r="AC45" s="827"/>
      <c r="AD45" s="827"/>
      <c r="AE45" s="827"/>
      <c r="AF45" s="827"/>
      <c r="AG45" s="827"/>
      <c r="AH45" s="827"/>
      <c r="AI45" s="827"/>
      <c r="AJ45" s="827"/>
      <c r="AK45" s="827"/>
      <c r="AL45" s="827"/>
      <c r="AM45" s="827"/>
      <c r="AN45" s="827"/>
      <c r="AO45" s="827"/>
      <c r="AP45" s="827"/>
      <c r="AQ45" s="827"/>
      <c r="AR45" s="827"/>
      <c r="AS45" s="827"/>
      <c r="AT45" s="827"/>
      <c r="AU45" s="827"/>
      <c r="AV45" s="827"/>
      <c r="AW45" s="827"/>
      <c r="AX45" s="827"/>
      <c r="AY45" s="827"/>
      <c r="AZ45" s="827"/>
      <c r="BA45" s="827"/>
      <c r="BB45" s="827"/>
      <c r="BC45" s="827"/>
      <c r="BD45" s="827"/>
      <c r="BE45" s="827"/>
      <c r="BF45" s="827"/>
      <c r="BG45" s="827"/>
      <c r="BH45" s="827"/>
      <c r="BI45" s="827"/>
      <c r="BJ45" s="827"/>
      <c r="BK45" s="827"/>
      <c r="BL45" s="827"/>
      <c r="BM45" s="827"/>
      <c r="BN45" s="827"/>
      <c r="BO45" s="827"/>
      <c r="BP45" s="827"/>
      <c r="BQ45" s="827"/>
      <c r="BR45" s="827"/>
      <c r="BS45" s="827"/>
      <c r="BT45" s="827"/>
      <c r="BU45" s="827"/>
    </row>
    <row r="46" spans="1:73" ht="13.8" thickTop="1" x14ac:dyDescent="0.25">
      <c r="A46" s="827"/>
      <c r="B46" s="827"/>
      <c r="C46" s="827"/>
      <c r="D46" s="827"/>
      <c r="E46" s="827"/>
      <c r="F46" s="827"/>
      <c r="G46" s="827"/>
      <c r="H46" s="827"/>
      <c r="I46" s="827"/>
      <c r="J46" s="827"/>
      <c r="K46" s="827"/>
      <c r="L46" s="827"/>
      <c r="M46" s="827"/>
      <c r="N46" s="827"/>
      <c r="O46" s="827"/>
      <c r="P46" s="827"/>
      <c r="Q46" s="827"/>
      <c r="R46" s="827"/>
      <c r="S46" s="827"/>
      <c r="T46" s="827"/>
      <c r="U46" s="827"/>
      <c r="V46" s="827"/>
      <c r="W46" s="827"/>
      <c r="X46" s="827"/>
      <c r="Y46" s="827"/>
      <c r="Z46" s="827"/>
      <c r="AA46" s="827"/>
      <c r="AB46" s="827"/>
      <c r="AC46" s="827"/>
      <c r="AD46" s="827"/>
      <c r="AE46" s="827"/>
      <c r="AF46" s="827"/>
      <c r="AG46" s="827"/>
      <c r="AH46" s="827"/>
      <c r="AI46" s="827"/>
      <c r="AJ46" s="827"/>
      <c r="AK46" s="827"/>
      <c r="AL46" s="827"/>
      <c r="AM46" s="827"/>
      <c r="AN46" s="827"/>
      <c r="AO46" s="827"/>
      <c r="AP46" s="827"/>
      <c r="AQ46" s="827"/>
      <c r="AR46" s="827"/>
      <c r="AS46" s="827"/>
      <c r="AT46" s="827"/>
      <c r="AU46" s="827"/>
      <c r="AV46" s="827"/>
      <c r="AW46" s="827"/>
      <c r="AX46" s="827"/>
      <c r="AY46" s="827"/>
      <c r="AZ46" s="827"/>
      <c r="BA46" s="827"/>
      <c r="BB46" s="827"/>
      <c r="BC46" s="827"/>
      <c r="BD46" s="827"/>
      <c r="BE46" s="827"/>
      <c r="BF46" s="827"/>
      <c r="BG46" s="827"/>
      <c r="BH46" s="827"/>
      <c r="BI46" s="827"/>
      <c r="BJ46" s="827"/>
      <c r="BK46" s="827"/>
      <c r="BL46" s="827"/>
      <c r="BM46" s="827"/>
      <c r="BN46" s="827"/>
      <c r="BO46" s="827"/>
      <c r="BP46" s="827"/>
      <c r="BQ46" s="827"/>
      <c r="BR46" s="827"/>
      <c r="BS46" s="827"/>
      <c r="BT46" s="827"/>
      <c r="BU46" s="827"/>
    </row>
    <row r="47" spans="1:73" x14ac:dyDescent="0.25">
      <c r="A47" s="827"/>
      <c r="B47" s="828" t="s">
        <v>1124</v>
      </c>
      <c r="C47" s="827"/>
      <c r="D47" s="827"/>
      <c r="E47" s="827"/>
      <c r="F47" s="827"/>
      <c r="G47" s="827"/>
      <c r="H47" s="827"/>
      <c r="I47" s="827"/>
      <c r="J47" s="827"/>
      <c r="K47" s="827"/>
      <c r="L47" s="827"/>
      <c r="M47" s="827"/>
      <c r="N47" s="827"/>
      <c r="O47" s="827"/>
      <c r="P47" s="827"/>
      <c r="Q47" s="827"/>
      <c r="R47" s="827"/>
      <c r="S47" s="827"/>
      <c r="T47" s="827"/>
      <c r="U47" s="827"/>
      <c r="V47" s="827"/>
      <c r="W47" s="827"/>
      <c r="X47" s="827"/>
      <c r="Y47" s="827"/>
      <c r="Z47" s="827"/>
      <c r="AA47" s="827"/>
      <c r="AB47" s="827"/>
      <c r="AC47" s="827"/>
      <c r="AD47" s="827"/>
      <c r="AE47" s="827"/>
      <c r="AF47" s="827"/>
      <c r="AG47" s="827"/>
      <c r="AH47" s="827"/>
      <c r="AI47" s="827"/>
      <c r="AJ47" s="827"/>
      <c r="AK47" s="827"/>
      <c r="AL47" s="827"/>
      <c r="AM47" s="827"/>
      <c r="AN47" s="827"/>
      <c r="AO47" s="827"/>
      <c r="AP47" s="827"/>
      <c r="AQ47" s="827"/>
      <c r="AR47" s="827"/>
      <c r="AS47" s="827"/>
      <c r="AT47" s="827"/>
      <c r="AU47" s="827"/>
      <c r="AV47" s="827"/>
      <c r="AW47" s="827"/>
      <c r="AX47" s="827"/>
      <c r="AY47" s="827"/>
      <c r="AZ47" s="827"/>
      <c r="BA47" s="827"/>
      <c r="BB47" s="827"/>
      <c r="BC47" s="827"/>
      <c r="BD47" s="827"/>
      <c r="BE47" s="827"/>
      <c r="BF47" s="827"/>
      <c r="BG47" s="827"/>
      <c r="BH47" s="827"/>
      <c r="BI47" s="827"/>
      <c r="BJ47" s="827"/>
      <c r="BK47" s="827"/>
      <c r="BL47" s="827"/>
      <c r="BM47" s="827"/>
      <c r="BN47" s="827"/>
      <c r="BO47" s="827"/>
      <c r="BP47" s="827"/>
      <c r="BQ47" s="827"/>
      <c r="BR47" s="827"/>
      <c r="BS47" s="827"/>
      <c r="BT47" s="827"/>
      <c r="BU47" s="827"/>
    </row>
    <row r="48" spans="1:73" x14ac:dyDescent="0.25">
      <c r="A48" s="827"/>
      <c r="B48" s="830">
        <v>1</v>
      </c>
      <c r="C48" s="832">
        <f t="shared" ref="C48:E48" ca="1" si="5">+OFFSET(C50,$B$48,0)</f>
        <v>1</v>
      </c>
      <c r="D48" s="832">
        <f t="shared" ca="1" si="5"/>
        <v>1</v>
      </c>
      <c r="E48" s="832">
        <f t="shared" ca="1" si="5"/>
        <v>1</v>
      </c>
      <c r="F48" s="832">
        <f ca="1">+OFFSET(F50,$B$48,0)</f>
        <v>1</v>
      </c>
      <c r="G48" s="832">
        <f ca="1">+OFFSET(G50,$B$48,0)</f>
        <v>1</v>
      </c>
      <c r="H48" s="832">
        <f ca="1">+OFFSET(H50,$B$48,0)</f>
        <v>1</v>
      </c>
      <c r="I48" s="832">
        <f ca="1">+OFFSET(I50,$B$48,0)</f>
        <v>1</v>
      </c>
      <c r="J48" s="827"/>
      <c r="K48" s="843">
        <f ca="1">+'Cash Flow Analysis'!F118</f>
        <v>1.7362347671368916</v>
      </c>
      <c r="L48" s="843">
        <f ca="1">+'Cash Flow Analysis'!Q118</f>
        <v>0</v>
      </c>
      <c r="M48" s="843">
        <f ca="1">+'Cash Flow Analysis'!L118</f>
        <v>1.385542706505071E-3</v>
      </c>
      <c r="N48" s="843">
        <f ca="1">+'Cash Flow Analysis'!H117</f>
        <v>0.13957089196592026</v>
      </c>
      <c r="O48" s="843">
        <f ca="1">+'Cash Flow Analysis'!I117</f>
        <v>1.783617240376029E-2</v>
      </c>
      <c r="P48" s="843">
        <f ca="1">+'Cash Flow Analysis'!J117</f>
        <v>1.982055177363554E-2</v>
      </c>
      <c r="Q48" s="843">
        <f ca="1">+'Cash Flow Analysis'!K117</f>
        <v>2.1621130547425983E-3</v>
      </c>
      <c r="R48" s="843">
        <f ca="1">+'Cash Flow Analysis'!M117</f>
        <v>1.3770101206159633E-3</v>
      </c>
      <c r="S48" s="843">
        <f ca="1">+'Cash Flow Analysis'!N117</f>
        <v>0.15273691382688664</v>
      </c>
      <c r="T48" s="843">
        <f ca="1">+'Cash Flow Analysis'!O117</f>
        <v>1.0713620728484385</v>
      </c>
      <c r="U48" s="843">
        <f ca="1">+'Cash Flow Analysis'!P117</f>
        <v>2.3322527898303188E-2</v>
      </c>
      <c r="V48" s="843">
        <f ca="1">+'Cash Flow Analysis'!R117</f>
        <v>0.20589836998997063</v>
      </c>
      <c r="W48" s="843">
        <f ca="1">+'Cash Flow Analysis'!S117</f>
        <v>8.3427811068748803E-2</v>
      </c>
      <c r="X48" s="843">
        <f ca="1">+'Cash Flow Analysis'!X117</f>
        <v>1.6358107275320492E-2</v>
      </c>
      <c r="Y48" s="843">
        <f ca="1">+'Cash Flow Analysis'!Z117</f>
        <v>3.7477676170523879E-3</v>
      </c>
      <c r="Z48" s="827"/>
      <c r="AA48" s="827"/>
      <c r="AB48" s="827"/>
      <c r="AC48" s="827"/>
      <c r="AD48" s="827"/>
      <c r="AE48" s="827"/>
      <c r="AF48" s="827"/>
      <c r="AG48" s="827"/>
      <c r="AH48" s="827"/>
      <c r="AI48" s="827"/>
      <c r="AJ48" s="827"/>
      <c r="AK48" s="827"/>
      <c r="AL48" s="827"/>
      <c r="AM48" s="827"/>
      <c r="AN48" s="827"/>
      <c r="AO48" s="827"/>
      <c r="AP48" s="827"/>
      <c r="AQ48" s="827"/>
      <c r="AR48" s="827"/>
      <c r="AS48" s="827"/>
      <c r="AT48" s="827"/>
      <c r="AU48" s="827"/>
      <c r="AV48" s="827"/>
      <c r="AW48" s="827"/>
      <c r="AX48" s="827"/>
      <c r="AY48" s="827"/>
      <c r="AZ48" s="827"/>
      <c r="BA48" s="827"/>
      <c r="BB48" s="827"/>
      <c r="BC48" s="827"/>
      <c r="BD48" s="827"/>
      <c r="BE48" s="827"/>
      <c r="BF48" s="827"/>
      <c r="BG48" s="827"/>
      <c r="BH48" s="827"/>
      <c r="BI48" s="827"/>
      <c r="BJ48" s="827"/>
      <c r="BK48" s="827"/>
      <c r="BL48" s="827"/>
      <c r="BM48" s="827"/>
      <c r="BN48" s="827"/>
      <c r="BO48" s="827"/>
      <c r="BP48" s="827"/>
      <c r="BQ48" s="827"/>
      <c r="BR48" s="827"/>
      <c r="BS48" s="827"/>
      <c r="BT48" s="827"/>
      <c r="BU48" s="827"/>
    </row>
    <row r="49" spans="1:73" x14ac:dyDescent="0.25">
      <c r="A49" s="827"/>
      <c r="B49" s="829"/>
      <c r="C49" s="829"/>
      <c r="D49" s="829"/>
      <c r="E49" s="829"/>
      <c r="F49" s="829"/>
      <c r="G49" s="829"/>
      <c r="H49" s="829"/>
      <c r="I49" s="829"/>
      <c r="J49" s="829"/>
      <c r="K49" s="829"/>
      <c r="L49" s="829"/>
      <c r="M49" s="829"/>
      <c r="N49" s="827"/>
      <c r="O49" s="827"/>
      <c r="P49" s="827"/>
      <c r="Q49" s="827"/>
      <c r="R49" s="827"/>
      <c r="S49" s="827"/>
      <c r="T49" s="827"/>
      <c r="U49" s="827"/>
      <c r="V49" s="827"/>
      <c r="W49" s="827"/>
      <c r="X49" s="827"/>
      <c r="Y49" s="827"/>
      <c r="Z49" s="827"/>
      <c r="AA49" s="827"/>
      <c r="AB49" s="827"/>
      <c r="AC49" s="827"/>
      <c r="AD49" s="827"/>
      <c r="AE49" s="827"/>
      <c r="AF49" s="827"/>
      <c r="AG49" s="827"/>
      <c r="AH49" s="827"/>
      <c r="AI49" s="827"/>
      <c r="AJ49" s="827"/>
      <c r="AK49" s="827"/>
      <c r="AL49" s="827"/>
      <c r="AM49" s="827"/>
      <c r="AN49" s="827"/>
      <c r="AO49" s="827"/>
      <c r="AP49" s="827"/>
      <c r="AQ49" s="827"/>
      <c r="AR49" s="827"/>
      <c r="AS49" s="827"/>
      <c r="AT49" s="827"/>
      <c r="AU49" s="827"/>
      <c r="AV49" s="827"/>
      <c r="AW49" s="827"/>
      <c r="AX49" s="827"/>
      <c r="AY49" s="827"/>
      <c r="AZ49" s="827"/>
      <c r="BA49" s="827"/>
      <c r="BB49" s="827"/>
      <c r="BC49" s="827"/>
      <c r="BD49" s="827"/>
      <c r="BE49" s="827"/>
      <c r="BF49" s="827"/>
      <c r="BG49" s="827"/>
      <c r="BH49" s="827"/>
      <c r="BI49" s="827"/>
      <c r="BJ49" s="827"/>
      <c r="BK49" s="827"/>
      <c r="BL49" s="827"/>
      <c r="BM49" s="827"/>
      <c r="BN49" s="827"/>
      <c r="BO49" s="827"/>
      <c r="BP49" s="827"/>
      <c r="BQ49" s="827"/>
      <c r="BR49" s="827"/>
      <c r="BS49" s="827"/>
      <c r="BT49" s="827"/>
      <c r="BU49" s="827"/>
    </row>
    <row r="50" spans="1:73" ht="52.8" x14ac:dyDescent="0.25">
      <c r="A50" s="827"/>
      <c r="B50" s="838" t="s">
        <v>1108</v>
      </c>
      <c r="C50" s="838" t="s">
        <v>1217</v>
      </c>
      <c r="D50" s="838" t="s">
        <v>1218</v>
      </c>
      <c r="E50" s="838" t="s">
        <v>1219</v>
      </c>
      <c r="F50" s="838" t="s">
        <v>1220</v>
      </c>
      <c r="G50" s="838" t="s">
        <v>1221</v>
      </c>
      <c r="H50" s="838" t="s">
        <v>1237</v>
      </c>
      <c r="I50" s="838" t="s">
        <v>1236</v>
      </c>
      <c r="J50" s="827"/>
      <c r="K50" s="838" t="s">
        <v>1238</v>
      </c>
      <c r="L50" s="838" t="s">
        <v>1222</v>
      </c>
      <c r="M50" s="838" t="s">
        <v>1223</v>
      </c>
      <c r="N50" s="838" t="s">
        <v>1224</v>
      </c>
      <c r="O50" s="838" t="s">
        <v>1225</v>
      </c>
      <c r="P50" s="838" t="s">
        <v>1226</v>
      </c>
      <c r="Q50" s="838" t="s">
        <v>1227</v>
      </c>
      <c r="R50" s="838" t="s">
        <v>1228</v>
      </c>
      <c r="S50" s="838" t="s">
        <v>1229</v>
      </c>
      <c r="T50" s="838" t="s">
        <v>1230</v>
      </c>
      <c r="U50" s="838" t="s">
        <v>1231</v>
      </c>
      <c r="V50" s="838" t="s">
        <v>1232</v>
      </c>
      <c r="W50" s="838" t="s">
        <v>1233</v>
      </c>
      <c r="X50" s="838" t="s">
        <v>1234</v>
      </c>
      <c r="Y50" s="838" t="s">
        <v>1235</v>
      </c>
      <c r="Z50" s="827"/>
      <c r="AA50" s="827"/>
      <c r="AB50" s="827"/>
      <c r="AC50" s="827"/>
      <c r="AD50" s="827"/>
      <c r="AE50" s="827"/>
      <c r="AF50" s="827"/>
      <c r="AG50" s="827"/>
      <c r="AH50" s="827"/>
      <c r="AI50" s="827"/>
      <c r="AJ50" s="827"/>
      <c r="AK50" s="827"/>
      <c r="AL50" s="827"/>
      <c r="AM50" s="827"/>
      <c r="AN50" s="827"/>
      <c r="AO50" s="827"/>
      <c r="AP50" s="827"/>
      <c r="AQ50" s="827"/>
      <c r="AR50" s="827"/>
      <c r="AS50" s="827"/>
      <c r="AT50" s="827"/>
      <c r="AU50" s="827"/>
      <c r="AV50" s="827"/>
      <c r="AW50" s="827"/>
      <c r="AX50" s="827"/>
      <c r="AY50" s="827"/>
      <c r="AZ50" s="827"/>
      <c r="BA50" s="827"/>
      <c r="BB50" s="827"/>
      <c r="BC50" s="827"/>
      <c r="BD50" s="827"/>
      <c r="BE50" s="827"/>
      <c r="BF50" s="827"/>
      <c r="BG50" s="827"/>
      <c r="BH50" s="827"/>
      <c r="BI50" s="827"/>
      <c r="BJ50" s="827"/>
      <c r="BK50" s="827"/>
      <c r="BL50" s="827"/>
      <c r="BM50" s="827"/>
      <c r="BN50" s="827"/>
      <c r="BO50" s="827"/>
      <c r="BP50" s="827"/>
      <c r="BQ50" s="827"/>
      <c r="BR50" s="827"/>
      <c r="BS50" s="827"/>
      <c r="BT50" s="827"/>
      <c r="BU50" s="827"/>
    </row>
    <row r="51" spans="1:73" x14ac:dyDescent="0.25">
      <c r="A51" s="827"/>
      <c r="B51" s="839">
        <v>1</v>
      </c>
      <c r="C51" s="832">
        <v>1</v>
      </c>
      <c r="D51" s="832">
        <v>1</v>
      </c>
      <c r="E51" s="832">
        <v>1</v>
      </c>
      <c r="F51" s="832">
        <v>1</v>
      </c>
      <c r="G51" s="832">
        <v>1</v>
      </c>
      <c r="H51" s="832">
        <v>1</v>
      </c>
      <c r="I51" s="832">
        <v>1</v>
      </c>
      <c r="J51" s="827"/>
      <c r="K51" s="844">
        <v>1.7365211887771219</v>
      </c>
      <c r="L51" s="845">
        <v>0</v>
      </c>
      <c r="M51" s="845">
        <v>1.385542706505071E-3</v>
      </c>
      <c r="N51" s="845">
        <v>0.13957089196592026</v>
      </c>
      <c r="O51" s="845">
        <v>1.783617240376029E-2</v>
      </c>
      <c r="P51" s="845">
        <v>1.982439028379392E-2</v>
      </c>
      <c r="Q51" s="845">
        <v>2.1621130547425983E-3</v>
      </c>
      <c r="R51" s="845">
        <v>1.3770101206159633E-3</v>
      </c>
      <c r="S51" s="845">
        <v>0.15273691382688664</v>
      </c>
      <c r="T51" s="845">
        <v>1.0713620728484385</v>
      </c>
      <c r="U51" s="845">
        <v>2.3322527898303188E-2</v>
      </c>
      <c r="V51" s="845">
        <v>0.20617962261571299</v>
      </c>
      <c r="W51" s="845">
        <v>8.3427811068748803E-2</v>
      </c>
      <c r="X51" s="845">
        <v>1.6359437779649533E-2</v>
      </c>
      <c r="Y51" s="845">
        <v>3.7477676170523879E-3</v>
      </c>
      <c r="Z51" s="954"/>
      <c r="AA51" s="827"/>
      <c r="AB51" s="827"/>
      <c r="AC51" s="827"/>
      <c r="AD51" s="827"/>
      <c r="AE51" s="827"/>
      <c r="AF51" s="827"/>
      <c r="AG51" s="827"/>
      <c r="AH51" s="827"/>
      <c r="AI51" s="827"/>
      <c r="AJ51" s="827"/>
      <c r="AK51" s="827"/>
      <c r="AL51" s="827"/>
      <c r="AM51" s="827"/>
      <c r="AN51" s="827"/>
      <c r="AO51" s="827"/>
      <c r="AP51" s="827"/>
      <c r="AQ51" s="827"/>
      <c r="AR51" s="827"/>
      <c r="AS51" s="827"/>
      <c r="AT51" s="827"/>
      <c r="AU51" s="827"/>
      <c r="AV51" s="827"/>
      <c r="AW51" s="827"/>
      <c r="AX51" s="827"/>
      <c r="AY51" s="827"/>
      <c r="AZ51" s="827"/>
      <c r="BA51" s="827"/>
      <c r="BB51" s="827"/>
      <c r="BC51" s="827"/>
      <c r="BD51" s="827"/>
      <c r="BE51" s="827"/>
      <c r="BF51" s="827"/>
      <c r="BG51" s="827"/>
      <c r="BH51" s="827"/>
      <c r="BI51" s="827"/>
      <c r="BJ51" s="827"/>
      <c r="BK51" s="827"/>
      <c r="BL51" s="827"/>
      <c r="BM51" s="827"/>
      <c r="BN51" s="827"/>
      <c r="BO51" s="827"/>
      <c r="BP51" s="827"/>
      <c r="BQ51" s="827"/>
      <c r="BR51" s="827"/>
      <c r="BS51" s="827"/>
      <c r="BT51" s="827"/>
      <c r="BU51" s="827"/>
    </row>
    <row r="52" spans="1:73" x14ac:dyDescent="0.25">
      <c r="A52" s="827"/>
      <c r="B52" s="846">
        <f>+B51+1</f>
        <v>2</v>
      </c>
      <c r="C52" s="847">
        <f>+F3</f>
        <v>1.05</v>
      </c>
      <c r="D52" s="847">
        <v>1</v>
      </c>
      <c r="E52" s="847">
        <v>1</v>
      </c>
      <c r="F52" s="847">
        <v>1</v>
      </c>
      <c r="G52" s="847">
        <v>1</v>
      </c>
      <c r="H52" s="847">
        <v>1</v>
      </c>
      <c r="I52" s="847">
        <v>1</v>
      </c>
      <c r="J52" s="827"/>
      <c r="K52" s="844">
        <v>1.7105620579941494</v>
      </c>
      <c r="L52" s="845">
        <v>0</v>
      </c>
      <c r="M52" s="845">
        <v>1.3195644823857818E-3</v>
      </c>
      <c r="N52" s="845">
        <v>0.13292465901516215</v>
      </c>
      <c r="O52" s="845">
        <v>1.6986830860724087E-2</v>
      </c>
      <c r="P52" s="845">
        <v>1.9640011225214891E-2</v>
      </c>
      <c r="Q52" s="845">
        <v>2.0591552902310458E-3</v>
      </c>
      <c r="R52" s="845">
        <v>1.3114382101104415E-3</v>
      </c>
      <c r="S52" s="845">
        <v>0.14546372745417774</v>
      </c>
      <c r="T52" s="845">
        <v>1.0713620728484385</v>
      </c>
      <c r="U52" s="845">
        <v>2.2211931331717321E-2</v>
      </c>
      <c r="V52" s="845">
        <v>0.20105371241426109</v>
      </c>
      <c r="W52" s="845">
        <v>7.9455058160713146E-2</v>
      </c>
      <c r="X52" s="845">
        <v>1.5843723173352409E-2</v>
      </c>
      <c r="Y52" s="845">
        <v>3.569302492430846E-3</v>
      </c>
      <c r="Z52" s="954"/>
      <c r="AA52" s="827"/>
      <c r="AB52" s="827"/>
      <c r="AC52" s="827"/>
      <c r="AD52" s="827"/>
      <c r="AE52" s="827"/>
      <c r="AF52" s="827"/>
      <c r="AG52" s="827"/>
      <c r="AH52" s="827"/>
      <c r="AI52" s="827"/>
      <c r="AJ52" s="827"/>
      <c r="AK52" s="827"/>
      <c r="AL52" s="827"/>
      <c r="AM52" s="827"/>
      <c r="AN52" s="827"/>
      <c r="AO52" s="827"/>
      <c r="AP52" s="827"/>
      <c r="AQ52" s="827"/>
      <c r="AR52" s="827"/>
      <c r="AS52" s="827"/>
      <c r="AT52" s="827"/>
      <c r="AU52" s="827"/>
      <c r="AV52" s="827"/>
      <c r="AW52" s="827"/>
      <c r="AX52" s="827"/>
      <c r="AY52" s="827"/>
      <c r="AZ52" s="827"/>
      <c r="BA52" s="827"/>
      <c r="BB52" s="827"/>
      <c r="BC52" s="827"/>
      <c r="BD52" s="827"/>
      <c r="BE52" s="827"/>
      <c r="BF52" s="827"/>
      <c r="BG52" s="827"/>
      <c r="BH52" s="827"/>
      <c r="BI52" s="827"/>
      <c r="BJ52" s="827"/>
      <c r="BK52" s="827"/>
      <c r="BL52" s="827"/>
      <c r="BM52" s="827"/>
      <c r="BN52" s="827"/>
      <c r="BO52" s="827"/>
      <c r="BP52" s="827"/>
      <c r="BQ52" s="827"/>
      <c r="BR52" s="827"/>
      <c r="BS52" s="827"/>
      <c r="BT52" s="827"/>
      <c r="BU52" s="827"/>
    </row>
    <row r="53" spans="1:73" x14ac:dyDescent="0.25">
      <c r="A53" s="827"/>
      <c r="B53" s="846">
        <f t="shared" ref="B53:B70" si="6">+B52+1</f>
        <v>3</v>
      </c>
      <c r="C53" s="847">
        <f>+G3</f>
        <v>0.95</v>
      </c>
      <c r="D53" s="847">
        <v>1</v>
      </c>
      <c r="E53" s="847">
        <v>1</v>
      </c>
      <c r="F53" s="847">
        <v>1</v>
      </c>
      <c r="G53" s="847">
        <v>1</v>
      </c>
      <c r="H53" s="847">
        <v>1</v>
      </c>
      <c r="I53" s="847">
        <v>1</v>
      </c>
      <c r="J53" s="827"/>
      <c r="K53" s="844">
        <v>1.7652104581418571</v>
      </c>
      <c r="L53" s="845">
        <v>0</v>
      </c>
      <c r="M53" s="845">
        <v>1.4584660068474428E-3</v>
      </c>
      <c r="N53" s="845">
        <v>0.14691672838517919</v>
      </c>
      <c r="O53" s="845">
        <v>1.8774918319747674E-2</v>
      </c>
      <c r="P53" s="845">
        <v>2.0028145480361491E-2</v>
      </c>
      <c r="Q53" s="845">
        <v>2.2759084786764189E-3</v>
      </c>
      <c r="R53" s="845">
        <v>1.4494843374904876E-3</v>
      </c>
      <c r="S53" s="845">
        <v>0.16077569876514383</v>
      </c>
      <c r="T53" s="845">
        <v>1.0713620728484379</v>
      </c>
      <c r="U53" s="845">
        <v>2.4550029366634932E-2</v>
      </c>
      <c r="V53" s="845">
        <v>0.2118427441509734</v>
      </c>
      <c r="W53" s="845">
        <v>8.7818748493419793E-2</v>
      </c>
      <c r="X53" s="845">
        <v>1.6929426978371711E-2</v>
      </c>
      <c r="Y53" s="845">
        <v>3.9450185442656714E-3</v>
      </c>
      <c r="Z53" s="954"/>
      <c r="AA53" s="827"/>
      <c r="AB53" s="827"/>
      <c r="AC53" s="827"/>
      <c r="AD53" s="827"/>
      <c r="AE53" s="827"/>
      <c r="AF53" s="827"/>
      <c r="AG53" s="827"/>
      <c r="AH53" s="827"/>
      <c r="AI53" s="827"/>
      <c r="AJ53" s="827"/>
      <c r="AK53" s="827"/>
      <c r="AL53" s="827"/>
      <c r="AM53" s="827"/>
      <c r="AN53" s="827"/>
      <c r="AO53" s="827"/>
      <c r="AP53" s="827"/>
      <c r="AQ53" s="827"/>
      <c r="AR53" s="827"/>
      <c r="AS53" s="827"/>
      <c r="AT53" s="827"/>
      <c r="AU53" s="827"/>
      <c r="AV53" s="827"/>
      <c r="AW53" s="827"/>
      <c r="AX53" s="827"/>
      <c r="AY53" s="827"/>
      <c r="AZ53" s="827"/>
      <c r="BA53" s="827"/>
      <c r="BB53" s="827"/>
      <c r="BC53" s="827"/>
      <c r="BD53" s="827"/>
      <c r="BE53" s="827"/>
      <c r="BF53" s="827"/>
      <c r="BG53" s="827"/>
      <c r="BH53" s="827"/>
      <c r="BI53" s="827"/>
      <c r="BJ53" s="827"/>
      <c r="BK53" s="827"/>
      <c r="BL53" s="827"/>
      <c r="BM53" s="827"/>
      <c r="BN53" s="827"/>
      <c r="BO53" s="827"/>
      <c r="BP53" s="827"/>
      <c r="BQ53" s="827"/>
      <c r="BR53" s="827"/>
      <c r="BS53" s="827"/>
      <c r="BT53" s="827"/>
      <c r="BU53" s="827"/>
    </row>
    <row r="54" spans="1:73" x14ac:dyDescent="0.25">
      <c r="A54" s="827"/>
      <c r="B54" s="839">
        <f t="shared" si="6"/>
        <v>4</v>
      </c>
      <c r="C54" s="832">
        <v>1</v>
      </c>
      <c r="D54" s="832">
        <f>+F4</f>
        <v>1.05</v>
      </c>
      <c r="E54" s="832">
        <v>1</v>
      </c>
      <c r="F54" s="832">
        <v>1</v>
      </c>
      <c r="G54" s="832">
        <v>1</v>
      </c>
      <c r="H54" s="832">
        <v>1</v>
      </c>
      <c r="I54" s="832">
        <v>1</v>
      </c>
      <c r="J54" s="827"/>
      <c r="K54" s="844">
        <v>1.7233721517105773</v>
      </c>
      <c r="L54" s="845">
        <v>0</v>
      </c>
      <c r="M54" s="845">
        <v>1.3553763424064599E-3</v>
      </c>
      <c r="N54" s="845">
        <v>0.13652879549663197</v>
      </c>
      <c r="O54" s="845">
        <v>1.7447414000551512E-2</v>
      </c>
      <c r="P54" s="845">
        <v>1.9722865178135662E-2</v>
      </c>
      <c r="Q54" s="845">
        <v>2.1233538651908896E-3</v>
      </c>
      <c r="R54" s="845">
        <v>1.3469967161940522E-3</v>
      </c>
      <c r="S54" s="845">
        <v>0.14968292148673398</v>
      </c>
      <c r="T54" s="845">
        <v>1.0713620728484385</v>
      </c>
      <c r="U54" s="845">
        <v>2.3322527898303195E-2</v>
      </c>
      <c r="V54" s="845">
        <v>0.20179473857752089</v>
      </c>
      <c r="W54" s="845">
        <v>8.1609412934883926E-2</v>
      </c>
      <c r="X54" s="845">
        <v>1.6120348026265593E-2</v>
      </c>
      <c r="Y54" s="845">
        <v>3.6660810241320543E-3</v>
      </c>
      <c r="Z54" s="954"/>
      <c r="AA54" s="827"/>
      <c r="AB54" s="827"/>
      <c r="AC54" s="827"/>
      <c r="AD54" s="827"/>
      <c r="AE54" s="827"/>
      <c r="AF54" s="827"/>
      <c r="AG54" s="827"/>
      <c r="AH54" s="827"/>
      <c r="AI54" s="827"/>
      <c r="AJ54" s="827"/>
      <c r="AK54" s="827"/>
      <c r="AL54" s="827"/>
      <c r="AM54" s="827"/>
      <c r="AN54" s="827"/>
      <c r="AO54" s="827"/>
      <c r="AP54" s="827"/>
      <c r="AQ54" s="827"/>
      <c r="AR54" s="827"/>
      <c r="AS54" s="827"/>
      <c r="AT54" s="827"/>
      <c r="AU54" s="827"/>
      <c r="AV54" s="827"/>
      <c r="AW54" s="827"/>
      <c r="AX54" s="827"/>
      <c r="AY54" s="827"/>
      <c r="AZ54" s="827"/>
      <c r="BA54" s="827"/>
      <c r="BB54" s="827"/>
      <c r="BC54" s="827"/>
      <c r="BD54" s="827"/>
      <c r="BE54" s="827"/>
      <c r="BF54" s="827"/>
      <c r="BG54" s="827"/>
      <c r="BH54" s="827"/>
      <c r="BI54" s="827"/>
      <c r="BJ54" s="827"/>
      <c r="BK54" s="827"/>
      <c r="BL54" s="827"/>
      <c r="BM54" s="827"/>
      <c r="BN54" s="827"/>
      <c r="BO54" s="827"/>
      <c r="BP54" s="827"/>
      <c r="BQ54" s="827"/>
      <c r="BR54" s="827"/>
      <c r="BS54" s="827"/>
      <c r="BT54" s="827"/>
      <c r="BU54" s="827"/>
    </row>
    <row r="55" spans="1:73" x14ac:dyDescent="0.25">
      <c r="A55" s="827"/>
      <c r="B55" s="839">
        <f t="shared" si="6"/>
        <v>5</v>
      </c>
      <c r="C55" s="832">
        <v>1</v>
      </c>
      <c r="D55" s="832">
        <f>+G4</f>
        <v>0.95</v>
      </c>
      <c r="E55" s="832">
        <v>1</v>
      </c>
      <c r="F55" s="832">
        <v>1</v>
      </c>
      <c r="G55" s="832">
        <v>1</v>
      </c>
      <c r="H55" s="832">
        <v>1</v>
      </c>
      <c r="I55" s="832">
        <v>1</v>
      </c>
      <c r="J55" s="827"/>
      <c r="K55" s="844">
        <v>1.7508387717729852</v>
      </c>
      <c r="L55" s="845">
        <v>0</v>
      </c>
      <c r="M55" s="845">
        <v>1.4181744861070042E-3</v>
      </c>
      <c r="N55" s="845">
        <v>0.14286175498500772</v>
      </c>
      <c r="O55" s="845">
        <v>1.8256721411786511E-2</v>
      </c>
      <c r="P55" s="845">
        <v>1.9935474295222601E-2</v>
      </c>
      <c r="Q55" s="845">
        <v>2.2036793843761625E-3</v>
      </c>
      <c r="R55" s="845">
        <v>1.4094778624138069E-3</v>
      </c>
      <c r="S55" s="845">
        <v>0.15603438067209219</v>
      </c>
      <c r="T55" s="845">
        <v>1.0713620728484379</v>
      </c>
      <c r="U55" s="845">
        <v>2.3322527898303181E-2</v>
      </c>
      <c r="V55" s="845">
        <v>0.21102142559220219</v>
      </c>
      <c r="W55" s="845">
        <v>8.5394908178629034E-2</v>
      </c>
      <c r="X55" s="845">
        <v>1.6618389023381502E-2</v>
      </c>
      <c r="Y55" s="845">
        <v>3.8361341072379119E-3</v>
      </c>
      <c r="Z55" s="954"/>
      <c r="AA55" s="827"/>
      <c r="AB55" s="827"/>
      <c r="AC55" s="827"/>
      <c r="AD55" s="827"/>
      <c r="AE55" s="827"/>
      <c r="AF55" s="827"/>
      <c r="AG55" s="827"/>
      <c r="AH55" s="827"/>
      <c r="AI55" s="827"/>
      <c r="AJ55" s="827"/>
      <c r="AK55" s="827"/>
      <c r="AL55" s="827"/>
      <c r="AM55" s="827"/>
      <c r="AN55" s="827"/>
      <c r="AO55" s="827"/>
      <c r="AP55" s="827"/>
      <c r="AQ55" s="827"/>
      <c r="AR55" s="827"/>
      <c r="AS55" s="827"/>
      <c r="AT55" s="827"/>
      <c r="AU55" s="827"/>
      <c r="AV55" s="827"/>
      <c r="AW55" s="827"/>
      <c r="AX55" s="827"/>
      <c r="AY55" s="827"/>
      <c r="AZ55" s="827"/>
      <c r="BA55" s="827"/>
      <c r="BB55" s="827"/>
      <c r="BC55" s="827"/>
      <c r="BD55" s="827"/>
      <c r="BE55" s="827"/>
      <c r="BF55" s="827"/>
      <c r="BG55" s="827"/>
      <c r="BH55" s="827"/>
      <c r="BI55" s="827"/>
      <c r="BJ55" s="827"/>
      <c r="BK55" s="827"/>
      <c r="BL55" s="827"/>
      <c r="BM55" s="827"/>
      <c r="BN55" s="827"/>
      <c r="BO55" s="827"/>
      <c r="BP55" s="827"/>
      <c r="BQ55" s="827"/>
      <c r="BR55" s="827"/>
      <c r="BS55" s="827"/>
      <c r="BT55" s="827"/>
      <c r="BU55" s="827"/>
    </row>
    <row r="56" spans="1:73" x14ac:dyDescent="0.25">
      <c r="A56" s="827"/>
      <c r="B56" s="846">
        <f t="shared" si="6"/>
        <v>6</v>
      </c>
      <c r="C56" s="847">
        <v>1</v>
      </c>
      <c r="D56" s="847">
        <v>1</v>
      </c>
      <c r="E56" s="847">
        <f>+F5</f>
        <v>0.95</v>
      </c>
      <c r="F56" s="847">
        <v>1</v>
      </c>
      <c r="G56" s="847">
        <v>1</v>
      </c>
      <c r="H56" s="847">
        <v>1</v>
      </c>
      <c r="I56" s="847">
        <v>1</v>
      </c>
      <c r="J56" s="827"/>
      <c r="K56" s="844">
        <v>1.7304926513326406</v>
      </c>
      <c r="L56" s="845">
        <v>0</v>
      </c>
      <c r="M56" s="845">
        <v>1.5387528459614394E-3</v>
      </c>
      <c r="N56" s="845">
        <v>0.13263601708962636</v>
      </c>
      <c r="O56" s="845">
        <v>1.7836172403760283E-2</v>
      </c>
      <c r="P56" s="845">
        <v>1.9140696371379034E-2</v>
      </c>
      <c r="Q56" s="845">
        <v>2.0546838960416374E-3</v>
      </c>
      <c r="R56" s="845">
        <v>1.5292767462651744E-3</v>
      </c>
      <c r="S56" s="845">
        <v>0.15273691382688656</v>
      </c>
      <c r="T56" s="845">
        <v>1.0758459836647856</v>
      </c>
      <c r="U56" s="845">
        <v>2.3322527898303181E-2</v>
      </c>
      <c r="V56" s="845">
        <v>0.20617962261571277</v>
      </c>
      <c r="W56" s="845">
        <v>8.2091691952817042E-2</v>
      </c>
      <c r="X56" s="845">
        <v>1.4495630535635181E-2</v>
      </c>
      <c r="Y56" s="845">
        <v>4.162187177389887E-3</v>
      </c>
      <c r="Z56" s="954"/>
      <c r="AA56" s="827"/>
      <c r="AB56" s="827"/>
      <c r="AC56" s="827"/>
      <c r="AD56" s="827"/>
      <c r="AE56" s="827"/>
      <c r="AF56" s="827"/>
      <c r="AG56" s="827"/>
      <c r="AH56" s="827"/>
      <c r="AI56" s="827"/>
      <c r="AJ56" s="827"/>
      <c r="AK56" s="827"/>
      <c r="AL56" s="827"/>
      <c r="AM56" s="827"/>
      <c r="AN56" s="827"/>
      <c r="AO56" s="827"/>
      <c r="AP56" s="827"/>
      <c r="AQ56" s="827"/>
      <c r="AR56" s="827"/>
      <c r="AS56" s="827"/>
      <c r="AT56" s="827"/>
      <c r="AU56" s="827"/>
      <c r="AV56" s="827"/>
      <c r="AW56" s="827"/>
      <c r="AX56" s="827"/>
      <c r="AY56" s="827"/>
      <c r="AZ56" s="827"/>
      <c r="BA56" s="827"/>
      <c r="BB56" s="827"/>
      <c r="BC56" s="827"/>
      <c r="BD56" s="827"/>
      <c r="BE56" s="827"/>
      <c r="BF56" s="827"/>
      <c r="BG56" s="827"/>
      <c r="BH56" s="827"/>
      <c r="BI56" s="827"/>
      <c r="BJ56" s="827"/>
      <c r="BK56" s="827"/>
      <c r="BL56" s="827"/>
      <c r="BM56" s="827"/>
      <c r="BN56" s="827"/>
      <c r="BO56" s="827"/>
      <c r="BP56" s="827"/>
      <c r="BQ56" s="827"/>
      <c r="BR56" s="827"/>
      <c r="BS56" s="827"/>
      <c r="BT56" s="827"/>
      <c r="BU56" s="827"/>
    </row>
    <row r="57" spans="1:73" x14ac:dyDescent="0.25">
      <c r="A57" s="827"/>
      <c r="B57" s="846">
        <f t="shared" si="6"/>
        <v>7</v>
      </c>
      <c r="C57" s="847">
        <v>1</v>
      </c>
      <c r="D57" s="847">
        <v>1</v>
      </c>
      <c r="E57" s="847">
        <f>+G5</f>
        <v>1.05</v>
      </c>
      <c r="F57" s="847">
        <v>1</v>
      </c>
      <c r="G57" s="847">
        <v>1</v>
      </c>
      <c r="H57" s="847">
        <v>1</v>
      </c>
      <c r="I57" s="847">
        <v>1</v>
      </c>
      <c r="J57" s="827"/>
      <c r="K57" s="844">
        <v>1.7429295623650518</v>
      </c>
      <c r="L57" s="845">
        <v>0</v>
      </c>
      <c r="M57" s="845">
        <v>1.2465712034733431E-3</v>
      </c>
      <c r="N57" s="845">
        <v>0.14666421081523556</v>
      </c>
      <c r="O57" s="845">
        <v>1.7836172403760304E-2</v>
      </c>
      <c r="P57" s="845">
        <v>2.0499257789603469E-2</v>
      </c>
      <c r="Q57" s="845">
        <v>2.2719966921510427E-3</v>
      </c>
      <c r="R57" s="845">
        <v>1.2388944456147898E-3</v>
      </c>
      <c r="S57" s="845">
        <v>0.15273691382688681</v>
      </c>
      <c r="T57" s="845">
        <v>1.066972480241192</v>
      </c>
      <c r="U57" s="845">
        <v>2.3322527898303216E-2</v>
      </c>
      <c r="V57" s="845">
        <v>0.20617962261571321</v>
      </c>
      <c r="W57" s="845">
        <v>8.4769034948700278E-2</v>
      </c>
      <c r="X57" s="845">
        <v>1.8313159611842766E-2</v>
      </c>
      <c r="Y57" s="845">
        <v>3.3718622795192213E-3</v>
      </c>
      <c r="Z57" s="954"/>
      <c r="AA57" s="827"/>
      <c r="AB57" s="827"/>
      <c r="AC57" s="827"/>
      <c r="AD57" s="827"/>
      <c r="AE57" s="827"/>
      <c r="AF57" s="827"/>
      <c r="AG57" s="827"/>
      <c r="AH57" s="827"/>
      <c r="AI57" s="827"/>
      <c r="AJ57" s="827"/>
      <c r="AK57" s="827"/>
      <c r="AL57" s="827"/>
      <c r="AM57" s="827"/>
      <c r="AN57" s="827"/>
      <c r="AO57" s="827"/>
      <c r="AP57" s="827"/>
      <c r="AQ57" s="827"/>
      <c r="AR57" s="827"/>
      <c r="AS57" s="827"/>
      <c r="AT57" s="827"/>
      <c r="AU57" s="827"/>
      <c r="AV57" s="827"/>
      <c r="AW57" s="827"/>
      <c r="AX57" s="827"/>
      <c r="AY57" s="827"/>
      <c r="AZ57" s="827"/>
      <c r="BA57" s="827"/>
      <c r="BB57" s="827"/>
      <c r="BC57" s="827"/>
      <c r="BD57" s="827"/>
      <c r="BE57" s="827"/>
      <c r="BF57" s="827"/>
      <c r="BG57" s="827"/>
      <c r="BH57" s="827"/>
      <c r="BI57" s="827"/>
      <c r="BJ57" s="827"/>
      <c r="BK57" s="827"/>
      <c r="BL57" s="827"/>
      <c r="BM57" s="827"/>
      <c r="BN57" s="827"/>
      <c r="BO57" s="827"/>
      <c r="BP57" s="827"/>
      <c r="BQ57" s="827"/>
      <c r="BR57" s="827"/>
      <c r="BS57" s="827"/>
      <c r="BT57" s="827"/>
      <c r="BU57" s="827"/>
    </row>
    <row r="58" spans="1:73" x14ac:dyDescent="0.25">
      <c r="A58" s="827"/>
      <c r="B58" s="839">
        <f t="shared" si="6"/>
        <v>8</v>
      </c>
      <c r="C58" s="832">
        <v>1</v>
      </c>
      <c r="D58" s="832">
        <v>1</v>
      </c>
      <c r="E58" s="832">
        <v>1</v>
      </c>
      <c r="F58" s="832">
        <f>+F6</f>
        <v>0.95</v>
      </c>
      <c r="G58" s="832">
        <v>1</v>
      </c>
      <c r="H58" s="832">
        <v>1</v>
      </c>
      <c r="I58" s="832">
        <v>1</v>
      </c>
      <c r="J58" s="827"/>
      <c r="K58" s="844">
        <v>1.7365211887771219</v>
      </c>
      <c r="L58" s="845">
        <v>0</v>
      </c>
      <c r="M58" s="845">
        <v>1.385542706505071E-3</v>
      </c>
      <c r="N58" s="845">
        <v>0.13957089196592026</v>
      </c>
      <c r="O58" s="845">
        <v>1.783617240376029E-2</v>
      </c>
      <c r="P58" s="845">
        <v>1.982439028379392E-2</v>
      </c>
      <c r="Q58" s="845">
        <v>2.1621130547425983E-3</v>
      </c>
      <c r="R58" s="845">
        <v>1.3770101206159633E-3</v>
      </c>
      <c r="S58" s="845">
        <v>0.15273691382688664</v>
      </c>
      <c r="T58" s="845">
        <v>1.0713620728484385</v>
      </c>
      <c r="U58" s="845">
        <v>2.3322527898303188E-2</v>
      </c>
      <c r="V58" s="845">
        <v>0.20617962261571299</v>
      </c>
      <c r="W58" s="845">
        <v>8.3427811068748803E-2</v>
      </c>
      <c r="X58" s="845">
        <v>1.6359437779649533E-2</v>
      </c>
      <c r="Y58" s="845">
        <v>3.7477676170523879E-3</v>
      </c>
      <c r="Z58" s="954"/>
      <c r="AA58" s="827"/>
      <c r="AB58" s="827"/>
      <c r="AC58" s="827"/>
      <c r="AD58" s="827"/>
      <c r="AE58" s="827"/>
      <c r="AF58" s="827"/>
      <c r="AG58" s="827"/>
      <c r="AH58" s="827"/>
      <c r="AI58" s="827"/>
      <c r="AJ58" s="827"/>
      <c r="AK58" s="827"/>
      <c r="AL58" s="827"/>
      <c r="AM58" s="827"/>
      <c r="AN58" s="827"/>
      <c r="AO58" s="827"/>
      <c r="AP58" s="827"/>
      <c r="AQ58" s="827"/>
      <c r="AR58" s="827"/>
      <c r="AS58" s="827"/>
      <c r="AT58" s="827"/>
      <c r="AU58" s="827"/>
      <c r="AV58" s="827"/>
      <c r="AW58" s="827"/>
      <c r="AX58" s="827"/>
      <c r="AY58" s="827"/>
      <c r="AZ58" s="827"/>
      <c r="BA58" s="827"/>
      <c r="BB58" s="827"/>
      <c r="BC58" s="827"/>
      <c r="BD58" s="827"/>
      <c r="BE58" s="827"/>
      <c r="BF58" s="827"/>
      <c r="BG58" s="827"/>
      <c r="BH58" s="827"/>
      <c r="BI58" s="827"/>
      <c r="BJ58" s="827"/>
      <c r="BK58" s="827"/>
      <c r="BL58" s="827"/>
      <c r="BM58" s="827"/>
      <c r="BN58" s="827"/>
      <c r="BO58" s="827"/>
      <c r="BP58" s="827"/>
      <c r="BQ58" s="827"/>
      <c r="BR58" s="827"/>
      <c r="BS58" s="827"/>
      <c r="BT58" s="827"/>
      <c r="BU58" s="827"/>
    </row>
    <row r="59" spans="1:73" x14ac:dyDescent="0.25">
      <c r="A59" s="827"/>
      <c r="B59" s="839">
        <f t="shared" si="6"/>
        <v>9</v>
      </c>
      <c r="C59" s="832">
        <v>1</v>
      </c>
      <c r="D59" s="832">
        <v>1</v>
      </c>
      <c r="E59" s="832">
        <v>1</v>
      </c>
      <c r="F59" s="832">
        <f>+G6</f>
        <v>1.05</v>
      </c>
      <c r="G59" s="832">
        <v>1</v>
      </c>
      <c r="H59" s="832">
        <v>1</v>
      </c>
      <c r="I59" s="832">
        <v>1</v>
      </c>
      <c r="J59" s="827"/>
      <c r="K59" s="844">
        <v>1.7365211887771219</v>
      </c>
      <c r="L59" s="845">
        <v>0</v>
      </c>
      <c r="M59" s="845">
        <v>1.385542706505071E-3</v>
      </c>
      <c r="N59" s="845">
        <v>0.13957089196592026</v>
      </c>
      <c r="O59" s="845">
        <v>1.783617240376029E-2</v>
      </c>
      <c r="P59" s="845">
        <v>1.982439028379392E-2</v>
      </c>
      <c r="Q59" s="845">
        <v>2.1621130547425983E-3</v>
      </c>
      <c r="R59" s="845">
        <v>1.3770101206159633E-3</v>
      </c>
      <c r="S59" s="845">
        <v>0.15273691382688664</v>
      </c>
      <c r="T59" s="845">
        <v>1.0713620728484385</v>
      </c>
      <c r="U59" s="845">
        <v>2.3322527898303188E-2</v>
      </c>
      <c r="V59" s="845">
        <v>0.20617962261571299</v>
      </c>
      <c r="W59" s="845">
        <v>8.3427811068748803E-2</v>
      </c>
      <c r="X59" s="845">
        <v>1.6359437779649533E-2</v>
      </c>
      <c r="Y59" s="845">
        <v>3.7477676170523879E-3</v>
      </c>
      <c r="Z59" s="954"/>
      <c r="AA59" s="827"/>
      <c r="AB59" s="827"/>
      <c r="AC59" s="827"/>
      <c r="AD59" s="827"/>
      <c r="AE59" s="827"/>
      <c r="AF59" s="827"/>
      <c r="AG59" s="827"/>
      <c r="AH59" s="827"/>
      <c r="AI59" s="827"/>
      <c r="AJ59" s="827"/>
      <c r="AK59" s="827"/>
      <c r="AL59" s="827"/>
      <c r="AM59" s="827"/>
      <c r="AN59" s="827"/>
      <c r="AO59" s="827"/>
      <c r="AP59" s="827"/>
      <c r="AQ59" s="827"/>
      <c r="AR59" s="827"/>
      <c r="AS59" s="827"/>
      <c r="AT59" s="827"/>
      <c r="AU59" s="827"/>
      <c r="AV59" s="827"/>
      <c r="AW59" s="827"/>
      <c r="AX59" s="827"/>
      <c r="AY59" s="827"/>
      <c r="AZ59" s="827"/>
      <c r="BA59" s="827"/>
      <c r="BB59" s="827"/>
      <c r="BC59" s="827"/>
      <c r="BD59" s="827"/>
      <c r="BE59" s="827"/>
      <c r="BF59" s="827"/>
      <c r="BG59" s="827"/>
      <c r="BH59" s="827"/>
      <c r="BI59" s="827"/>
      <c r="BJ59" s="827"/>
      <c r="BK59" s="827"/>
      <c r="BL59" s="827"/>
      <c r="BM59" s="827"/>
      <c r="BN59" s="827"/>
      <c r="BO59" s="827"/>
      <c r="BP59" s="827"/>
      <c r="BQ59" s="827"/>
      <c r="BR59" s="827"/>
      <c r="BS59" s="827"/>
      <c r="BT59" s="827"/>
      <c r="BU59" s="827"/>
    </row>
    <row r="60" spans="1:73" x14ac:dyDescent="0.25">
      <c r="A60" s="827"/>
      <c r="B60" s="846">
        <f t="shared" si="6"/>
        <v>10</v>
      </c>
      <c r="C60" s="847">
        <v>1</v>
      </c>
      <c r="D60" s="847">
        <v>1</v>
      </c>
      <c r="E60" s="847">
        <v>1</v>
      </c>
      <c r="F60" s="847">
        <v>1</v>
      </c>
      <c r="G60" s="847">
        <f>+F7</f>
        <v>0.95</v>
      </c>
      <c r="H60" s="847">
        <v>1</v>
      </c>
      <c r="I60" s="847">
        <v>1</v>
      </c>
      <c r="J60" s="827"/>
      <c r="K60" s="844">
        <v>1.7365211887771219</v>
      </c>
      <c r="L60" s="845">
        <v>0</v>
      </c>
      <c r="M60" s="845">
        <v>1.385542706505071E-3</v>
      </c>
      <c r="N60" s="845">
        <v>0.13957089196592026</v>
      </c>
      <c r="O60" s="845">
        <v>1.783617240376029E-2</v>
      </c>
      <c r="P60" s="845">
        <v>1.982439028379392E-2</v>
      </c>
      <c r="Q60" s="845">
        <v>2.1621130547425983E-3</v>
      </c>
      <c r="R60" s="845">
        <v>1.3770101206159633E-3</v>
      </c>
      <c r="S60" s="845">
        <v>0.15273691382688664</v>
      </c>
      <c r="T60" s="845">
        <v>1.0713620728484385</v>
      </c>
      <c r="U60" s="845">
        <v>2.3322527898303188E-2</v>
      </c>
      <c r="V60" s="845">
        <v>0.20617962261571299</v>
      </c>
      <c r="W60" s="845">
        <v>8.3427811068748803E-2</v>
      </c>
      <c r="X60" s="845">
        <v>1.6359437779649533E-2</v>
      </c>
      <c r="Y60" s="845">
        <v>3.7477676170523879E-3</v>
      </c>
      <c r="Z60" s="954"/>
      <c r="AA60" s="827"/>
      <c r="AB60" s="827"/>
      <c r="AC60" s="827"/>
      <c r="AD60" s="827"/>
      <c r="AE60" s="827"/>
      <c r="AF60" s="827"/>
      <c r="AG60" s="827"/>
      <c r="AH60" s="827"/>
      <c r="AI60" s="827"/>
      <c r="AJ60" s="827"/>
      <c r="AK60" s="827"/>
      <c r="AL60" s="827"/>
      <c r="AM60" s="827"/>
      <c r="AN60" s="827"/>
      <c r="AO60" s="827"/>
      <c r="AP60" s="827"/>
      <c r="AQ60" s="827"/>
      <c r="AR60" s="827"/>
      <c r="AS60" s="827"/>
      <c r="AT60" s="827"/>
      <c r="AU60" s="827"/>
      <c r="AV60" s="827"/>
      <c r="AW60" s="827"/>
      <c r="AX60" s="827"/>
      <c r="AY60" s="827"/>
      <c r="AZ60" s="827"/>
      <c r="BA60" s="827"/>
      <c r="BB60" s="827"/>
      <c r="BC60" s="827"/>
      <c r="BD60" s="827"/>
      <c r="BE60" s="827"/>
      <c r="BF60" s="827"/>
      <c r="BG60" s="827"/>
      <c r="BH60" s="827"/>
      <c r="BI60" s="827"/>
      <c r="BJ60" s="827"/>
      <c r="BK60" s="827"/>
      <c r="BL60" s="827"/>
      <c r="BM60" s="827"/>
      <c r="BN60" s="827"/>
      <c r="BO60" s="827"/>
      <c r="BP60" s="827"/>
      <c r="BQ60" s="827"/>
      <c r="BR60" s="827"/>
      <c r="BS60" s="827"/>
      <c r="BT60" s="827"/>
      <c r="BU60" s="827"/>
    </row>
    <row r="61" spans="1:73" x14ac:dyDescent="0.25">
      <c r="A61" s="827"/>
      <c r="B61" s="846">
        <f t="shared" si="6"/>
        <v>11</v>
      </c>
      <c r="C61" s="847">
        <v>1</v>
      </c>
      <c r="D61" s="847">
        <v>1</v>
      </c>
      <c r="E61" s="847">
        <v>1</v>
      </c>
      <c r="F61" s="847">
        <v>1</v>
      </c>
      <c r="G61" s="847">
        <f>+G6</f>
        <v>1.05</v>
      </c>
      <c r="H61" s="847">
        <v>1</v>
      </c>
      <c r="I61" s="847">
        <v>1</v>
      </c>
      <c r="J61" s="827"/>
      <c r="K61" s="844">
        <v>1.7365211887771219</v>
      </c>
      <c r="L61" s="845">
        <v>0</v>
      </c>
      <c r="M61" s="845">
        <v>1.385542706505071E-3</v>
      </c>
      <c r="N61" s="845">
        <v>0.13957089196592026</v>
      </c>
      <c r="O61" s="845">
        <v>1.783617240376029E-2</v>
      </c>
      <c r="P61" s="845">
        <v>1.982439028379392E-2</v>
      </c>
      <c r="Q61" s="845">
        <v>2.1621130547425983E-3</v>
      </c>
      <c r="R61" s="845">
        <v>1.3770101206159633E-3</v>
      </c>
      <c r="S61" s="845">
        <v>0.15273691382688664</v>
      </c>
      <c r="T61" s="845">
        <v>1.0713620728484385</v>
      </c>
      <c r="U61" s="845">
        <v>2.3322527898303188E-2</v>
      </c>
      <c r="V61" s="845">
        <v>0.20617962261571299</v>
      </c>
      <c r="W61" s="845">
        <v>8.3427811068748803E-2</v>
      </c>
      <c r="X61" s="845">
        <v>1.6359437779649533E-2</v>
      </c>
      <c r="Y61" s="845">
        <v>3.7477676170523879E-3</v>
      </c>
      <c r="Z61" s="954"/>
      <c r="AA61" s="827"/>
      <c r="AB61" s="827"/>
      <c r="AC61" s="827"/>
      <c r="AD61" s="827"/>
      <c r="AE61" s="827"/>
      <c r="AF61" s="827"/>
      <c r="AG61" s="827"/>
      <c r="AH61" s="827"/>
      <c r="AI61" s="827"/>
      <c r="AJ61" s="827"/>
      <c r="AK61" s="827"/>
      <c r="AL61" s="827"/>
      <c r="AM61" s="827"/>
      <c r="AN61" s="827"/>
      <c r="AO61" s="827"/>
      <c r="AP61" s="827"/>
      <c r="AQ61" s="827"/>
      <c r="AR61" s="827"/>
      <c r="AS61" s="827"/>
      <c r="AT61" s="827"/>
      <c r="AU61" s="827"/>
      <c r="AV61" s="827"/>
      <c r="AW61" s="827"/>
      <c r="AX61" s="827"/>
      <c r="AY61" s="827"/>
      <c r="AZ61" s="827"/>
      <c r="BA61" s="827"/>
      <c r="BB61" s="827"/>
      <c r="BC61" s="827"/>
      <c r="BD61" s="827"/>
      <c r="BE61" s="827"/>
      <c r="BF61" s="827"/>
      <c r="BG61" s="827"/>
      <c r="BH61" s="827"/>
      <c r="BI61" s="827"/>
      <c r="BJ61" s="827"/>
      <c r="BK61" s="827"/>
      <c r="BL61" s="827"/>
      <c r="BM61" s="827"/>
      <c r="BN61" s="827"/>
      <c r="BO61" s="827"/>
      <c r="BP61" s="827"/>
      <c r="BQ61" s="827"/>
      <c r="BR61" s="827"/>
      <c r="BS61" s="827"/>
      <c r="BT61" s="827"/>
      <c r="BU61" s="827"/>
    </row>
    <row r="62" spans="1:73" x14ac:dyDescent="0.25">
      <c r="A62" s="827"/>
      <c r="B62" s="839">
        <f t="shared" si="6"/>
        <v>12</v>
      </c>
      <c r="C62" s="832">
        <v>1</v>
      </c>
      <c r="D62" s="832">
        <v>1</v>
      </c>
      <c r="E62" s="832">
        <v>1</v>
      </c>
      <c r="F62" s="832">
        <v>1</v>
      </c>
      <c r="G62" s="832">
        <v>1</v>
      </c>
      <c r="H62" s="832">
        <f>+F8</f>
        <v>0.95</v>
      </c>
      <c r="I62" s="832">
        <v>1</v>
      </c>
      <c r="J62" s="827"/>
      <c r="K62" s="844">
        <v>1.7211743419140393</v>
      </c>
      <c r="L62" s="845">
        <v>0</v>
      </c>
      <c r="M62" s="845">
        <v>1.316265571179817E-3</v>
      </c>
      <c r="N62" s="845">
        <v>0.1325491051065294</v>
      </c>
      <c r="O62" s="845">
        <v>1.783617240376029E-2</v>
      </c>
      <c r="P62" s="845">
        <v>1.9775403316905488E-2</v>
      </c>
      <c r="Q62" s="845">
        <v>2.1621130547425983E-3</v>
      </c>
      <c r="R62" s="845">
        <v>1.3077329852907099E-3</v>
      </c>
      <c r="S62" s="845">
        <v>0.14914757512617435</v>
      </c>
      <c r="T62" s="845">
        <v>1.0713620728484385</v>
      </c>
      <c r="U62" s="845">
        <v>2.3322527898303188E-2</v>
      </c>
      <c r="V62" s="845">
        <v>0.20617962261571299</v>
      </c>
      <c r="W62" s="845">
        <v>7.923057266739704E-2</v>
      </c>
      <c r="X62" s="845">
        <v>1.605849137006404E-2</v>
      </c>
      <c r="Y62" s="845">
        <v>3.5592180918985698E-3</v>
      </c>
      <c r="Z62" s="954"/>
      <c r="AA62" s="827"/>
      <c r="AB62" s="827"/>
      <c r="AC62" s="827"/>
      <c r="AD62" s="827"/>
      <c r="AE62" s="827"/>
      <c r="AF62" s="827"/>
      <c r="AG62" s="827"/>
      <c r="AH62" s="827"/>
      <c r="AI62" s="827"/>
      <c r="AJ62" s="827"/>
      <c r="AK62" s="827"/>
      <c r="AL62" s="827"/>
      <c r="AM62" s="827"/>
      <c r="AN62" s="827"/>
      <c r="AO62" s="827"/>
      <c r="AP62" s="827"/>
      <c r="AQ62" s="827"/>
      <c r="AR62" s="827"/>
      <c r="AS62" s="827"/>
      <c r="AT62" s="827"/>
      <c r="AU62" s="827"/>
      <c r="AV62" s="827"/>
      <c r="AW62" s="827"/>
      <c r="AX62" s="827"/>
      <c r="AY62" s="827"/>
      <c r="AZ62" s="827"/>
      <c r="BA62" s="827"/>
      <c r="BB62" s="827"/>
      <c r="BC62" s="827"/>
      <c r="BD62" s="827"/>
      <c r="BE62" s="827"/>
      <c r="BF62" s="827"/>
      <c r="BG62" s="827"/>
      <c r="BH62" s="827"/>
      <c r="BI62" s="827"/>
      <c r="BJ62" s="827"/>
      <c r="BK62" s="827"/>
      <c r="BL62" s="827"/>
      <c r="BM62" s="827"/>
      <c r="BN62" s="827"/>
      <c r="BO62" s="827"/>
      <c r="BP62" s="827"/>
      <c r="BQ62" s="827"/>
      <c r="BR62" s="827"/>
      <c r="BS62" s="827"/>
      <c r="BT62" s="827"/>
      <c r="BU62" s="827"/>
    </row>
    <row r="63" spans="1:73" x14ac:dyDescent="0.25">
      <c r="A63" s="827"/>
      <c r="B63" s="839">
        <f t="shared" si="6"/>
        <v>13</v>
      </c>
      <c r="C63" s="832">
        <v>1</v>
      </c>
      <c r="D63" s="832">
        <v>1</v>
      </c>
      <c r="E63" s="832">
        <v>1</v>
      </c>
      <c r="F63" s="832">
        <v>1</v>
      </c>
      <c r="G63" s="832">
        <v>1</v>
      </c>
      <c r="H63" s="832">
        <f>+G8</f>
        <v>1.05</v>
      </c>
      <c r="I63" s="832">
        <v>1</v>
      </c>
      <c r="J63" s="827"/>
      <c r="K63" s="844">
        <v>1.7518680356402039</v>
      </c>
      <c r="L63" s="845">
        <v>0</v>
      </c>
      <c r="M63" s="845">
        <v>1.4548198418303248E-3</v>
      </c>
      <c r="N63" s="845">
        <v>0.14659267882531116</v>
      </c>
      <c r="O63" s="845">
        <v>1.783617240376029E-2</v>
      </c>
      <c r="P63" s="845">
        <v>1.9873377250682351E-2</v>
      </c>
      <c r="Q63" s="845">
        <v>2.1621130547425983E-3</v>
      </c>
      <c r="R63" s="845">
        <v>1.4462872559412171E-3</v>
      </c>
      <c r="S63" s="845">
        <v>0.15632625252759905</v>
      </c>
      <c r="T63" s="845">
        <v>1.0713620728484385</v>
      </c>
      <c r="U63" s="845">
        <v>2.3322527898303188E-2</v>
      </c>
      <c r="V63" s="845">
        <v>0.20617962261571299</v>
      </c>
      <c r="W63" s="845">
        <v>8.7625049470100649E-2</v>
      </c>
      <c r="X63" s="845">
        <v>1.6660384189235183E-2</v>
      </c>
      <c r="Y63" s="845">
        <v>3.936317142206206E-3</v>
      </c>
      <c r="Z63" s="954"/>
      <c r="AA63" s="827"/>
      <c r="AB63" s="827"/>
      <c r="AC63" s="827"/>
      <c r="AD63" s="827"/>
      <c r="AE63" s="827"/>
      <c r="AF63" s="827"/>
      <c r="AG63" s="827"/>
      <c r="AH63" s="827"/>
      <c r="AI63" s="827"/>
      <c r="AJ63" s="827"/>
      <c r="AK63" s="827"/>
      <c r="AL63" s="827"/>
      <c r="AM63" s="827"/>
      <c r="AN63" s="827"/>
      <c r="AO63" s="827"/>
      <c r="AP63" s="827"/>
      <c r="AQ63" s="827"/>
      <c r="AR63" s="827"/>
      <c r="AS63" s="827"/>
      <c r="AT63" s="827"/>
      <c r="AU63" s="827"/>
      <c r="AV63" s="827"/>
      <c r="AW63" s="827"/>
      <c r="AX63" s="827"/>
      <c r="AY63" s="827"/>
      <c r="AZ63" s="827"/>
      <c r="BA63" s="827"/>
      <c r="BB63" s="827"/>
      <c r="BC63" s="827"/>
      <c r="BD63" s="827"/>
      <c r="BE63" s="827"/>
      <c r="BF63" s="827"/>
      <c r="BG63" s="827"/>
      <c r="BH63" s="827"/>
      <c r="BI63" s="827"/>
      <c r="BJ63" s="827"/>
      <c r="BK63" s="827"/>
      <c r="BL63" s="827"/>
      <c r="BM63" s="827"/>
      <c r="BN63" s="827"/>
      <c r="BO63" s="827"/>
      <c r="BP63" s="827"/>
      <c r="BQ63" s="827"/>
      <c r="BR63" s="827"/>
      <c r="BS63" s="827"/>
      <c r="BT63" s="827"/>
      <c r="BU63" s="827"/>
    </row>
    <row r="64" spans="1:73" x14ac:dyDescent="0.25">
      <c r="A64" s="827"/>
      <c r="B64" s="846">
        <f t="shared" si="6"/>
        <v>14</v>
      </c>
      <c r="C64" s="832">
        <v>1</v>
      </c>
      <c r="D64" s="832">
        <v>1</v>
      </c>
      <c r="E64" s="832">
        <v>1</v>
      </c>
      <c r="F64" s="832">
        <v>1</v>
      </c>
      <c r="G64" s="832">
        <v>1</v>
      </c>
      <c r="H64" s="832">
        <v>1</v>
      </c>
      <c r="I64" s="832">
        <f>+F9</f>
        <v>0.95</v>
      </c>
      <c r="J64" s="827"/>
      <c r="K64" s="844">
        <v>1.7287439889613923</v>
      </c>
      <c r="L64" s="845">
        <v>0</v>
      </c>
      <c r="M64" s="845">
        <v>1.385542706505071E-3</v>
      </c>
      <c r="N64" s="845">
        <v>0.13957089196592026</v>
      </c>
      <c r="O64" s="845">
        <v>1.783617240376029E-2</v>
      </c>
      <c r="P64" s="845">
        <v>1.9720163311026013E-2</v>
      </c>
      <c r="Q64" s="845">
        <v>2.1621130547425983E-3</v>
      </c>
      <c r="R64" s="845">
        <v>1.3770101206159633E-3</v>
      </c>
      <c r="S64" s="845">
        <v>0.14510006813554233</v>
      </c>
      <c r="T64" s="845">
        <v>1.0713620728484385</v>
      </c>
      <c r="U64" s="845">
        <v>2.3322527898303188E-2</v>
      </c>
      <c r="V64" s="845">
        <v>0.20617962261571299</v>
      </c>
      <c r="W64" s="845">
        <v>8.3427811068748803E-2</v>
      </c>
      <c r="X64" s="845">
        <v>1.6323310628033022E-2</v>
      </c>
      <c r="Y64" s="845">
        <v>3.7477676170523879E-3</v>
      </c>
      <c r="Z64" s="954"/>
      <c r="AA64" s="827"/>
      <c r="AB64" s="827"/>
      <c r="AC64" s="827"/>
      <c r="AD64" s="827"/>
      <c r="AE64" s="827"/>
      <c r="AF64" s="827"/>
      <c r="AG64" s="827"/>
      <c r="AH64" s="827"/>
      <c r="AI64" s="827"/>
      <c r="AJ64" s="827"/>
      <c r="AK64" s="827"/>
      <c r="AL64" s="827"/>
      <c r="AM64" s="827"/>
      <c r="AN64" s="827"/>
      <c r="AO64" s="827"/>
      <c r="AP64" s="827"/>
      <c r="AQ64" s="827"/>
      <c r="AR64" s="827"/>
      <c r="AS64" s="827"/>
      <c r="AT64" s="827"/>
      <c r="AU64" s="827"/>
      <c r="AV64" s="827"/>
      <c r="AW64" s="827"/>
      <c r="AX64" s="827"/>
      <c r="AY64" s="827"/>
      <c r="AZ64" s="827"/>
      <c r="BA64" s="827"/>
      <c r="BB64" s="827"/>
      <c r="BC64" s="827"/>
      <c r="BD64" s="827"/>
      <c r="BE64" s="827"/>
      <c r="BF64" s="827"/>
      <c r="BG64" s="827"/>
      <c r="BH64" s="827"/>
      <c r="BI64" s="827"/>
      <c r="BJ64" s="827"/>
      <c r="BK64" s="827"/>
      <c r="BL64" s="827"/>
      <c r="BM64" s="827"/>
      <c r="BN64" s="827"/>
      <c r="BO64" s="827"/>
      <c r="BP64" s="827"/>
      <c r="BQ64" s="827"/>
      <c r="BR64" s="827"/>
      <c r="BS64" s="827"/>
      <c r="BT64" s="827"/>
      <c r="BU64" s="827"/>
    </row>
    <row r="65" spans="1:73" ht="13.8" thickBot="1" x14ac:dyDescent="0.3">
      <c r="A65" s="827"/>
      <c r="B65" s="943">
        <f t="shared" si="6"/>
        <v>15</v>
      </c>
      <c r="C65" s="944">
        <v>1</v>
      </c>
      <c r="D65" s="944">
        <v>1</v>
      </c>
      <c r="E65" s="944">
        <v>1</v>
      </c>
      <c r="F65" s="944">
        <v>1</v>
      </c>
      <c r="G65" s="944">
        <v>1</v>
      </c>
      <c r="H65" s="944">
        <v>1</v>
      </c>
      <c r="I65" s="944">
        <f>+G9</f>
        <v>1.05</v>
      </c>
      <c r="J65" s="945"/>
      <c r="K65" s="946">
        <v>1.74429838859285</v>
      </c>
      <c r="L65" s="947">
        <v>0</v>
      </c>
      <c r="M65" s="947">
        <v>1.385542706505071E-3</v>
      </c>
      <c r="N65" s="947">
        <v>0.13957089196592026</v>
      </c>
      <c r="O65" s="947">
        <v>1.783617240376029E-2</v>
      </c>
      <c r="P65" s="947">
        <v>1.9928617256561823E-2</v>
      </c>
      <c r="Q65" s="947">
        <v>2.1621130547425983E-3</v>
      </c>
      <c r="R65" s="947">
        <v>1.3770101206159633E-3</v>
      </c>
      <c r="S65" s="947">
        <v>0.16037375951823099</v>
      </c>
      <c r="T65" s="947">
        <v>1.0713620728484385</v>
      </c>
      <c r="U65" s="947">
        <v>2.3322527898303188E-2</v>
      </c>
      <c r="V65" s="947">
        <v>0.20617962261571299</v>
      </c>
      <c r="W65" s="947">
        <v>8.3427811068748803E-2</v>
      </c>
      <c r="X65" s="947">
        <v>1.6395564931266104E-2</v>
      </c>
      <c r="Y65" s="947">
        <v>3.7477676170523879E-3</v>
      </c>
      <c r="Z65" s="954"/>
      <c r="AA65" s="827"/>
      <c r="AB65" s="827"/>
      <c r="AC65" s="827"/>
      <c r="AD65" s="827"/>
      <c r="AE65" s="827"/>
      <c r="AF65" s="827"/>
      <c r="AG65" s="827"/>
      <c r="AH65" s="827"/>
      <c r="AI65" s="827"/>
      <c r="AJ65" s="827"/>
      <c r="AK65" s="827"/>
      <c r="AL65" s="827"/>
      <c r="AM65" s="827"/>
      <c r="AN65" s="827"/>
      <c r="AO65" s="827"/>
      <c r="AP65" s="827"/>
      <c r="AQ65" s="827"/>
      <c r="AR65" s="827"/>
      <c r="AS65" s="827"/>
      <c r="AT65" s="827"/>
      <c r="AU65" s="827"/>
      <c r="AV65" s="827"/>
      <c r="AW65" s="827"/>
      <c r="AX65" s="827"/>
      <c r="AY65" s="827"/>
      <c r="AZ65" s="827"/>
      <c r="BA65" s="827"/>
      <c r="BB65" s="827"/>
      <c r="BC65" s="827"/>
      <c r="BD65" s="827"/>
      <c r="BE65" s="827"/>
      <c r="BF65" s="827"/>
      <c r="BG65" s="827"/>
      <c r="BH65" s="827"/>
      <c r="BI65" s="827"/>
      <c r="BJ65" s="827"/>
      <c r="BK65" s="827"/>
      <c r="BL65" s="827"/>
      <c r="BM65" s="827"/>
      <c r="BN65" s="827"/>
      <c r="BO65" s="827"/>
      <c r="BP65" s="827"/>
      <c r="BQ65" s="827"/>
      <c r="BR65" s="827"/>
      <c r="BS65" s="827"/>
      <c r="BT65" s="827"/>
      <c r="BU65" s="827"/>
    </row>
    <row r="66" spans="1:73" ht="13.8" thickTop="1" x14ac:dyDescent="0.25">
      <c r="A66" s="827"/>
      <c r="B66" s="939">
        <f t="shared" si="6"/>
        <v>16</v>
      </c>
      <c r="C66" s="940">
        <f>(C$72=1)*$F$3
+(C$72=2)
+(C$72=3)
+(C$72=4)
+(C$72=5)</f>
        <v>1.05</v>
      </c>
      <c r="D66" s="940">
        <v>1</v>
      </c>
      <c r="E66" s="940">
        <v>1</v>
      </c>
      <c r="F66" s="940">
        <f>(F$72=1)*$F$6
+(F$72=2)
+(F$72=3)
+(F$72=4)
+(F$72=5)</f>
        <v>1</v>
      </c>
      <c r="G66" s="940">
        <f>(G$72=1)*$F$7
+(G$72=2)
+(G$72=3)
+(G$72=4)
+(G$72=5)</f>
        <v>1</v>
      </c>
      <c r="H66" s="940">
        <f>(H$72=1)*$F$8
+(H$72=2)
+(H$72=3)
+(H$72=4)
+(H$72=5)</f>
        <v>1</v>
      </c>
      <c r="I66" s="940">
        <f>(I$72=1)*$F$9
+(I$72=2)
+(I$72=3)
+(I$72=4)
+(I$72=5)</f>
        <v>1</v>
      </c>
      <c r="J66" s="827"/>
      <c r="K66" s="941">
        <v>1.7105620579941494</v>
      </c>
      <c r="L66" s="942">
        <v>0</v>
      </c>
      <c r="M66" s="942">
        <v>1.3195644823857818E-3</v>
      </c>
      <c r="N66" s="942">
        <v>0.13292465901516215</v>
      </c>
      <c r="O66" s="942">
        <v>1.6986830860724087E-2</v>
      </c>
      <c r="P66" s="942">
        <v>1.9640011225214891E-2</v>
      </c>
      <c r="Q66" s="942">
        <v>2.0591552902310458E-3</v>
      </c>
      <c r="R66" s="942">
        <v>1.3114382101104415E-3</v>
      </c>
      <c r="S66" s="942">
        <v>0.14546372745417774</v>
      </c>
      <c r="T66" s="942">
        <v>1.0713620728484385</v>
      </c>
      <c r="U66" s="942">
        <v>2.2211931331717321E-2</v>
      </c>
      <c r="V66" s="942">
        <v>0.20105371241426109</v>
      </c>
      <c r="W66" s="942">
        <v>7.9455058160713146E-2</v>
      </c>
      <c r="X66" s="942">
        <v>1.5843723173352409E-2</v>
      </c>
      <c r="Y66" s="942">
        <v>3.569302492430846E-3</v>
      </c>
      <c r="Z66" s="954"/>
      <c r="AA66" s="827"/>
      <c r="AB66" s="827"/>
      <c r="AC66" s="827"/>
      <c r="AD66" s="827"/>
      <c r="AE66" s="827"/>
      <c r="AF66" s="827"/>
      <c r="AG66" s="827"/>
      <c r="AH66" s="827"/>
      <c r="AI66" s="827"/>
      <c r="AJ66" s="827"/>
      <c r="AK66" s="827"/>
      <c r="AL66" s="827"/>
      <c r="AM66" s="827"/>
      <c r="AN66" s="827"/>
      <c r="AO66" s="827"/>
      <c r="AP66" s="827"/>
      <c r="AQ66" s="827"/>
      <c r="AR66" s="827"/>
      <c r="AS66" s="827"/>
      <c r="AT66" s="827"/>
      <c r="AU66" s="827"/>
      <c r="AV66" s="827"/>
      <c r="AW66" s="827"/>
      <c r="AX66" s="827"/>
      <c r="AY66" s="827"/>
      <c r="AZ66" s="827"/>
      <c r="BA66" s="827"/>
      <c r="BB66" s="827"/>
      <c r="BC66" s="827"/>
      <c r="BD66" s="827"/>
      <c r="BE66" s="827"/>
      <c r="BF66" s="827"/>
      <c r="BG66" s="827"/>
      <c r="BH66" s="827"/>
      <c r="BI66" s="827"/>
      <c r="BJ66" s="827"/>
      <c r="BK66" s="827"/>
      <c r="BL66" s="827"/>
      <c r="BM66" s="827"/>
      <c r="BN66" s="827"/>
      <c r="BO66" s="827"/>
      <c r="BP66" s="827"/>
      <c r="BQ66" s="827"/>
      <c r="BR66" s="827"/>
      <c r="BS66" s="827"/>
      <c r="BT66" s="827"/>
      <c r="BU66" s="827"/>
    </row>
    <row r="67" spans="1:73" x14ac:dyDescent="0.25">
      <c r="A67" s="827"/>
      <c r="B67" s="839">
        <f t="shared" si="6"/>
        <v>17</v>
      </c>
      <c r="C67" s="940">
        <f>(C$72=1)*$F$3
+(C$72=2)*$F$3
+(C$72=3)
+(C$72=4)
+(C$72=5)</f>
        <v>1.05</v>
      </c>
      <c r="D67" s="832">
        <v>1</v>
      </c>
      <c r="E67" s="832">
        <v>1</v>
      </c>
      <c r="F67" s="940">
        <f>(F$72=1)*$F$6
+(F$72=2)*$F$6
+(F$72=3)
+(F$72=4)
+(F$72=5)</f>
        <v>1</v>
      </c>
      <c r="G67" s="940">
        <f>(G$72=1)*$F$7
+(G$72=2)*$F$7
+(G$72=3)
+(G$72=4)
+(G$72=5)</f>
        <v>1</v>
      </c>
      <c r="H67" s="940">
        <f>(H$72=1)*$F$8
+(H$72=2)*$F$8
+(H$72=3)
+(H$72=4)
+(H$72=5)</f>
        <v>0.95</v>
      </c>
      <c r="I67" s="940">
        <f>(I$72=1)*$F$9
+(I$72=2)*$F$9
+(I$72=3)
+(I$72=4)
+(I$72=5)</f>
        <v>1</v>
      </c>
      <c r="J67" s="827"/>
      <c r="K67" s="844">
        <v>1.6959460133626425</v>
      </c>
      <c r="L67" s="845">
        <v>0</v>
      </c>
      <c r="M67" s="845">
        <v>1.2535862582664925E-3</v>
      </c>
      <c r="N67" s="845">
        <v>0.12623724295859939</v>
      </c>
      <c r="O67" s="845">
        <v>1.6986830860724087E-2</v>
      </c>
      <c r="P67" s="845">
        <v>1.9593356971035453E-2</v>
      </c>
      <c r="Q67" s="845">
        <v>2.0591552902310458E-3</v>
      </c>
      <c r="R67" s="845">
        <v>1.2454599859911524E-3</v>
      </c>
      <c r="S67" s="845">
        <v>0.14204530964397558</v>
      </c>
      <c r="T67" s="845">
        <v>1.0713620728484385</v>
      </c>
      <c r="U67" s="845">
        <v>2.2211931331717321E-2</v>
      </c>
      <c r="V67" s="845">
        <v>0.20105371241426109</v>
      </c>
      <c r="W67" s="845">
        <v>7.5457688254663854E-2</v>
      </c>
      <c r="X67" s="845">
        <v>1.555710754517573E-2</v>
      </c>
      <c r="Y67" s="845">
        <v>3.389731516093876E-3</v>
      </c>
      <c r="Z67" s="954"/>
      <c r="AA67" s="827"/>
      <c r="AB67" s="827"/>
      <c r="AC67" s="827"/>
      <c r="AD67" s="827"/>
      <c r="AE67" s="827"/>
      <c r="AF67" s="827"/>
      <c r="AG67" s="827"/>
      <c r="AH67" s="827"/>
      <c r="AI67" s="827"/>
      <c r="AJ67" s="827"/>
      <c r="AK67" s="827"/>
      <c r="AL67" s="827"/>
      <c r="AM67" s="827"/>
      <c r="AN67" s="827"/>
      <c r="AO67" s="827"/>
      <c r="AP67" s="827"/>
      <c r="AQ67" s="827"/>
      <c r="AR67" s="827"/>
      <c r="AS67" s="827"/>
      <c r="AT67" s="827"/>
      <c r="AU67" s="827"/>
      <c r="AV67" s="827"/>
      <c r="AW67" s="827"/>
      <c r="AX67" s="827"/>
      <c r="AY67" s="827"/>
      <c r="AZ67" s="827"/>
      <c r="BA67" s="827"/>
      <c r="BB67" s="827"/>
      <c r="BC67" s="827"/>
      <c r="BD67" s="827"/>
      <c r="BE67" s="827"/>
      <c r="BF67" s="827"/>
      <c r="BG67" s="827"/>
      <c r="BH67" s="827"/>
      <c r="BI67" s="827"/>
      <c r="BJ67" s="827"/>
      <c r="BK67" s="827"/>
      <c r="BL67" s="827"/>
      <c r="BM67" s="827"/>
      <c r="BN67" s="827"/>
      <c r="BO67" s="827"/>
      <c r="BP67" s="827"/>
      <c r="BQ67" s="827"/>
      <c r="BR67" s="827"/>
      <c r="BS67" s="827"/>
      <c r="BT67" s="827"/>
      <c r="BU67" s="827"/>
    </row>
    <row r="68" spans="1:73" x14ac:dyDescent="0.25">
      <c r="A68" s="827"/>
      <c r="B68" s="846">
        <f t="shared" si="6"/>
        <v>18</v>
      </c>
      <c r="C68" s="940">
        <f>(C$72=1)*$F$3
+(C$72=2)*$F$3
+(C$72=3)*$F$3
+(C$72=4)
+(C$72=5)</f>
        <v>1.05</v>
      </c>
      <c r="D68" s="832">
        <v>1</v>
      </c>
      <c r="E68" s="832">
        <v>1</v>
      </c>
      <c r="F68" s="940">
        <f>(F$72=1)*$F$6
+(F$72=2)*$F$6
+(F$72=3)*$F$6
+(F$72=4)
+(F$72=5)</f>
        <v>1</v>
      </c>
      <c r="G68" s="940">
        <f>(G$72=1)*$F$7
+(G$72=2)*$F$7
+(G$72=3)*$F$7
+(G$72=4)
+(G$72=5)</f>
        <v>1</v>
      </c>
      <c r="H68" s="940">
        <f>(H$72=1)*$F$8
+(H$72=2)*$F$8
+(H$72=3)*$F$8
+(H$72=4)
+(H$72=5)</f>
        <v>0.95</v>
      </c>
      <c r="I68" s="940">
        <f>(I$72=1)*$F$9
+(I$72=2)*$F$9
+(I$72=3)*$F$9
+(I$72=4)
+(I$72=5)</f>
        <v>0.95</v>
      </c>
      <c r="J68" s="827"/>
      <c r="K68" s="844">
        <v>1.6887132185633427</v>
      </c>
      <c r="L68" s="845">
        <v>0</v>
      </c>
      <c r="M68" s="845">
        <v>1.2535862582664925E-3</v>
      </c>
      <c r="N68" s="845">
        <v>0.12623724295859939</v>
      </c>
      <c r="O68" s="845">
        <v>1.6986830860724087E-2</v>
      </c>
      <c r="P68" s="845">
        <v>1.9496425900155944E-2</v>
      </c>
      <c r="Q68" s="845">
        <v>2.0591552902310458E-3</v>
      </c>
      <c r="R68" s="845">
        <v>1.2454599859911524E-3</v>
      </c>
      <c r="S68" s="845">
        <v>0.13494304416177688</v>
      </c>
      <c r="T68" s="845">
        <v>1.0713620728484385</v>
      </c>
      <c r="U68" s="845">
        <v>2.2211931331717321E-2</v>
      </c>
      <c r="V68" s="845">
        <v>0.20105371241426109</v>
      </c>
      <c r="W68" s="845">
        <v>7.5457688254663854E-2</v>
      </c>
      <c r="X68" s="845">
        <v>1.5523509298953832E-2</v>
      </c>
      <c r="Y68" s="845">
        <v>3.389731516093876E-3</v>
      </c>
      <c r="Z68" s="954"/>
      <c r="AA68" s="827"/>
      <c r="AB68" s="827"/>
      <c r="AC68" s="827"/>
      <c r="AD68" s="827"/>
      <c r="AE68" s="827"/>
      <c r="AF68" s="827"/>
      <c r="AG68" s="827"/>
      <c r="AH68" s="827"/>
      <c r="AI68" s="827"/>
      <c r="AJ68" s="827"/>
      <c r="AK68" s="827"/>
      <c r="AL68" s="827"/>
      <c r="AM68" s="827"/>
      <c r="AN68" s="827"/>
      <c r="AO68" s="827"/>
      <c r="AP68" s="827"/>
      <c r="AQ68" s="827"/>
      <c r="AR68" s="827"/>
      <c r="AS68" s="827"/>
      <c r="AT68" s="827"/>
      <c r="AU68" s="827"/>
      <c r="AV68" s="827"/>
      <c r="AW68" s="827"/>
      <c r="AX68" s="827"/>
      <c r="AY68" s="827"/>
      <c r="AZ68" s="827"/>
      <c r="BA68" s="827"/>
      <c r="BB68" s="827"/>
      <c r="BC68" s="827"/>
      <c r="BD68" s="827"/>
      <c r="BE68" s="827"/>
      <c r="BF68" s="827"/>
      <c r="BG68" s="827"/>
      <c r="BH68" s="827"/>
      <c r="BI68" s="827"/>
      <c r="BJ68" s="827"/>
      <c r="BK68" s="827"/>
      <c r="BL68" s="827"/>
      <c r="BM68" s="827"/>
      <c r="BN68" s="827"/>
      <c r="BO68" s="827"/>
      <c r="BP68" s="827"/>
      <c r="BQ68" s="827"/>
      <c r="BR68" s="827"/>
      <c r="BS68" s="827"/>
      <c r="BT68" s="827"/>
      <c r="BU68" s="827"/>
    </row>
    <row r="69" spans="1:73" x14ac:dyDescent="0.25">
      <c r="A69" s="827"/>
      <c r="B69" s="846">
        <f t="shared" si="6"/>
        <v>19</v>
      </c>
      <c r="C69" s="940">
        <f>(C$72=1)*$F$3
+(C$72=2)*$F$3
+(C$72=3)*$F$3
+(C$72=4)*$F$3
+(C$72=5)</f>
        <v>1.05</v>
      </c>
      <c r="D69" s="832">
        <v>1</v>
      </c>
      <c r="E69" s="832">
        <v>1</v>
      </c>
      <c r="F69" s="940">
        <f>(F$72=1)*$F$6
+(F$72=2)*$F$6
+(F$72=3)*$F$6
+(F$72=4)*$F$6
+(F$72=5)</f>
        <v>1</v>
      </c>
      <c r="G69" s="940">
        <f>(G$72=1)*$F$7
+(G$72=2)*$F$7
+(G$72=3)*$F$7
+(G$72=4)*$F$7
+(G$72=5)</f>
        <v>1</v>
      </c>
      <c r="H69" s="940">
        <f>(H$72=1)*$F$8
+(H$72=2)*$F$8
+(H$72=3)*$F$8
+(H$72=4)*$F$8
+(H$72=5)</f>
        <v>0.95</v>
      </c>
      <c r="I69" s="940">
        <f>(I$72=1)*$F$9
+(I$72=2)*$F$9
+(I$72=3)*$F$9
+(I$72=4)*$F$9
+(I$72=5)</f>
        <v>0.95</v>
      </c>
      <c r="J69" s="827"/>
      <c r="K69" s="844">
        <v>1.6887132185633427</v>
      </c>
      <c r="L69" s="845">
        <v>0</v>
      </c>
      <c r="M69" s="845">
        <v>1.2535862582664925E-3</v>
      </c>
      <c r="N69" s="845">
        <v>0.12623724295859939</v>
      </c>
      <c r="O69" s="845">
        <v>1.6986830860724087E-2</v>
      </c>
      <c r="P69" s="845">
        <v>1.9496425900155944E-2</v>
      </c>
      <c r="Q69" s="845">
        <v>2.0591552902310458E-3</v>
      </c>
      <c r="R69" s="845">
        <v>1.2454599859911524E-3</v>
      </c>
      <c r="S69" s="845">
        <v>0.13494304416177688</v>
      </c>
      <c r="T69" s="845">
        <v>1.0713620728484385</v>
      </c>
      <c r="U69" s="845">
        <v>2.2211931331717321E-2</v>
      </c>
      <c r="V69" s="845">
        <v>0.20105371241426109</v>
      </c>
      <c r="W69" s="845">
        <v>7.5457688254663854E-2</v>
      </c>
      <c r="X69" s="845">
        <v>1.5523509298953832E-2</v>
      </c>
      <c r="Y69" s="845">
        <v>3.389731516093876E-3</v>
      </c>
      <c r="Z69" s="954"/>
      <c r="AA69" s="827"/>
      <c r="AB69" s="827"/>
      <c r="AC69" s="827"/>
      <c r="AD69" s="827"/>
      <c r="AE69" s="827"/>
      <c r="AF69" s="827"/>
      <c r="AG69" s="827"/>
      <c r="AH69" s="827"/>
      <c r="AI69" s="827"/>
      <c r="AJ69" s="827"/>
      <c r="AK69" s="827"/>
      <c r="AL69" s="827"/>
      <c r="AM69" s="827"/>
      <c r="AN69" s="827"/>
      <c r="AO69" s="827"/>
      <c r="AP69" s="827"/>
      <c r="AQ69" s="827"/>
      <c r="AR69" s="827"/>
      <c r="AS69" s="827"/>
      <c r="AT69" s="827"/>
      <c r="AU69" s="827"/>
      <c r="AV69" s="827"/>
      <c r="AW69" s="827"/>
      <c r="AX69" s="827"/>
      <c r="AY69" s="827"/>
      <c r="AZ69" s="827"/>
      <c r="BA69" s="827"/>
      <c r="BB69" s="827"/>
      <c r="BC69" s="827"/>
      <c r="BD69" s="827"/>
      <c r="BE69" s="827"/>
      <c r="BF69" s="827"/>
      <c r="BG69" s="827"/>
      <c r="BH69" s="827"/>
      <c r="BI69" s="827"/>
      <c r="BJ69" s="827"/>
      <c r="BK69" s="827"/>
      <c r="BL69" s="827"/>
      <c r="BM69" s="827"/>
      <c r="BN69" s="827"/>
      <c r="BO69" s="827"/>
      <c r="BP69" s="827"/>
      <c r="BQ69" s="827"/>
      <c r="BR69" s="827"/>
      <c r="BS69" s="827"/>
      <c r="BT69" s="827"/>
      <c r="BU69" s="827"/>
    </row>
    <row r="70" spans="1:73" x14ac:dyDescent="0.25">
      <c r="A70" s="827"/>
      <c r="B70" s="839">
        <f t="shared" si="6"/>
        <v>20</v>
      </c>
      <c r="C70" s="940">
        <f>(C$72=1)*$F$3
+(C$72=2)*$F$3
+(C$72=3)*$F$3
+(C$72=4)*$F$3
+(C$72=5)*$F$3</f>
        <v>1.05</v>
      </c>
      <c r="D70" s="832">
        <v>1</v>
      </c>
      <c r="E70" s="832">
        <v>1</v>
      </c>
      <c r="F70" s="940">
        <f>(F$72=1)*$F$6
+(F$72=2)*$F$6
+(F$72=3)*$F$6
+(F$72=4)*$F$6
+(F$72=5)*$F$6</f>
        <v>0.95</v>
      </c>
      <c r="G70" s="940">
        <f>(G$72=1)*$F$7
+(G$72=2)*$F$7
+(G$72=3)*$F$7
+(G$72=4)*$F$7
+(G$72=5)*$F$7</f>
        <v>0.95</v>
      </c>
      <c r="H70" s="940">
        <f>(H$72=1)*$F$8
+(H$72=2)*$F$8
+(H$72=3)*$F$8
+(H$72=4)*$F$8
+(H$72=5)*$F$8</f>
        <v>0.95</v>
      </c>
      <c r="I70" s="940">
        <f>(I$72=1)*$F$9
+(I$72=2)*$F$9
+(I$72=3)*$F$9
+(I$72=4)*$F$9
+(I$72=5)*$F$9</f>
        <v>0.95</v>
      </c>
      <c r="J70" s="827"/>
      <c r="K70" s="844">
        <v>1.6887132185633427</v>
      </c>
      <c r="L70" s="845">
        <v>0</v>
      </c>
      <c r="M70" s="845">
        <v>1.2535862582664925E-3</v>
      </c>
      <c r="N70" s="845">
        <v>0.12623724295859939</v>
      </c>
      <c r="O70" s="845">
        <v>1.6986830860724087E-2</v>
      </c>
      <c r="P70" s="845">
        <v>1.9496425900155944E-2</v>
      </c>
      <c r="Q70" s="845">
        <v>2.0591552902310458E-3</v>
      </c>
      <c r="R70" s="845">
        <v>1.2454599859911524E-3</v>
      </c>
      <c r="S70" s="845">
        <v>0.13494304416177688</v>
      </c>
      <c r="T70" s="845">
        <v>1.0713620728484385</v>
      </c>
      <c r="U70" s="845">
        <v>2.2211931331717321E-2</v>
      </c>
      <c r="V70" s="845">
        <v>0.20105371241426109</v>
      </c>
      <c r="W70" s="845">
        <v>7.5457688254663854E-2</v>
      </c>
      <c r="X70" s="845">
        <v>1.5523509298953832E-2</v>
      </c>
      <c r="Y70" s="845">
        <v>3.389731516093876E-3</v>
      </c>
      <c r="Z70" s="954"/>
      <c r="AA70" s="827"/>
      <c r="AB70" s="827"/>
      <c r="AC70" s="827"/>
      <c r="AD70" s="827"/>
      <c r="AE70" s="827"/>
      <c r="AF70" s="827"/>
      <c r="AG70" s="827"/>
      <c r="AH70" s="827"/>
      <c r="AI70" s="827"/>
      <c r="AJ70" s="827"/>
      <c r="AK70" s="827"/>
      <c r="AL70" s="827"/>
      <c r="AM70" s="827"/>
      <c r="AN70" s="827"/>
      <c r="AO70" s="827"/>
      <c r="AP70" s="827"/>
      <c r="AQ70" s="827"/>
      <c r="AR70" s="827"/>
      <c r="AS70" s="827"/>
      <c r="AT70" s="827"/>
      <c r="AU70" s="827"/>
      <c r="AV70" s="827"/>
      <c r="AW70" s="827"/>
      <c r="AX70" s="827"/>
      <c r="AY70" s="827"/>
      <c r="AZ70" s="827"/>
      <c r="BA70" s="827"/>
      <c r="BB70" s="827"/>
      <c r="BC70" s="827"/>
      <c r="BD70" s="827"/>
      <c r="BE70" s="827"/>
      <c r="BF70" s="827"/>
      <c r="BG70" s="827"/>
      <c r="BH70" s="827"/>
      <c r="BI70" s="827"/>
      <c r="BJ70" s="827"/>
      <c r="BK70" s="827"/>
      <c r="BL70" s="827"/>
      <c r="BM70" s="827"/>
      <c r="BN70" s="827"/>
      <c r="BO70" s="827"/>
      <c r="BP70" s="827"/>
      <c r="BQ70" s="827"/>
      <c r="BR70" s="827"/>
      <c r="BS70" s="827"/>
      <c r="BT70" s="827"/>
      <c r="BU70" s="827"/>
    </row>
    <row r="71" spans="1:73" x14ac:dyDescent="0.25">
      <c r="A71" s="827"/>
      <c r="B71" s="827"/>
      <c r="C71" s="827"/>
      <c r="D71" s="827"/>
      <c r="E71" s="827"/>
      <c r="F71" s="827"/>
      <c r="G71" s="827"/>
      <c r="H71" s="827"/>
      <c r="I71" s="827"/>
      <c r="J71" s="827"/>
      <c r="K71" s="827"/>
      <c r="L71" s="827"/>
      <c r="M71" s="827"/>
      <c r="N71" s="827"/>
      <c r="O71" s="827"/>
      <c r="P71" s="827"/>
      <c r="Q71" s="827"/>
      <c r="R71" s="827"/>
      <c r="S71" s="827"/>
      <c r="T71" s="827"/>
      <c r="U71" s="827"/>
      <c r="V71" s="827"/>
      <c r="W71" s="827"/>
      <c r="X71" s="827"/>
      <c r="Y71" s="827"/>
      <c r="Z71" s="827"/>
      <c r="AA71" s="827"/>
      <c r="AB71" s="827"/>
      <c r="AC71" s="827"/>
      <c r="AD71" s="827"/>
      <c r="AE71" s="827"/>
      <c r="AF71" s="827"/>
      <c r="AG71" s="827"/>
      <c r="AH71" s="827"/>
      <c r="AI71" s="827"/>
      <c r="AJ71" s="827"/>
      <c r="AK71" s="827"/>
      <c r="AL71" s="827"/>
      <c r="AM71" s="827"/>
      <c r="AN71" s="827"/>
      <c r="AO71" s="827"/>
      <c r="AP71" s="827"/>
      <c r="AQ71" s="827"/>
      <c r="AR71" s="827"/>
      <c r="AS71" s="827"/>
      <c r="AT71" s="827"/>
      <c r="AU71" s="827"/>
      <c r="AV71" s="827"/>
      <c r="AW71" s="827"/>
      <c r="AX71" s="827"/>
      <c r="AY71" s="827"/>
      <c r="AZ71" s="827"/>
      <c r="BA71" s="827"/>
      <c r="BB71" s="827"/>
      <c r="BC71" s="827"/>
      <c r="BD71" s="827"/>
      <c r="BE71" s="827"/>
      <c r="BF71" s="827"/>
      <c r="BG71" s="827"/>
      <c r="BH71" s="827"/>
      <c r="BI71" s="827"/>
      <c r="BJ71" s="827"/>
      <c r="BK71" s="827"/>
      <c r="BL71" s="827"/>
      <c r="BM71" s="827"/>
      <c r="BN71" s="827"/>
      <c r="BO71" s="827"/>
      <c r="BP71" s="827"/>
      <c r="BQ71" s="827"/>
      <c r="BR71" s="827"/>
      <c r="BS71" s="827"/>
      <c r="BT71" s="827"/>
      <c r="BU71" s="827"/>
    </row>
    <row r="72" spans="1:73" x14ac:dyDescent="0.25">
      <c r="A72" s="827"/>
      <c r="B72" s="948" t="s">
        <v>1154</v>
      </c>
      <c r="C72" s="831">
        <f>6-RANK($N$101,($N$101,$N$104:$N$107))</f>
        <v>1</v>
      </c>
      <c r="D72" s="949"/>
      <c r="E72" s="949"/>
      <c r="F72" s="831">
        <f>6-RANK($N$104,($N$101,$N$104:$N$107))</f>
        <v>5</v>
      </c>
      <c r="G72" s="831">
        <f>6-RANK($N$105,($N$101,$N$104:$N$107))</f>
        <v>5</v>
      </c>
      <c r="H72" s="831">
        <f>6-RANK($N$106,($N$101,$N$104:$N$107))</f>
        <v>2</v>
      </c>
      <c r="I72" s="831">
        <f>6-RANK($N$107,($N$101,$N$104:$N$107))</f>
        <v>3</v>
      </c>
      <c r="J72" s="827"/>
      <c r="K72" s="827"/>
      <c r="L72" s="827"/>
      <c r="M72" s="827"/>
      <c r="N72" s="827"/>
      <c r="O72" s="827"/>
      <c r="P72" s="827"/>
      <c r="Q72" s="827"/>
      <c r="R72" s="827"/>
      <c r="S72" s="827"/>
      <c r="T72" s="827"/>
      <c r="U72" s="827"/>
      <c r="V72" s="827"/>
      <c r="W72" s="827"/>
      <c r="X72" s="827"/>
      <c r="Y72" s="827"/>
      <c r="Z72" s="827"/>
      <c r="AA72" s="827"/>
      <c r="AB72" s="827"/>
      <c r="AC72" s="827"/>
      <c r="AD72" s="827"/>
      <c r="AE72" s="827"/>
      <c r="AF72" s="827"/>
      <c r="AG72" s="827"/>
      <c r="AH72" s="827"/>
      <c r="AI72" s="827"/>
      <c r="AJ72" s="827"/>
      <c r="AK72" s="827"/>
      <c r="AL72" s="827"/>
      <c r="AM72" s="827"/>
      <c r="AN72" s="827"/>
      <c r="AO72" s="827"/>
      <c r="AP72" s="827"/>
      <c r="AQ72" s="827"/>
      <c r="AR72" s="827"/>
      <c r="AS72" s="827"/>
      <c r="AT72" s="827"/>
      <c r="AU72" s="827"/>
      <c r="AV72" s="827"/>
      <c r="AW72" s="827"/>
      <c r="AX72" s="827"/>
      <c r="AY72" s="827"/>
      <c r="AZ72" s="827"/>
      <c r="BA72" s="827"/>
      <c r="BB72" s="827"/>
      <c r="BC72" s="827"/>
      <c r="BD72" s="827"/>
      <c r="BE72" s="827"/>
      <c r="BF72" s="827"/>
      <c r="BG72" s="827"/>
      <c r="BH72" s="827"/>
      <c r="BI72" s="827"/>
      <c r="BJ72" s="827"/>
      <c r="BK72" s="827"/>
      <c r="BL72" s="827"/>
      <c r="BM72" s="827"/>
      <c r="BN72" s="827"/>
      <c r="BO72" s="827"/>
      <c r="BP72" s="827"/>
      <c r="BQ72" s="827"/>
      <c r="BR72" s="827"/>
      <c r="BS72" s="827"/>
      <c r="BT72" s="827"/>
      <c r="BU72" s="827"/>
    </row>
    <row r="73" spans="1:73" x14ac:dyDescent="0.25">
      <c r="A73" s="827"/>
      <c r="B73" s="827"/>
      <c r="C73" s="827"/>
      <c r="D73" s="827"/>
      <c r="E73" s="827"/>
      <c r="F73" s="827"/>
      <c r="G73" s="827"/>
      <c r="H73" s="827"/>
      <c r="I73" s="827"/>
      <c r="J73" s="827"/>
      <c r="K73" s="827"/>
      <c r="L73" s="827"/>
      <c r="M73" s="827"/>
      <c r="N73" s="827"/>
      <c r="O73" s="827"/>
      <c r="P73" s="827"/>
      <c r="Q73" s="827"/>
      <c r="R73" s="827"/>
      <c r="S73" s="827"/>
      <c r="T73" s="827"/>
      <c r="U73" s="827"/>
      <c r="V73" s="827"/>
      <c r="W73" s="827"/>
      <c r="X73" s="827"/>
      <c r="Y73" s="827"/>
      <c r="Z73" s="827"/>
      <c r="AA73" s="827"/>
      <c r="AB73" s="827"/>
      <c r="AC73" s="827"/>
      <c r="AD73" s="827"/>
      <c r="AE73" s="827"/>
      <c r="AF73" s="827"/>
      <c r="AG73" s="827"/>
      <c r="AH73" s="827"/>
      <c r="AI73" s="827"/>
      <c r="AJ73" s="827"/>
      <c r="AK73" s="827"/>
      <c r="AL73" s="827"/>
      <c r="AM73" s="827"/>
      <c r="AN73" s="827"/>
      <c r="AO73" s="827"/>
      <c r="AP73" s="827"/>
      <c r="AQ73" s="827"/>
      <c r="AR73" s="827"/>
      <c r="AS73" s="827"/>
      <c r="AT73" s="827"/>
      <c r="AU73" s="827"/>
      <c r="AV73" s="827"/>
      <c r="AW73" s="827"/>
      <c r="AX73" s="827"/>
      <c r="AY73" s="827"/>
      <c r="AZ73" s="827"/>
      <c r="BA73" s="827"/>
      <c r="BB73" s="827"/>
      <c r="BC73" s="827"/>
      <c r="BD73" s="827"/>
      <c r="BE73" s="827"/>
      <c r="BF73" s="827"/>
      <c r="BG73" s="827"/>
      <c r="BH73" s="827"/>
      <c r="BI73" s="827"/>
      <c r="BJ73" s="827"/>
      <c r="BK73" s="827"/>
      <c r="BL73" s="827"/>
      <c r="BM73" s="827"/>
      <c r="BN73" s="827"/>
      <c r="BO73" s="827"/>
      <c r="BP73" s="827"/>
      <c r="BQ73" s="827"/>
      <c r="BR73" s="827"/>
      <c r="BS73" s="827"/>
      <c r="BT73" s="827"/>
      <c r="BU73" s="827"/>
    </row>
    <row r="74" spans="1:73" x14ac:dyDescent="0.25">
      <c r="A74" s="827"/>
      <c r="B74" s="829" t="s">
        <v>1118</v>
      </c>
      <c r="C74" s="827"/>
      <c r="D74" s="827"/>
      <c r="E74" s="827"/>
      <c r="F74" s="827"/>
      <c r="G74" s="827"/>
      <c r="H74" s="827"/>
      <c r="I74" s="827"/>
      <c r="J74" s="827"/>
      <c r="K74" s="827"/>
      <c r="L74" s="827"/>
      <c r="M74" s="827"/>
      <c r="N74" s="827"/>
      <c r="O74" s="827"/>
      <c r="P74" s="827"/>
      <c r="Q74" s="827"/>
      <c r="R74" s="827"/>
      <c r="S74" s="827"/>
      <c r="T74" s="827"/>
      <c r="U74" s="827"/>
      <c r="V74" s="827"/>
      <c r="W74" s="827"/>
      <c r="X74" s="827"/>
      <c r="Y74" s="827"/>
      <c r="Z74" s="827"/>
      <c r="AA74" s="827"/>
      <c r="AB74" s="827"/>
      <c r="AC74" s="827"/>
      <c r="AD74" s="827"/>
      <c r="AE74" s="827"/>
      <c r="AF74" s="827"/>
      <c r="AG74" s="827"/>
      <c r="AH74" s="827"/>
      <c r="AI74" s="827"/>
      <c r="AJ74" s="827"/>
      <c r="AK74" s="827"/>
      <c r="AL74" s="827"/>
      <c r="AM74" s="827"/>
      <c r="AN74" s="827"/>
      <c r="AO74" s="827"/>
      <c r="AP74" s="827"/>
      <c r="AQ74" s="827"/>
      <c r="AR74" s="827"/>
      <c r="AS74" s="827"/>
      <c r="AT74" s="827"/>
      <c r="AU74" s="827"/>
      <c r="AV74" s="827"/>
      <c r="AW74" s="827"/>
      <c r="AX74" s="827"/>
      <c r="AY74" s="827"/>
      <c r="AZ74" s="827"/>
      <c r="BA74" s="827"/>
      <c r="BB74" s="827"/>
      <c r="BC74" s="827"/>
      <c r="BD74" s="827"/>
      <c r="BE74" s="827"/>
      <c r="BF74" s="827"/>
      <c r="BG74" s="827"/>
      <c r="BH74" s="827"/>
      <c r="BI74" s="827"/>
      <c r="BJ74" s="827"/>
      <c r="BK74" s="827"/>
      <c r="BL74" s="827"/>
      <c r="BM74" s="827"/>
      <c r="BN74" s="827"/>
      <c r="BO74" s="827"/>
      <c r="BP74" s="827"/>
      <c r="BQ74" s="827"/>
      <c r="BR74" s="827"/>
      <c r="BS74" s="827"/>
      <c r="BT74" s="827"/>
      <c r="BU74" s="827"/>
    </row>
    <row r="75" spans="1:73" x14ac:dyDescent="0.25">
      <c r="A75" s="827"/>
      <c r="B75" s="827"/>
      <c r="C75" s="827"/>
      <c r="D75" s="827"/>
      <c r="E75" s="827"/>
      <c r="F75" s="827"/>
      <c r="G75" s="827"/>
      <c r="H75" s="827"/>
      <c r="I75" s="827"/>
      <c r="J75" s="827"/>
      <c r="K75" s="827"/>
      <c r="L75" s="827"/>
      <c r="M75" s="827"/>
      <c r="N75" s="827"/>
      <c r="O75" s="827"/>
      <c r="P75" s="827"/>
      <c r="Q75" s="827"/>
      <c r="R75" s="827"/>
      <c r="S75" s="827"/>
      <c r="T75" s="827"/>
      <c r="U75" s="827"/>
      <c r="V75" s="827"/>
      <c r="W75" s="827"/>
      <c r="X75" s="827"/>
      <c r="Y75" s="827"/>
      <c r="Z75" s="827"/>
      <c r="AA75" s="827"/>
      <c r="AB75" s="827"/>
      <c r="AC75" s="827"/>
      <c r="AD75" s="827"/>
      <c r="AE75" s="827"/>
      <c r="AF75" s="827"/>
      <c r="AG75" s="827"/>
      <c r="AH75" s="827"/>
      <c r="AI75" s="827"/>
      <c r="AJ75" s="827"/>
      <c r="AK75" s="827"/>
      <c r="AL75" s="827"/>
      <c r="AM75" s="827"/>
      <c r="AN75" s="827"/>
      <c r="AO75" s="827"/>
      <c r="AP75" s="827"/>
      <c r="AQ75" s="827"/>
      <c r="AR75" s="827"/>
      <c r="AS75" s="827"/>
      <c r="AT75" s="827"/>
      <c r="AU75" s="827"/>
      <c r="AV75" s="827"/>
      <c r="AW75" s="827"/>
      <c r="AX75" s="827"/>
      <c r="AY75" s="827"/>
      <c r="AZ75" s="827"/>
      <c r="BA75" s="827"/>
      <c r="BB75" s="827"/>
      <c r="BC75" s="827"/>
      <c r="BD75" s="827"/>
      <c r="BE75" s="827"/>
      <c r="BF75" s="827"/>
      <c r="BG75" s="827"/>
      <c r="BH75" s="827"/>
      <c r="BI75" s="827"/>
      <c r="BJ75" s="827"/>
      <c r="BK75" s="827"/>
      <c r="BL75" s="827"/>
      <c r="BM75" s="827"/>
      <c r="BN75" s="827"/>
      <c r="BO75" s="827"/>
      <c r="BP75" s="827"/>
      <c r="BQ75" s="827"/>
      <c r="BR75" s="827"/>
      <c r="BS75" s="827"/>
      <c r="BT75" s="827"/>
      <c r="BU75" s="827"/>
    </row>
    <row r="76" spans="1:73" ht="52.8" x14ac:dyDescent="0.25">
      <c r="A76" s="827"/>
      <c r="B76" s="838" t="s">
        <v>1115</v>
      </c>
      <c r="C76" s="838" t="s">
        <v>1116</v>
      </c>
      <c r="D76" s="838" t="s">
        <v>1117</v>
      </c>
      <c r="E76" s="838" t="s">
        <v>1104</v>
      </c>
      <c r="F76" s="838" t="s">
        <v>1105</v>
      </c>
      <c r="G76" s="838" t="s">
        <v>968</v>
      </c>
      <c r="H76" s="838" t="s">
        <v>119</v>
      </c>
      <c r="I76" s="838" t="s">
        <v>120</v>
      </c>
      <c r="J76" s="838" t="s">
        <v>1143</v>
      </c>
      <c r="K76" s="838" t="s">
        <v>132</v>
      </c>
      <c r="L76" s="838" t="s">
        <v>81</v>
      </c>
      <c r="M76" s="838" t="s">
        <v>133</v>
      </c>
      <c r="N76" s="838" t="s">
        <v>1103</v>
      </c>
      <c r="O76" s="838" t="s">
        <v>134</v>
      </c>
      <c r="P76" s="838" t="s">
        <v>135</v>
      </c>
      <c r="Q76" s="838" t="s">
        <v>136</v>
      </c>
      <c r="R76" s="838" t="s">
        <v>1109</v>
      </c>
      <c r="S76" s="838" t="s">
        <v>42</v>
      </c>
      <c r="T76" s="827"/>
      <c r="U76" s="827"/>
      <c r="V76" s="827"/>
      <c r="W76" s="827"/>
      <c r="X76" s="827"/>
      <c r="Y76" s="827"/>
      <c r="Z76" s="827"/>
      <c r="AA76" s="827"/>
      <c r="AB76" s="827"/>
      <c r="AC76" s="827"/>
      <c r="AD76" s="827"/>
      <c r="AE76" s="827"/>
      <c r="AF76" s="827"/>
      <c r="AG76" s="827"/>
      <c r="AH76" s="827"/>
      <c r="AI76" s="827"/>
      <c r="AJ76" s="827"/>
      <c r="AK76" s="827"/>
      <c r="AL76" s="827"/>
      <c r="AM76" s="827"/>
      <c r="AN76" s="827"/>
      <c r="AO76" s="827"/>
      <c r="AP76" s="827"/>
      <c r="AQ76" s="827"/>
      <c r="AR76" s="827"/>
      <c r="AS76" s="827"/>
      <c r="AT76" s="827"/>
      <c r="AU76" s="827"/>
      <c r="AV76" s="827"/>
      <c r="AW76" s="827"/>
      <c r="AX76" s="827"/>
      <c r="AY76" s="827"/>
      <c r="AZ76" s="827"/>
      <c r="BA76" s="827"/>
      <c r="BB76" s="827"/>
      <c r="BC76" s="827"/>
      <c r="BD76" s="827"/>
      <c r="BE76" s="827"/>
      <c r="BF76" s="827"/>
      <c r="BG76" s="827"/>
      <c r="BH76" s="827"/>
      <c r="BI76" s="827"/>
      <c r="BJ76" s="827"/>
      <c r="BK76" s="827"/>
      <c r="BL76" s="827"/>
      <c r="BM76" s="827"/>
      <c r="BN76" s="827"/>
      <c r="BO76" s="827"/>
      <c r="BP76" s="827"/>
      <c r="BQ76" s="827"/>
      <c r="BR76" s="827"/>
      <c r="BS76" s="827"/>
      <c r="BT76" s="827"/>
      <c r="BU76" s="827"/>
    </row>
    <row r="77" spans="1:73" x14ac:dyDescent="0.25">
      <c r="A77" s="827"/>
      <c r="B77" s="831" t="str">
        <f>+$B$3</f>
        <v>Operating Capacity Factor</v>
      </c>
      <c r="C77" s="840">
        <f ca="1">+H3</f>
        <v>0.94500000000000006</v>
      </c>
      <c r="D77" s="840" t="str">
        <f ca="1">+B77&amp;" = "&amp;C77*100&amp;"%"</f>
        <v>Operating Capacity Factor = 94.5%</v>
      </c>
      <c r="E77" s="843">
        <f t="shared" ref="E77:S77" si="7">+K52</f>
        <v>1.7105620579941494</v>
      </c>
      <c r="F77" s="843">
        <f t="shared" si="7"/>
        <v>0</v>
      </c>
      <c r="G77" s="843">
        <f t="shared" si="7"/>
        <v>1.3195644823857818E-3</v>
      </c>
      <c r="H77" s="843">
        <f t="shared" si="7"/>
        <v>0.13292465901516215</v>
      </c>
      <c r="I77" s="843">
        <f t="shared" si="7"/>
        <v>1.6986830860724087E-2</v>
      </c>
      <c r="J77" s="843">
        <f t="shared" si="7"/>
        <v>1.9640011225214891E-2</v>
      </c>
      <c r="K77" s="843">
        <f t="shared" si="7"/>
        <v>2.0591552902310458E-3</v>
      </c>
      <c r="L77" s="843">
        <f t="shared" si="7"/>
        <v>1.3114382101104415E-3</v>
      </c>
      <c r="M77" s="843">
        <f t="shared" si="7"/>
        <v>0.14546372745417774</v>
      </c>
      <c r="N77" s="843">
        <f t="shared" si="7"/>
        <v>1.0713620728484385</v>
      </c>
      <c r="O77" s="843">
        <f t="shared" si="7"/>
        <v>2.2211931331717321E-2</v>
      </c>
      <c r="P77" s="843">
        <f t="shared" si="7"/>
        <v>0.20105371241426109</v>
      </c>
      <c r="Q77" s="843">
        <f t="shared" si="7"/>
        <v>7.9455058160713146E-2</v>
      </c>
      <c r="R77" s="843">
        <f t="shared" si="7"/>
        <v>1.5843723173352409E-2</v>
      </c>
      <c r="S77" s="843">
        <f t="shared" si="7"/>
        <v>3.569302492430846E-3</v>
      </c>
      <c r="T77" s="827"/>
      <c r="U77" s="827"/>
      <c r="V77" s="827"/>
      <c r="W77" s="827"/>
      <c r="X77" s="827"/>
      <c r="Y77" s="827"/>
      <c r="Z77" s="827"/>
      <c r="AA77" s="827"/>
      <c r="AB77" s="827"/>
      <c r="AC77" s="827"/>
      <c r="AD77" s="827"/>
      <c r="AE77" s="827"/>
      <c r="AF77" s="827"/>
      <c r="AG77" s="827"/>
      <c r="AH77" s="827"/>
      <c r="AI77" s="827"/>
      <c r="AJ77" s="827"/>
      <c r="AK77" s="827"/>
      <c r="AL77" s="827"/>
      <c r="AM77" s="827"/>
      <c r="AN77" s="827"/>
      <c r="AO77" s="827"/>
      <c r="AP77" s="827"/>
      <c r="AQ77" s="827"/>
      <c r="AR77" s="827"/>
      <c r="AS77" s="827"/>
      <c r="AT77" s="827"/>
      <c r="AU77" s="827"/>
      <c r="AV77" s="827"/>
      <c r="AW77" s="827"/>
      <c r="AX77" s="827"/>
      <c r="AY77" s="827"/>
      <c r="AZ77" s="827"/>
      <c r="BA77" s="827"/>
      <c r="BB77" s="827"/>
      <c r="BC77" s="827"/>
      <c r="BD77" s="827"/>
      <c r="BE77" s="827"/>
      <c r="BF77" s="827"/>
      <c r="BG77" s="827"/>
      <c r="BH77" s="827"/>
      <c r="BI77" s="827"/>
      <c r="BJ77" s="827"/>
      <c r="BK77" s="827"/>
      <c r="BL77" s="827"/>
      <c r="BM77" s="827"/>
      <c r="BN77" s="827"/>
      <c r="BO77" s="827"/>
      <c r="BP77" s="827"/>
      <c r="BQ77" s="827"/>
      <c r="BR77" s="827"/>
      <c r="BS77" s="827"/>
      <c r="BT77" s="827"/>
      <c r="BU77" s="827"/>
    </row>
    <row r="78" spans="1:73" x14ac:dyDescent="0.25">
      <c r="A78" s="827"/>
      <c r="B78" s="831" t="str">
        <f t="shared" ref="B78:B79" si="8">+$B$3</f>
        <v>Operating Capacity Factor</v>
      </c>
      <c r="C78" s="840">
        <f ca="1">+C3</f>
        <v>0.9</v>
      </c>
      <c r="D78" s="831" t="str">
        <f t="shared" ref="D78:D79" ca="1" si="9">+B78&amp;" = "&amp;C78*100&amp;"%"</f>
        <v>Operating Capacity Factor = 90%</v>
      </c>
      <c r="E78" s="843">
        <f t="shared" ref="E78:S78" si="10">+K$51</f>
        <v>1.7365211887771219</v>
      </c>
      <c r="F78" s="843">
        <f t="shared" si="10"/>
        <v>0</v>
      </c>
      <c r="G78" s="843">
        <f t="shared" si="10"/>
        <v>1.385542706505071E-3</v>
      </c>
      <c r="H78" s="843">
        <f t="shared" si="10"/>
        <v>0.13957089196592026</v>
      </c>
      <c r="I78" s="843">
        <f t="shared" si="10"/>
        <v>1.783617240376029E-2</v>
      </c>
      <c r="J78" s="843">
        <f t="shared" si="10"/>
        <v>1.982439028379392E-2</v>
      </c>
      <c r="K78" s="843">
        <f t="shared" si="10"/>
        <v>2.1621130547425983E-3</v>
      </c>
      <c r="L78" s="843">
        <f t="shared" si="10"/>
        <v>1.3770101206159633E-3</v>
      </c>
      <c r="M78" s="843">
        <f t="shared" si="10"/>
        <v>0.15273691382688664</v>
      </c>
      <c r="N78" s="843">
        <f t="shared" si="10"/>
        <v>1.0713620728484385</v>
      </c>
      <c r="O78" s="843">
        <f t="shared" si="10"/>
        <v>2.3322527898303188E-2</v>
      </c>
      <c r="P78" s="843">
        <f t="shared" si="10"/>
        <v>0.20617962261571299</v>
      </c>
      <c r="Q78" s="843">
        <f t="shared" si="10"/>
        <v>8.3427811068748803E-2</v>
      </c>
      <c r="R78" s="843">
        <f t="shared" si="10"/>
        <v>1.6359437779649533E-2</v>
      </c>
      <c r="S78" s="843">
        <f t="shared" si="10"/>
        <v>3.7477676170523879E-3</v>
      </c>
      <c r="T78" s="827"/>
      <c r="U78" s="827"/>
      <c r="V78" s="827"/>
      <c r="W78" s="827"/>
      <c r="X78" s="827"/>
      <c r="Y78" s="827"/>
      <c r="Z78" s="827"/>
      <c r="AA78" s="827"/>
      <c r="AB78" s="827"/>
      <c r="AC78" s="827"/>
      <c r="AD78" s="827"/>
      <c r="AE78" s="827"/>
      <c r="AF78" s="827"/>
      <c r="AG78" s="827"/>
      <c r="AH78" s="827"/>
      <c r="AI78" s="827"/>
      <c r="AJ78" s="827"/>
      <c r="AK78" s="827"/>
      <c r="AL78" s="827"/>
      <c r="AM78" s="827"/>
      <c r="AN78" s="827"/>
      <c r="AO78" s="827"/>
      <c r="AP78" s="827"/>
      <c r="AQ78" s="827"/>
      <c r="AR78" s="827"/>
      <c r="AS78" s="827"/>
      <c r="AT78" s="827"/>
      <c r="AU78" s="827"/>
      <c r="AV78" s="827"/>
      <c r="AW78" s="827"/>
      <c r="AX78" s="827"/>
      <c r="AY78" s="827"/>
      <c r="AZ78" s="827"/>
      <c r="BA78" s="827"/>
      <c r="BB78" s="827"/>
      <c r="BC78" s="827"/>
      <c r="BD78" s="827"/>
      <c r="BE78" s="827"/>
      <c r="BF78" s="827"/>
      <c r="BG78" s="827"/>
      <c r="BH78" s="827"/>
      <c r="BI78" s="827"/>
      <c r="BJ78" s="827"/>
      <c r="BK78" s="827"/>
      <c r="BL78" s="827"/>
      <c r="BM78" s="827"/>
      <c r="BN78" s="827"/>
      <c r="BO78" s="827"/>
      <c r="BP78" s="827"/>
      <c r="BQ78" s="827"/>
      <c r="BR78" s="827"/>
      <c r="BS78" s="827"/>
      <c r="BT78" s="827"/>
      <c r="BU78" s="827"/>
    </row>
    <row r="79" spans="1:73" x14ac:dyDescent="0.25">
      <c r="A79" s="827"/>
      <c r="B79" s="831" t="str">
        <f t="shared" si="8"/>
        <v>Operating Capacity Factor</v>
      </c>
      <c r="C79" s="840">
        <f ca="1">+I3</f>
        <v>0.85499999999999998</v>
      </c>
      <c r="D79" s="831" t="str">
        <f t="shared" ca="1" si="9"/>
        <v>Operating Capacity Factor = 85.5%</v>
      </c>
      <c r="E79" s="843">
        <f t="shared" ref="E79:S80" si="11">+K53</f>
        <v>1.7652104581418571</v>
      </c>
      <c r="F79" s="843">
        <f t="shared" si="11"/>
        <v>0</v>
      </c>
      <c r="G79" s="843">
        <f t="shared" si="11"/>
        <v>1.4584660068474428E-3</v>
      </c>
      <c r="H79" s="843">
        <f t="shared" si="11"/>
        <v>0.14691672838517919</v>
      </c>
      <c r="I79" s="843">
        <f t="shared" si="11"/>
        <v>1.8774918319747674E-2</v>
      </c>
      <c r="J79" s="843">
        <f t="shared" si="11"/>
        <v>2.0028145480361491E-2</v>
      </c>
      <c r="K79" s="843">
        <f t="shared" si="11"/>
        <v>2.2759084786764189E-3</v>
      </c>
      <c r="L79" s="843">
        <f t="shared" si="11"/>
        <v>1.4494843374904876E-3</v>
      </c>
      <c r="M79" s="843">
        <f t="shared" si="11"/>
        <v>0.16077569876514383</v>
      </c>
      <c r="N79" s="843">
        <f t="shared" si="11"/>
        <v>1.0713620728484379</v>
      </c>
      <c r="O79" s="843">
        <f t="shared" si="11"/>
        <v>2.4550029366634932E-2</v>
      </c>
      <c r="P79" s="843">
        <f t="shared" si="11"/>
        <v>0.2118427441509734</v>
      </c>
      <c r="Q79" s="843">
        <f t="shared" si="11"/>
        <v>8.7818748493419793E-2</v>
      </c>
      <c r="R79" s="843">
        <f t="shared" si="11"/>
        <v>1.6929426978371711E-2</v>
      </c>
      <c r="S79" s="843">
        <f t="shared" si="11"/>
        <v>3.9450185442656714E-3</v>
      </c>
      <c r="T79" s="827"/>
      <c r="U79" s="827"/>
      <c r="V79" s="827"/>
      <c r="W79" s="827"/>
      <c r="X79" s="827"/>
      <c r="Y79" s="827"/>
      <c r="Z79" s="827"/>
      <c r="AA79" s="827"/>
      <c r="AB79" s="827"/>
      <c r="AC79" s="827"/>
      <c r="AD79" s="827"/>
      <c r="AE79" s="827"/>
      <c r="AF79" s="827"/>
      <c r="AG79" s="827"/>
      <c r="AH79" s="827"/>
      <c r="AI79" s="827"/>
      <c r="AJ79" s="827"/>
      <c r="AK79" s="827"/>
      <c r="AL79" s="827"/>
      <c r="AM79" s="827"/>
      <c r="AN79" s="827"/>
      <c r="AO79" s="827"/>
      <c r="AP79" s="827"/>
      <c r="AQ79" s="827"/>
      <c r="AR79" s="827"/>
      <c r="AS79" s="827"/>
      <c r="AT79" s="827"/>
      <c r="AU79" s="827"/>
      <c r="AV79" s="827"/>
      <c r="AW79" s="827"/>
      <c r="AX79" s="827"/>
      <c r="AY79" s="827"/>
      <c r="AZ79" s="827"/>
      <c r="BA79" s="827"/>
      <c r="BB79" s="827"/>
      <c r="BC79" s="827"/>
      <c r="BD79" s="827"/>
      <c r="BE79" s="827"/>
      <c r="BF79" s="827"/>
      <c r="BG79" s="827"/>
      <c r="BH79" s="827"/>
      <c r="BI79" s="827"/>
      <c r="BJ79" s="827"/>
      <c r="BK79" s="827"/>
      <c r="BL79" s="827"/>
      <c r="BM79" s="827"/>
      <c r="BN79" s="827"/>
      <c r="BO79" s="827"/>
      <c r="BP79" s="827"/>
      <c r="BQ79" s="827"/>
      <c r="BR79" s="827"/>
      <c r="BS79" s="827"/>
      <c r="BT79" s="827"/>
      <c r="BU79" s="827"/>
    </row>
    <row r="80" spans="1:73" x14ac:dyDescent="0.25">
      <c r="A80" s="827"/>
      <c r="B80" s="831" t="str">
        <f>+$B$4</f>
        <v>Plant Design Capacity (kg of H2/day)</v>
      </c>
      <c r="C80" s="848">
        <f ca="1">ROUND(H4,0)</f>
        <v>693000</v>
      </c>
      <c r="D80" s="831" t="str">
        <f ca="1">+B80&amp;" = "&amp;TEXT(C80,"0,000")</f>
        <v>Plant Design Capacity (kg of H2/day) = 693,000</v>
      </c>
      <c r="E80" s="843">
        <f t="shared" si="11"/>
        <v>1.7233721517105773</v>
      </c>
      <c r="F80" s="843">
        <f t="shared" si="11"/>
        <v>0</v>
      </c>
      <c r="G80" s="843">
        <f t="shared" si="11"/>
        <v>1.3553763424064599E-3</v>
      </c>
      <c r="H80" s="843">
        <f t="shared" si="11"/>
        <v>0.13652879549663197</v>
      </c>
      <c r="I80" s="843">
        <f t="shared" si="11"/>
        <v>1.7447414000551512E-2</v>
      </c>
      <c r="J80" s="843">
        <f t="shared" si="11"/>
        <v>1.9722865178135662E-2</v>
      </c>
      <c r="K80" s="843">
        <f t="shared" si="11"/>
        <v>2.1233538651908896E-3</v>
      </c>
      <c r="L80" s="843">
        <f t="shared" si="11"/>
        <v>1.3469967161940522E-3</v>
      </c>
      <c r="M80" s="843">
        <f t="shared" si="11"/>
        <v>0.14968292148673398</v>
      </c>
      <c r="N80" s="843">
        <f t="shared" si="11"/>
        <v>1.0713620728484385</v>
      </c>
      <c r="O80" s="843">
        <f t="shared" si="11"/>
        <v>2.3322527898303195E-2</v>
      </c>
      <c r="P80" s="843">
        <f t="shared" si="11"/>
        <v>0.20179473857752089</v>
      </c>
      <c r="Q80" s="843">
        <f t="shared" si="11"/>
        <v>8.1609412934883926E-2</v>
      </c>
      <c r="R80" s="843">
        <f t="shared" si="11"/>
        <v>1.6120348026265593E-2</v>
      </c>
      <c r="S80" s="843">
        <f t="shared" si="11"/>
        <v>3.6660810241320543E-3</v>
      </c>
      <c r="T80" s="827"/>
      <c r="U80" s="827"/>
      <c r="V80" s="827"/>
      <c r="W80" s="827"/>
      <c r="X80" s="827"/>
      <c r="Y80" s="827"/>
      <c r="Z80" s="827"/>
      <c r="AA80" s="827"/>
      <c r="AB80" s="827"/>
      <c r="AC80" s="827"/>
      <c r="AD80" s="827"/>
      <c r="AE80" s="827"/>
      <c r="AF80" s="827"/>
      <c r="AG80" s="827"/>
      <c r="AH80" s="827"/>
      <c r="AI80" s="827"/>
      <c r="AJ80" s="827"/>
      <c r="AK80" s="827"/>
      <c r="AL80" s="827"/>
      <c r="AM80" s="827"/>
      <c r="AN80" s="827"/>
      <c r="AO80" s="827"/>
      <c r="AP80" s="827"/>
      <c r="AQ80" s="827"/>
      <c r="AR80" s="827"/>
      <c r="AS80" s="827"/>
      <c r="AT80" s="827"/>
      <c r="AU80" s="827"/>
      <c r="AV80" s="827"/>
      <c r="AW80" s="827"/>
      <c r="AX80" s="827"/>
      <c r="AY80" s="827"/>
      <c r="AZ80" s="827"/>
      <c r="BA80" s="827"/>
      <c r="BB80" s="827"/>
      <c r="BC80" s="827"/>
      <c r="BD80" s="827"/>
      <c r="BE80" s="827"/>
      <c r="BF80" s="827"/>
      <c r="BG80" s="827"/>
      <c r="BH80" s="827"/>
      <c r="BI80" s="827"/>
      <c r="BJ80" s="827"/>
      <c r="BK80" s="827"/>
      <c r="BL80" s="827"/>
      <c r="BM80" s="827"/>
      <c r="BN80" s="827"/>
      <c r="BO80" s="827"/>
      <c r="BP80" s="827"/>
      <c r="BQ80" s="827"/>
      <c r="BR80" s="827"/>
      <c r="BS80" s="827"/>
      <c r="BT80" s="827"/>
      <c r="BU80" s="827"/>
    </row>
    <row r="81" spans="1:73" x14ac:dyDescent="0.25">
      <c r="A81" s="827"/>
      <c r="B81" s="831" t="str">
        <f t="shared" ref="B81:B82" si="12">+$B$4</f>
        <v>Plant Design Capacity (kg of H2/day)</v>
      </c>
      <c r="C81" s="848">
        <f ca="1">+ROUND(C4,0)</f>
        <v>660000</v>
      </c>
      <c r="D81" s="831" t="str">
        <f t="shared" ref="D81:D82" ca="1" si="13">+B81&amp;" = "&amp;TEXT(C81,"0,000")</f>
        <v>Plant Design Capacity (kg of H2/day) = 660,000</v>
      </c>
      <c r="E81" s="843">
        <f t="shared" ref="E81:S81" si="14">+K$51</f>
        <v>1.7365211887771219</v>
      </c>
      <c r="F81" s="843">
        <f t="shared" si="14"/>
        <v>0</v>
      </c>
      <c r="G81" s="843">
        <f t="shared" si="14"/>
        <v>1.385542706505071E-3</v>
      </c>
      <c r="H81" s="843">
        <f t="shared" si="14"/>
        <v>0.13957089196592026</v>
      </c>
      <c r="I81" s="843">
        <f t="shared" si="14"/>
        <v>1.783617240376029E-2</v>
      </c>
      <c r="J81" s="843">
        <f t="shared" si="14"/>
        <v>1.982439028379392E-2</v>
      </c>
      <c r="K81" s="843">
        <f t="shared" si="14"/>
        <v>2.1621130547425983E-3</v>
      </c>
      <c r="L81" s="843">
        <f t="shared" si="14"/>
        <v>1.3770101206159633E-3</v>
      </c>
      <c r="M81" s="843">
        <f t="shared" si="14"/>
        <v>0.15273691382688664</v>
      </c>
      <c r="N81" s="843">
        <f t="shared" si="14"/>
        <v>1.0713620728484385</v>
      </c>
      <c r="O81" s="843">
        <f t="shared" si="14"/>
        <v>2.3322527898303188E-2</v>
      </c>
      <c r="P81" s="843">
        <f t="shared" si="14"/>
        <v>0.20617962261571299</v>
      </c>
      <c r="Q81" s="843">
        <f t="shared" si="14"/>
        <v>8.3427811068748803E-2</v>
      </c>
      <c r="R81" s="843">
        <f t="shared" si="14"/>
        <v>1.6359437779649533E-2</v>
      </c>
      <c r="S81" s="843">
        <f t="shared" si="14"/>
        <v>3.7477676170523879E-3</v>
      </c>
      <c r="T81" s="827"/>
      <c r="U81" s="827"/>
      <c r="V81" s="827"/>
      <c r="W81" s="827"/>
      <c r="X81" s="827"/>
      <c r="Y81" s="827"/>
      <c r="Z81" s="827"/>
      <c r="AA81" s="827"/>
      <c r="AB81" s="827"/>
      <c r="AC81" s="827"/>
      <c r="AD81" s="827"/>
      <c r="AE81" s="827"/>
      <c r="AF81" s="827"/>
      <c r="AG81" s="827"/>
      <c r="AH81" s="827"/>
      <c r="AI81" s="827"/>
      <c r="AJ81" s="827"/>
      <c r="AK81" s="827"/>
      <c r="AL81" s="827"/>
      <c r="AM81" s="827"/>
      <c r="AN81" s="827"/>
      <c r="AO81" s="827"/>
      <c r="AP81" s="827"/>
      <c r="AQ81" s="827"/>
      <c r="AR81" s="827"/>
      <c r="AS81" s="827"/>
      <c r="AT81" s="827"/>
      <c r="AU81" s="827"/>
      <c r="AV81" s="827"/>
      <c r="AW81" s="827"/>
      <c r="AX81" s="827"/>
      <c r="AY81" s="827"/>
      <c r="AZ81" s="827"/>
      <c r="BA81" s="827"/>
      <c r="BB81" s="827"/>
      <c r="BC81" s="827"/>
      <c r="BD81" s="827"/>
      <c r="BE81" s="827"/>
      <c r="BF81" s="827"/>
      <c r="BG81" s="827"/>
      <c r="BH81" s="827"/>
      <c r="BI81" s="827"/>
      <c r="BJ81" s="827"/>
      <c r="BK81" s="827"/>
      <c r="BL81" s="827"/>
      <c r="BM81" s="827"/>
      <c r="BN81" s="827"/>
      <c r="BO81" s="827"/>
      <c r="BP81" s="827"/>
      <c r="BQ81" s="827"/>
      <c r="BR81" s="827"/>
      <c r="BS81" s="827"/>
      <c r="BT81" s="827"/>
      <c r="BU81" s="827"/>
    </row>
    <row r="82" spans="1:73" x14ac:dyDescent="0.25">
      <c r="A82" s="827"/>
      <c r="B82" s="831" t="str">
        <f t="shared" si="12"/>
        <v>Plant Design Capacity (kg of H2/day)</v>
      </c>
      <c r="C82" s="848">
        <f ca="1">ROUND(I4,0)</f>
        <v>627000</v>
      </c>
      <c r="D82" s="831" t="str">
        <f t="shared" ca="1" si="13"/>
        <v>Plant Design Capacity (kg of H2/day) = 627,000</v>
      </c>
      <c r="E82" s="843">
        <f t="shared" ref="E82:S83" si="15">+K55</f>
        <v>1.7508387717729852</v>
      </c>
      <c r="F82" s="843">
        <f t="shared" si="15"/>
        <v>0</v>
      </c>
      <c r="G82" s="843">
        <f t="shared" si="15"/>
        <v>1.4181744861070042E-3</v>
      </c>
      <c r="H82" s="843">
        <f t="shared" si="15"/>
        <v>0.14286175498500772</v>
      </c>
      <c r="I82" s="843">
        <f t="shared" si="15"/>
        <v>1.8256721411786511E-2</v>
      </c>
      <c r="J82" s="843">
        <f t="shared" si="15"/>
        <v>1.9935474295222601E-2</v>
      </c>
      <c r="K82" s="843">
        <f t="shared" si="15"/>
        <v>2.2036793843761625E-3</v>
      </c>
      <c r="L82" s="843">
        <f t="shared" si="15"/>
        <v>1.4094778624138069E-3</v>
      </c>
      <c r="M82" s="843">
        <f t="shared" si="15"/>
        <v>0.15603438067209219</v>
      </c>
      <c r="N82" s="843">
        <f t="shared" si="15"/>
        <v>1.0713620728484379</v>
      </c>
      <c r="O82" s="843">
        <f t="shared" si="15"/>
        <v>2.3322527898303181E-2</v>
      </c>
      <c r="P82" s="843">
        <f t="shared" si="15"/>
        <v>0.21102142559220219</v>
      </c>
      <c r="Q82" s="843">
        <f t="shared" si="15"/>
        <v>8.5394908178629034E-2</v>
      </c>
      <c r="R82" s="843">
        <f t="shared" si="15"/>
        <v>1.6618389023381502E-2</v>
      </c>
      <c r="S82" s="843">
        <f t="shared" si="15"/>
        <v>3.8361341072379119E-3</v>
      </c>
      <c r="T82" s="827"/>
      <c r="U82" s="827"/>
      <c r="V82" s="827"/>
      <c r="W82" s="827"/>
      <c r="X82" s="827"/>
      <c r="Y82" s="827"/>
      <c r="Z82" s="827"/>
      <c r="AA82" s="827"/>
      <c r="AB82" s="827"/>
      <c r="AC82" s="827"/>
      <c r="AD82" s="827"/>
      <c r="AE82" s="827"/>
      <c r="AF82" s="827"/>
      <c r="AG82" s="827"/>
      <c r="AH82" s="827"/>
      <c r="AI82" s="827"/>
      <c r="AJ82" s="827"/>
      <c r="AK82" s="827"/>
      <c r="AL82" s="827"/>
      <c r="AM82" s="827"/>
      <c r="AN82" s="827"/>
      <c r="AO82" s="827"/>
      <c r="AP82" s="827"/>
      <c r="AQ82" s="827"/>
      <c r="AR82" s="827"/>
      <c r="AS82" s="827"/>
      <c r="AT82" s="827"/>
      <c r="AU82" s="827"/>
      <c r="AV82" s="827"/>
      <c r="AW82" s="827"/>
      <c r="AX82" s="827"/>
      <c r="AY82" s="827"/>
      <c r="AZ82" s="827"/>
      <c r="BA82" s="827"/>
      <c r="BB82" s="827"/>
      <c r="BC82" s="827"/>
      <c r="BD82" s="827"/>
      <c r="BE82" s="827"/>
      <c r="BF82" s="827"/>
      <c r="BG82" s="827"/>
      <c r="BH82" s="827"/>
      <c r="BI82" s="827"/>
      <c r="BJ82" s="827"/>
      <c r="BK82" s="827"/>
      <c r="BL82" s="827"/>
      <c r="BM82" s="827"/>
      <c r="BN82" s="827"/>
      <c r="BO82" s="827"/>
      <c r="BP82" s="827"/>
      <c r="BQ82" s="827"/>
      <c r="BR82" s="827"/>
      <c r="BS82" s="827"/>
      <c r="BT82" s="827"/>
      <c r="BU82" s="827"/>
    </row>
    <row r="83" spans="1:73" x14ac:dyDescent="0.25">
      <c r="A83" s="827"/>
      <c r="B83" s="831" t="str">
        <f>+$B$5</f>
        <v>After-tax Real IRR</v>
      </c>
      <c r="C83" s="840">
        <f ca="1">+ROUND(H5,2)</f>
        <v>0.08</v>
      </c>
      <c r="D83" s="831" t="str">
        <f t="shared" ref="D83:D85" ca="1" si="16">+B83&amp;" = "&amp;C83*100&amp;"%"</f>
        <v>After-tax Real IRR = 8%</v>
      </c>
      <c r="E83" s="843">
        <f t="shared" si="15"/>
        <v>1.7304926513326406</v>
      </c>
      <c r="F83" s="843">
        <f t="shared" si="15"/>
        <v>0</v>
      </c>
      <c r="G83" s="843">
        <f t="shared" si="15"/>
        <v>1.5387528459614394E-3</v>
      </c>
      <c r="H83" s="843">
        <f t="shared" si="15"/>
        <v>0.13263601708962636</v>
      </c>
      <c r="I83" s="843">
        <f t="shared" si="15"/>
        <v>1.7836172403760283E-2</v>
      </c>
      <c r="J83" s="843">
        <f t="shared" si="15"/>
        <v>1.9140696371379034E-2</v>
      </c>
      <c r="K83" s="843">
        <f t="shared" si="15"/>
        <v>2.0546838960416374E-3</v>
      </c>
      <c r="L83" s="843">
        <f t="shared" si="15"/>
        <v>1.5292767462651744E-3</v>
      </c>
      <c r="M83" s="843">
        <f t="shared" si="15"/>
        <v>0.15273691382688656</v>
      </c>
      <c r="N83" s="843">
        <f t="shared" si="15"/>
        <v>1.0758459836647856</v>
      </c>
      <c r="O83" s="843">
        <f t="shared" si="15"/>
        <v>2.3322527898303181E-2</v>
      </c>
      <c r="P83" s="843">
        <f t="shared" si="15"/>
        <v>0.20617962261571277</v>
      </c>
      <c r="Q83" s="843">
        <f t="shared" si="15"/>
        <v>8.2091691952817042E-2</v>
      </c>
      <c r="R83" s="843">
        <f t="shared" si="15"/>
        <v>1.4495630535635181E-2</v>
      </c>
      <c r="S83" s="843">
        <f t="shared" si="15"/>
        <v>4.162187177389887E-3</v>
      </c>
      <c r="T83" s="827"/>
      <c r="U83" s="827"/>
      <c r="V83" s="827"/>
      <c r="W83" s="827"/>
      <c r="X83" s="827"/>
      <c r="Y83" s="827"/>
      <c r="Z83" s="827"/>
      <c r="AA83" s="827"/>
      <c r="AB83" s="827"/>
      <c r="AC83" s="827"/>
      <c r="AD83" s="827"/>
      <c r="AE83" s="827"/>
      <c r="AF83" s="827"/>
      <c r="AG83" s="827"/>
      <c r="AH83" s="827"/>
      <c r="AI83" s="827"/>
      <c r="AJ83" s="827"/>
      <c r="AK83" s="827"/>
      <c r="AL83" s="827"/>
      <c r="AM83" s="827"/>
      <c r="AN83" s="827"/>
      <c r="AO83" s="827"/>
      <c r="AP83" s="827"/>
      <c r="AQ83" s="827"/>
      <c r="AR83" s="827"/>
      <c r="AS83" s="827"/>
      <c r="AT83" s="827"/>
      <c r="AU83" s="827"/>
      <c r="AV83" s="827"/>
      <c r="AW83" s="827"/>
      <c r="AX83" s="827"/>
      <c r="AY83" s="827"/>
      <c r="AZ83" s="827"/>
      <c r="BA83" s="827"/>
      <c r="BB83" s="827"/>
      <c r="BC83" s="827"/>
      <c r="BD83" s="827"/>
      <c r="BE83" s="827"/>
      <c r="BF83" s="827"/>
      <c r="BG83" s="827"/>
      <c r="BH83" s="827"/>
      <c r="BI83" s="827"/>
      <c r="BJ83" s="827"/>
      <c r="BK83" s="827"/>
      <c r="BL83" s="827"/>
      <c r="BM83" s="827"/>
      <c r="BN83" s="827"/>
      <c r="BO83" s="827"/>
      <c r="BP83" s="827"/>
      <c r="BQ83" s="827"/>
      <c r="BR83" s="827"/>
      <c r="BS83" s="827"/>
      <c r="BT83" s="827"/>
      <c r="BU83" s="827"/>
    </row>
    <row r="84" spans="1:73" x14ac:dyDescent="0.25">
      <c r="A84" s="827"/>
      <c r="B84" s="831" t="str">
        <f t="shared" ref="B84:B85" si="17">+$B$5</f>
        <v>After-tax Real IRR</v>
      </c>
      <c r="C84" s="840">
        <f ca="1">ROUND(C5,2)</f>
        <v>0.08</v>
      </c>
      <c r="D84" s="831" t="str">
        <f t="shared" ca="1" si="16"/>
        <v>After-tax Real IRR = 8%</v>
      </c>
      <c r="E84" s="843">
        <f t="shared" ref="E84:S84" si="18">+K$51</f>
        <v>1.7365211887771219</v>
      </c>
      <c r="F84" s="843">
        <f t="shared" si="18"/>
        <v>0</v>
      </c>
      <c r="G84" s="843">
        <f t="shared" si="18"/>
        <v>1.385542706505071E-3</v>
      </c>
      <c r="H84" s="843">
        <f t="shared" si="18"/>
        <v>0.13957089196592026</v>
      </c>
      <c r="I84" s="843">
        <f t="shared" si="18"/>
        <v>1.783617240376029E-2</v>
      </c>
      <c r="J84" s="843">
        <f t="shared" si="18"/>
        <v>1.982439028379392E-2</v>
      </c>
      <c r="K84" s="843">
        <f t="shared" si="18"/>
        <v>2.1621130547425983E-3</v>
      </c>
      <c r="L84" s="843">
        <f t="shared" si="18"/>
        <v>1.3770101206159633E-3</v>
      </c>
      <c r="M84" s="843">
        <f t="shared" si="18"/>
        <v>0.15273691382688664</v>
      </c>
      <c r="N84" s="843">
        <f t="shared" si="18"/>
        <v>1.0713620728484385</v>
      </c>
      <c r="O84" s="843">
        <f t="shared" si="18"/>
        <v>2.3322527898303188E-2</v>
      </c>
      <c r="P84" s="843">
        <f t="shared" si="18"/>
        <v>0.20617962261571299</v>
      </c>
      <c r="Q84" s="843">
        <f t="shared" si="18"/>
        <v>8.3427811068748803E-2</v>
      </c>
      <c r="R84" s="843">
        <f t="shared" si="18"/>
        <v>1.6359437779649533E-2</v>
      </c>
      <c r="S84" s="843">
        <f t="shared" si="18"/>
        <v>3.7477676170523879E-3</v>
      </c>
      <c r="T84" s="827"/>
      <c r="U84" s="827"/>
      <c r="V84" s="827"/>
      <c r="W84" s="827"/>
      <c r="X84" s="827"/>
      <c r="Y84" s="827"/>
      <c r="Z84" s="827"/>
      <c r="AA84" s="827"/>
      <c r="AB84" s="827"/>
      <c r="AC84" s="827"/>
      <c r="AD84" s="827"/>
      <c r="AE84" s="827"/>
      <c r="AF84" s="827"/>
      <c r="AG84" s="827"/>
      <c r="AH84" s="827"/>
      <c r="AI84" s="827"/>
      <c r="AJ84" s="827"/>
      <c r="AK84" s="827"/>
      <c r="AL84" s="827"/>
      <c r="AM84" s="827"/>
      <c r="AN84" s="827"/>
      <c r="AO84" s="827"/>
      <c r="AP84" s="827"/>
      <c r="AQ84" s="827"/>
      <c r="AR84" s="827"/>
      <c r="AS84" s="827"/>
      <c r="AT84" s="827"/>
      <c r="AU84" s="827"/>
      <c r="AV84" s="827"/>
      <c r="AW84" s="827"/>
      <c r="AX84" s="827"/>
      <c r="AY84" s="827"/>
      <c r="AZ84" s="827"/>
      <c r="BA84" s="827"/>
      <c r="BB84" s="827"/>
      <c r="BC84" s="827"/>
      <c r="BD84" s="827"/>
      <c r="BE84" s="827"/>
      <c r="BF84" s="827"/>
      <c r="BG84" s="827"/>
      <c r="BH84" s="827"/>
      <c r="BI84" s="827"/>
      <c r="BJ84" s="827"/>
      <c r="BK84" s="827"/>
      <c r="BL84" s="827"/>
      <c r="BM84" s="827"/>
      <c r="BN84" s="827"/>
      <c r="BO84" s="827"/>
      <c r="BP84" s="827"/>
      <c r="BQ84" s="827"/>
      <c r="BR84" s="827"/>
      <c r="BS84" s="827"/>
      <c r="BT84" s="827"/>
      <c r="BU84" s="827"/>
    </row>
    <row r="85" spans="1:73" x14ac:dyDescent="0.25">
      <c r="A85" s="827"/>
      <c r="B85" s="831" t="str">
        <f t="shared" si="17"/>
        <v>After-tax Real IRR</v>
      </c>
      <c r="C85" s="840">
        <f ca="1">ROUND(I5,2)</f>
        <v>0.08</v>
      </c>
      <c r="D85" s="831" t="str">
        <f t="shared" ca="1" si="16"/>
        <v>After-tax Real IRR = 8%</v>
      </c>
      <c r="E85" s="843">
        <f t="shared" ref="E85:S86" si="19">+K57</f>
        <v>1.7429295623650518</v>
      </c>
      <c r="F85" s="843">
        <f t="shared" si="19"/>
        <v>0</v>
      </c>
      <c r="G85" s="843">
        <f t="shared" si="19"/>
        <v>1.2465712034733431E-3</v>
      </c>
      <c r="H85" s="843">
        <f t="shared" si="19"/>
        <v>0.14666421081523556</v>
      </c>
      <c r="I85" s="843">
        <f t="shared" si="19"/>
        <v>1.7836172403760304E-2</v>
      </c>
      <c r="J85" s="843">
        <f t="shared" si="19"/>
        <v>2.0499257789603469E-2</v>
      </c>
      <c r="K85" s="843">
        <f t="shared" si="19"/>
        <v>2.2719966921510427E-3</v>
      </c>
      <c r="L85" s="843">
        <f t="shared" si="19"/>
        <v>1.2388944456147898E-3</v>
      </c>
      <c r="M85" s="843">
        <f t="shared" si="19"/>
        <v>0.15273691382688681</v>
      </c>
      <c r="N85" s="843">
        <f t="shared" si="19"/>
        <v>1.066972480241192</v>
      </c>
      <c r="O85" s="843">
        <f t="shared" si="19"/>
        <v>2.3322527898303216E-2</v>
      </c>
      <c r="P85" s="843">
        <f t="shared" si="19"/>
        <v>0.20617962261571321</v>
      </c>
      <c r="Q85" s="843">
        <f t="shared" si="19"/>
        <v>8.4769034948700278E-2</v>
      </c>
      <c r="R85" s="843">
        <f t="shared" si="19"/>
        <v>1.8313159611842766E-2</v>
      </c>
      <c r="S85" s="843">
        <f t="shared" si="19"/>
        <v>3.3718622795192213E-3</v>
      </c>
      <c r="T85" s="827"/>
      <c r="U85" s="827"/>
      <c r="V85" s="827"/>
      <c r="W85" s="827"/>
      <c r="X85" s="827"/>
      <c r="Y85" s="827"/>
      <c r="Z85" s="827"/>
      <c r="AA85" s="827"/>
      <c r="AB85" s="827"/>
      <c r="AC85" s="827"/>
      <c r="AD85" s="827"/>
      <c r="AE85" s="827"/>
      <c r="AF85" s="827"/>
      <c r="AG85" s="827"/>
      <c r="AH85" s="827"/>
      <c r="AI85" s="827"/>
      <c r="AJ85" s="827"/>
      <c r="AK85" s="827"/>
      <c r="AL85" s="827"/>
      <c r="AM85" s="827"/>
      <c r="AN85" s="827"/>
      <c r="AO85" s="827"/>
      <c r="AP85" s="827"/>
      <c r="AQ85" s="827"/>
      <c r="AR85" s="827"/>
      <c r="AS85" s="827"/>
      <c r="AT85" s="827"/>
      <c r="AU85" s="827"/>
      <c r="AV85" s="827"/>
      <c r="AW85" s="827"/>
      <c r="AX85" s="827"/>
      <c r="AY85" s="827"/>
      <c r="AZ85" s="827"/>
      <c r="BA85" s="827"/>
      <c r="BB85" s="827"/>
      <c r="BC85" s="827"/>
      <c r="BD85" s="827"/>
      <c r="BE85" s="827"/>
      <c r="BF85" s="827"/>
      <c r="BG85" s="827"/>
      <c r="BH85" s="827"/>
      <c r="BI85" s="827"/>
      <c r="BJ85" s="827"/>
      <c r="BK85" s="827"/>
      <c r="BL85" s="827"/>
      <c r="BM85" s="827"/>
      <c r="BN85" s="827"/>
      <c r="BO85" s="827"/>
      <c r="BP85" s="827"/>
      <c r="BQ85" s="827"/>
      <c r="BR85" s="827"/>
      <c r="BS85" s="827"/>
      <c r="BT85" s="827"/>
      <c r="BU85" s="827"/>
    </row>
    <row r="86" spans="1:73" x14ac:dyDescent="0.25">
      <c r="A86" s="827"/>
      <c r="B86" s="831" t="str">
        <f>+$B$6</f>
        <v>Feedstock Consumption (% of baseline)</v>
      </c>
      <c r="C86" s="831">
        <f>+ROUND(H6,3)</f>
        <v>0.95</v>
      </c>
      <c r="D86" s="830" t="str">
        <f>+B86&amp;" = "&amp;C86*100&amp;"%"</f>
        <v>Feedstock Consumption (% of baseline) = 95%</v>
      </c>
      <c r="E86" s="851">
        <f t="shared" si="19"/>
        <v>1.7365211887771219</v>
      </c>
      <c r="F86" s="843">
        <f t="shared" si="19"/>
        <v>0</v>
      </c>
      <c r="G86" s="843">
        <f t="shared" si="19"/>
        <v>1.385542706505071E-3</v>
      </c>
      <c r="H86" s="843">
        <f t="shared" si="19"/>
        <v>0.13957089196592026</v>
      </c>
      <c r="I86" s="843">
        <f t="shared" si="19"/>
        <v>1.783617240376029E-2</v>
      </c>
      <c r="J86" s="843">
        <f t="shared" si="19"/>
        <v>1.982439028379392E-2</v>
      </c>
      <c r="K86" s="843">
        <f t="shared" si="19"/>
        <v>2.1621130547425983E-3</v>
      </c>
      <c r="L86" s="843">
        <f t="shared" si="19"/>
        <v>1.3770101206159633E-3</v>
      </c>
      <c r="M86" s="843">
        <f t="shared" si="19"/>
        <v>0.15273691382688664</v>
      </c>
      <c r="N86" s="843">
        <f t="shared" si="19"/>
        <v>1.0713620728484385</v>
      </c>
      <c r="O86" s="843">
        <f t="shared" si="19"/>
        <v>2.3322527898303188E-2</v>
      </c>
      <c r="P86" s="843">
        <f t="shared" si="19"/>
        <v>0.20617962261571299</v>
      </c>
      <c r="Q86" s="843">
        <f t="shared" si="19"/>
        <v>8.3427811068748803E-2</v>
      </c>
      <c r="R86" s="843">
        <f t="shared" si="19"/>
        <v>1.6359437779649533E-2</v>
      </c>
      <c r="S86" s="843">
        <f t="shared" si="19"/>
        <v>3.7477676170523879E-3</v>
      </c>
      <c r="T86" s="827"/>
      <c r="U86" s="827"/>
      <c r="V86" s="827"/>
      <c r="W86" s="827"/>
      <c r="X86" s="827"/>
      <c r="Y86" s="827"/>
      <c r="Z86" s="827"/>
      <c r="AA86" s="827"/>
      <c r="AB86" s="827"/>
      <c r="AC86" s="827"/>
      <c r="AD86" s="827"/>
      <c r="AE86" s="827"/>
      <c r="AF86" s="827"/>
      <c r="AG86" s="827"/>
      <c r="AH86" s="827"/>
      <c r="AI86" s="827"/>
      <c r="AJ86" s="827"/>
      <c r="AK86" s="827"/>
      <c r="AL86" s="827"/>
      <c r="AM86" s="827"/>
      <c r="AN86" s="827"/>
      <c r="AO86" s="827"/>
      <c r="AP86" s="827"/>
      <c r="AQ86" s="827"/>
      <c r="AR86" s="827"/>
      <c r="AS86" s="827"/>
      <c r="AT86" s="827"/>
      <c r="AU86" s="827"/>
      <c r="AV86" s="827"/>
      <c r="AW86" s="827"/>
      <c r="AX86" s="827"/>
      <c r="AY86" s="827"/>
      <c r="AZ86" s="827"/>
      <c r="BA86" s="827"/>
      <c r="BB86" s="827"/>
      <c r="BC86" s="827"/>
      <c r="BD86" s="827"/>
      <c r="BE86" s="827"/>
      <c r="BF86" s="827"/>
      <c r="BG86" s="827"/>
      <c r="BH86" s="827"/>
      <c r="BI86" s="827"/>
      <c r="BJ86" s="827"/>
      <c r="BK86" s="827"/>
      <c r="BL86" s="827"/>
      <c r="BM86" s="827"/>
      <c r="BN86" s="827"/>
      <c r="BO86" s="827"/>
      <c r="BP86" s="827"/>
      <c r="BQ86" s="827"/>
      <c r="BR86" s="827"/>
      <c r="BS86" s="827"/>
      <c r="BT86" s="827"/>
      <c r="BU86" s="827"/>
    </row>
    <row r="87" spans="1:73" x14ac:dyDescent="0.25">
      <c r="A87" s="827"/>
      <c r="B87" s="831" t="str">
        <f t="shared" ref="B87:B88" si="20">+$B$6</f>
        <v>Feedstock Consumption (% of baseline)</v>
      </c>
      <c r="C87" s="831">
        <f>+ROUND(C6,3)</f>
        <v>1</v>
      </c>
      <c r="D87" s="830" t="str">
        <f>+B87&amp;" = "&amp;C87*100&amp;"%"</f>
        <v>Feedstock Consumption (% of baseline) = 100%</v>
      </c>
      <c r="E87" s="851">
        <f t="shared" ref="E87:S87" si="21">+K$51</f>
        <v>1.7365211887771219</v>
      </c>
      <c r="F87" s="843">
        <f t="shared" si="21"/>
        <v>0</v>
      </c>
      <c r="G87" s="843">
        <f t="shared" si="21"/>
        <v>1.385542706505071E-3</v>
      </c>
      <c r="H87" s="843">
        <f t="shared" si="21"/>
        <v>0.13957089196592026</v>
      </c>
      <c r="I87" s="843">
        <f t="shared" si="21"/>
        <v>1.783617240376029E-2</v>
      </c>
      <c r="J87" s="843">
        <f t="shared" si="21"/>
        <v>1.982439028379392E-2</v>
      </c>
      <c r="K87" s="843">
        <f t="shared" si="21"/>
        <v>2.1621130547425983E-3</v>
      </c>
      <c r="L87" s="843">
        <f t="shared" si="21"/>
        <v>1.3770101206159633E-3</v>
      </c>
      <c r="M87" s="843">
        <f t="shared" si="21"/>
        <v>0.15273691382688664</v>
      </c>
      <c r="N87" s="843">
        <f t="shared" si="21"/>
        <v>1.0713620728484385</v>
      </c>
      <c r="O87" s="843">
        <f t="shared" si="21"/>
        <v>2.3322527898303188E-2</v>
      </c>
      <c r="P87" s="843">
        <f t="shared" si="21"/>
        <v>0.20617962261571299</v>
      </c>
      <c r="Q87" s="843">
        <f t="shared" si="21"/>
        <v>8.3427811068748803E-2</v>
      </c>
      <c r="R87" s="843">
        <f t="shared" si="21"/>
        <v>1.6359437779649533E-2</v>
      </c>
      <c r="S87" s="843">
        <f t="shared" si="21"/>
        <v>3.7477676170523879E-3</v>
      </c>
      <c r="T87" s="827"/>
      <c r="U87" s="827"/>
      <c r="V87" s="827"/>
      <c r="W87" s="827"/>
      <c r="X87" s="827"/>
      <c r="Y87" s="827"/>
      <c r="Z87" s="827"/>
      <c r="AA87" s="827"/>
      <c r="AB87" s="827"/>
      <c r="AC87" s="827"/>
      <c r="AD87" s="827"/>
      <c r="AE87" s="827"/>
      <c r="AF87" s="827"/>
      <c r="AG87" s="827"/>
      <c r="AH87" s="827"/>
      <c r="AI87" s="827"/>
      <c r="AJ87" s="827"/>
      <c r="AK87" s="827"/>
      <c r="AL87" s="827"/>
      <c r="AM87" s="827"/>
      <c r="AN87" s="827"/>
      <c r="AO87" s="827"/>
      <c r="AP87" s="827"/>
      <c r="AQ87" s="827"/>
      <c r="AR87" s="827"/>
      <c r="AS87" s="827"/>
      <c r="AT87" s="827"/>
      <c r="AU87" s="827"/>
      <c r="AV87" s="827"/>
      <c r="AW87" s="827"/>
      <c r="AX87" s="827"/>
      <c r="AY87" s="827"/>
      <c r="AZ87" s="827"/>
      <c r="BA87" s="827"/>
      <c r="BB87" s="827"/>
      <c r="BC87" s="827"/>
      <c r="BD87" s="827"/>
      <c r="BE87" s="827"/>
      <c r="BF87" s="827"/>
      <c r="BG87" s="827"/>
      <c r="BH87" s="827"/>
      <c r="BI87" s="827"/>
      <c r="BJ87" s="827"/>
      <c r="BK87" s="827"/>
      <c r="BL87" s="827"/>
      <c r="BM87" s="827"/>
      <c r="BN87" s="827"/>
      <c r="BO87" s="827"/>
      <c r="BP87" s="827"/>
      <c r="BQ87" s="827"/>
      <c r="BR87" s="827"/>
      <c r="BS87" s="827"/>
      <c r="BT87" s="827"/>
      <c r="BU87" s="827"/>
    </row>
    <row r="88" spans="1:73" x14ac:dyDescent="0.25">
      <c r="A88" s="827"/>
      <c r="B88" s="831" t="str">
        <f t="shared" si="20"/>
        <v>Feedstock Consumption (% of baseline)</v>
      </c>
      <c r="C88" s="831">
        <f>+ROUND(I6,3)</f>
        <v>1.05</v>
      </c>
      <c r="D88" s="830" t="str">
        <f>+B88&amp;" = "&amp;C88*100&amp;"%"</f>
        <v>Feedstock Consumption (% of baseline) = 105%</v>
      </c>
      <c r="E88" s="851">
        <f t="shared" ref="E88:S89" si="22">+K59</f>
        <v>1.7365211887771219</v>
      </c>
      <c r="F88" s="843">
        <f t="shared" si="22"/>
        <v>0</v>
      </c>
      <c r="G88" s="843">
        <f t="shared" si="22"/>
        <v>1.385542706505071E-3</v>
      </c>
      <c r="H88" s="843">
        <f t="shared" si="22"/>
        <v>0.13957089196592026</v>
      </c>
      <c r="I88" s="843">
        <f t="shared" si="22"/>
        <v>1.783617240376029E-2</v>
      </c>
      <c r="J88" s="843">
        <f t="shared" si="22"/>
        <v>1.982439028379392E-2</v>
      </c>
      <c r="K88" s="843">
        <f t="shared" si="22"/>
        <v>2.1621130547425983E-3</v>
      </c>
      <c r="L88" s="843">
        <f t="shared" si="22"/>
        <v>1.3770101206159633E-3</v>
      </c>
      <c r="M88" s="843">
        <f t="shared" si="22"/>
        <v>0.15273691382688664</v>
      </c>
      <c r="N88" s="843">
        <f t="shared" si="22"/>
        <v>1.0713620728484385</v>
      </c>
      <c r="O88" s="843">
        <f t="shared" si="22"/>
        <v>2.3322527898303188E-2</v>
      </c>
      <c r="P88" s="843">
        <f t="shared" si="22"/>
        <v>0.20617962261571299</v>
      </c>
      <c r="Q88" s="843">
        <f t="shared" si="22"/>
        <v>8.3427811068748803E-2</v>
      </c>
      <c r="R88" s="843">
        <f t="shared" si="22"/>
        <v>1.6359437779649533E-2</v>
      </c>
      <c r="S88" s="843">
        <f t="shared" si="22"/>
        <v>3.7477676170523879E-3</v>
      </c>
      <c r="T88" s="827"/>
      <c r="U88" s="827"/>
      <c r="V88" s="827"/>
      <c r="W88" s="827"/>
      <c r="X88" s="827"/>
      <c r="Y88" s="827"/>
      <c r="Z88" s="827"/>
      <c r="AA88" s="827"/>
      <c r="AB88" s="827"/>
      <c r="AC88" s="827"/>
      <c r="AD88" s="827"/>
      <c r="AE88" s="827"/>
      <c r="AF88" s="827"/>
      <c r="AG88" s="827"/>
      <c r="AH88" s="827"/>
      <c r="AI88" s="827"/>
      <c r="AJ88" s="827"/>
      <c r="AK88" s="827"/>
      <c r="AL88" s="827"/>
      <c r="AM88" s="827"/>
      <c r="AN88" s="827"/>
      <c r="AO88" s="827"/>
      <c r="AP88" s="827"/>
      <c r="AQ88" s="827"/>
      <c r="AR88" s="827"/>
      <c r="AS88" s="827"/>
      <c r="AT88" s="827"/>
      <c r="AU88" s="827"/>
      <c r="AV88" s="827"/>
      <c r="AW88" s="827"/>
      <c r="AX88" s="827"/>
      <c r="AY88" s="827"/>
      <c r="AZ88" s="827"/>
      <c r="BA88" s="827"/>
      <c r="BB88" s="827"/>
      <c r="BC88" s="827"/>
      <c r="BD88" s="827"/>
      <c r="BE88" s="827"/>
      <c r="BF88" s="827"/>
      <c r="BG88" s="827"/>
      <c r="BH88" s="827"/>
      <c r="BI88" s="827"/>
      <c r="BJ88" s="827"/>
      <c r="BK88" s="827"/>
      <c r="BL88" s="827"/>
      <c r="BM88" s="827"/>
      <c r="BN88" s="827"/>
      <c r="BO88" s="827"/>
      <c r="BP88" s="827"/>
      <c r="BQ88" s="827"/>
      <c r="BR88" s="827"/>
      <c r="BS88" s="827"/>
      <c r="BT88" s="827"/>
      <c r="BU88" s="827"/>
    </row>
    <row r="89" spans="1:73" x14ac:dyDescent="0.25">
      <c r="A89" s="827"/>
      <c r="B89" s="831" t="str">
        <f>+$B$7</f>
        <v>Utilities Consumption (% of baseline)</v>
      </c>
      <c r="C89" s="831">
        <f>+ROUND(H7,3)</f>
        <v>0.95</v>
      </c>
      <c r="D89" s="830" t="str">
        <f t="shared" ref="D89:D91" si="23">+B89&amp;" = "&amp;C89*100&amp;"%"</f>
        <v>Utilities Consumption (% of baseline) = 95%</v>
      </c>
      <c r="E89" s="851">
        <f t="shared" si="22"/>
        <v>1.7365211887771219</v>
      </c>
      <c r="F89" s="851">
        <f t="shared" si="22"/>
        <v>0</v>
      </c>
      <c r="G89" s="851">
        <f t="shared" si="22"/>
        <v>1.385542706505071E-3</v>
      </c>
      <c r="H89" s="851">
        <f t="shared" si="22"/>
        <v>0.13957089196592026</v>
      </c>
      <c r="I89" s="851">
        <f t="shared" si="22"/>
        <v>1.783617240376029E-2</v>
      </c>
      <c r="J89" s="851">
        <f t="shared" si="22"/>
        <v>1.982439028379392E-2</v>
      </c>
      <c r="K89" s="851">
        <f t="shared" si="22"/>
        <v>2.1621130547425983E-3</v>
      </c>
      <c r="L89" s="851">
        <f t="shared" si="22"/>
        <v>1.3770101206159633E-3</v>
      </c>
      <c r="M89" s="851">
        <f t="shared" si="22"/>
        <v>0.15273691382688664</v>
      </c>
      <c r="N89" s="851">
        <f t="shared" si="22"/>
        <v>1.0713620728484385</v>
      </c>
      <c r="O89" s="851">
        <f t="shared" si="22"/>
        <v>2.3322527898303188E-2</v>
      </c>
      <c r="P89" s="851">
        <f t="shared" si="22"/>
        <v>0.20617962261571299</v>
      </c>
      <c r="Q89" s="851">
        <f t="shared" si="22"/>
        <v>8.3427811068748803E-2</v>
      </c>
      <c r="R89" s="851">
        <f t="shared" si="22"/>
        <v>1.6359437779649533E-2</v>
      </c>
      <c r="S89" s="851">
        <f t="shared" si="22"/>
        <v>3.7477676170523879E-3</v>
      </c>
      <c r="T89" s="827"/>
      <c r="U89" s="827"/>
      <c r="V89" s="827"/>
      <c r="W89" s="827"/>
      <c r="X89" s="827"/>
      <c r="Y89" s="827"/>
      <c r="Z89" s="827"/>
      <c r="AA89" s="827"/>
      <c r="AB89" s="827"/>
      <c r="AC89" s="827"/>
      <c r="AD89" s="827"/>
      <c r="AE89" s="827"/>
      <c r="AF89" s="827"/>
      <c r="AG89" s="827"/>
      <c r="AH89" s="827"/>
      <c r="AI89" s="827"/>
      <c r="AJ89" s="827"/>
      <c r="AK89" s="827"/>
      <c r="AL89" s="827"/>
      <c r="AM89" s="827"/>
      <c r="AN89" s="827"/>
      <c r="AO89" s="827"/>
      <c r="AP89" s="827"/>
      <c r="AQ89" s="827"/>
      <c r="AR89" s="827"/>
      <c r="AS89" s="827"/>
      <c r="AT89" s="827"/>
      <c r="AU89" s="827"/>
      <c r="AV89" s="827"/>
      <c r="AW89" s="827"/>
      <c r="AX89" s="827"/>
      <c r="AY89" s="827"/>
      <c r="AZ89" s="827"/>
      <c r="BA89" s="827"/>
      <c r="BB89" s="827"/>
      <c r="BC89" s="827"/>
      <c r="BD89" s="827"/>
      <c r="BE89" s="827"/>
      <c r="BF89" s="827"/>
      <c r="BG89" s="827"/>
      <c r="BH89" s="827"/>
      <c r="BI89" s="827"/>
      <c r="BJ89" s="827"/>
      <c r="BK89" s="827"/>
      <c r="BL89" s="827"/>
      <c r="BM89" s="827"/>
      <c r="BN89" s="827"/>
      <c r="BO89" s="827"/>
      <c r="BP89" s="827"/>
      <c r="BQ89" s="827"/>
      <c r="BR89" s="827"/>
      <c r="BS89" s="827"/>
      <c r="BT89" s="827"/>
      <c r="BU89" s="827"/>
    </row>
    <row r="90" spans="1:73" x14ac:dyDescent="0.25">
      <c r="A90" s="827"/>
      <c r="B90" s="831" t="str">
        <f t="shared" ref="B90:B91" si="24">+$B$7</f>
        <v>Utilities Consumption (% of baseline)</v>
      </c>
      <c r="C90" s="831">
        <f>+ROUND(C7,3)</f>
        <v>1</v>
      </c>
      <c r="D90" s="830" t="str">
        <f t="shared" si="23"/>
        <v>Utilities Consumption (% of baseline) = 100%</v>
      </c>
      <c r="E90" s="851">
        <f>+K$51</f>
        <v>1.7365211887771219</v>
      </c>
      <c r="F90" s="851">
        <f t="shared" ref="F90:S90" si="25">+L$51</f>
        <v>0</v>
      </c>
      <c r="G90" s="851">
        <f t="shared" si="25"/>
        <v>1.385542706505071E-3</v>
      </c>
      <c r="H90" s="851">
        <f t="shared" si="25"/>
        <v>0.13957089196592026</v>
      </c>
      <c r="I90" s="851">
        <f t="shared" si="25"/>
        <v>1.783617240376029E-2</v>
      </c>
      <c r="J90" s="851">
        <f t="shared" si="25"/>
        <v>1.982439028379392E-2</v>
      </c>
      <c r="K90" s="851">
        <f t="shared" si="25"/>
        <v>2.1621130547425983E-3</v>
      </c>
      <c r="L90" s="851">
        <f t="shared" si="25"/>
        <v>1.3770101206159633E-3</v>
      </c>
      <c r="M90" s="851">
        <f t="shared" si="25"/>
        <v>0.15273691382688664</v>
      </c>
      <c r="N90" s="851">
        <f t="shared" si="25"/>
        <v>1.0713620728484385</v>
      </c>
      <c r="O90" s="851">
        <f t="shared" si="25"/>
        <v>2.3322527898303188E-2</v>
      </c>
      <c r="P90" s="851">
        <f t="shared" si="25"/>
        <v>0.20617962261571299</v>
      </c>
      <c r="Q90" s="851">
        <f t="shared" si="25"/>
        <v>8.3427811068748803E-2</v>
      </c>
      <c r="R90" s="851">
        <f t="shared" si="25"/>
        <v>1.6359437779649533E-2</v>
      </c>
      <c r="S90" s="851">
        <f t="shared" si="25"/>
        <v>3.7477676170523879E-3</v>
      </c>
      <c r="T90" s="827"/>
      <c r="U90" s="827"/>
      <c r="V90" s="827"/>
      <c r="W90" s="827"/>
      <c r="X90" s="827"/>
      <c r="Y90" s="827"/>
      <c r="Z90" s="827"/>
      <c r="AA90" s="827"/>
      <c r="AB90" s="827"/>
      <c r="AC90" s="827"/>
      <c r="AD90" s="827"/>
      <c r="AE90" s="827"/>
      <c r="AF90" s="827"/>
      <c r="AG90" s="827"/>
      <c r="AH90" s="827"/>
      <c r="AI90" s="827"/>
      <c r="AJ90" s="827"/>
      <c r="AK90" s="827"/>
      <c r="AL90" s="827"/>
      <c r="AM90" s="827"/>
      <c r="AN90" s="827"/>
      <c r="AO90" s="827"/>
      <c r="AP90" s="827"/>
      <c r="AQ90" s="827"/>
      <c r="AR90" s="827"/>
      <c r="AS90" s="827"/>
      <c r="AT90" s="827"/>
      <c r="AU90" s="827"/>
      <c r="AV90" s="827"/>
      <c r="AW90" s="827"/>
      <c r="AX90" s="827"/>
      <c r="AY90" s="827"/>
      <c r="AZ90" s="827"/>
      <c r="BA90" s="827"/>
      <c r="BB90" s="827"/>
      <c r="BC90" s="827"/>
      <c r="BD90" s="827"/>
      <c r="BE90" s="827"/>
      <c r="BF90" s="827"/>
      <c r="BG90" s="827"/>
      <c r="BH90" s="827"/>
      <c r="BI90" s="827"/>
      <c r="BJ90" s="827"/>
      <c r="BK90" s="827"/>
      <c r="BL90" s="827"/>
      <c r="BM90" s="827"/>
      <c r="BN90" s="827"/>
      <c r="BO90" s="827"/>
      <c r="BP90" s="827"/>
      <c r="BQ90" s="827"/>
      <c r="BR90" s="827"/>
      <c r="BS90" s="827"/>
      <c r="BT90" s="827"/>
      <c r="BU90" s="827"/>
    </row>
    <row r="91" spans="1:73" x14ac:dyDescent="0.25">
      <c r="A91" s="827"/>
      <c r="B91" s="831" t="str">
        <f t="shared" si="24"/>
        <v>Utilities Consumption (% of baseline)</v>
      </c>
      <c r="C91" s="831">
        <f>+ROUND(I7,3)</f>
        <v>1.05</v>
      </c>
      <c r="D91" s="830" t="str">
        <f t="shared" si="23"/>
        <v>Utilities Consumption (% of baseline) = 105%</v>
      </c>
      <c r="E91" s="851">
        <f t="shared" ref="E91:S92" si="26">+K61</f>
        <v>1.7365211887771219</v>
      </c>
      <c r="F91" s="851">
        <f t="shared" si="26"/>
        <v>0</v>
      </c>
      <c r="G91" s="851">
        <f t="shared" si="26"/>
        <v>1.385542706505071E-3</v>
      </c>
      <c r="H91" s="851">
        <f t="shared" si="26"/>
        <v>0.13957089196592026</v>
      </c>
      <c r="I91" s="851">
        <f t="shared" si="26"/>
        <v>1.783617240376029E-2</v>
      </c>
      <c r="J91" s="851">
        <f t="shared" si="26"/>
        <v>1.982439028379392E-2</v>
      </c>
      <c r="K91" s="851">
        <f t="shared" si="26"/>
        <v>2.1621130547425983E-3</v>
      </c>
      <c r="L91" s="851">
        <f t="shared" si="26"/>
        <v>1.3770101206159633E-3</v>
      </c>
      <c r="M91" s="851">
        <f t="shared" si="26"/>
        <v>0.15273691382688664</v>
      </c>
      <c r="N91" s="851">
        <f t="shared" si="26"/>
        <v>1.0713620728484385</v>
      </c>
      <c r="O91" s="851">
        <f t="shared" si="26"/>
        <v>2.3322527898303188E-2</v>
      </c>
      <c r="P91" s="851">
        <f t="shared" si="26"/>
        <v>0.20617962261571299</v>
      </c>
      <c r="Q91" s="851">
        <f t="shared" si="26"/>
        <v>8.3427811068748803E-2</v>
      </c>
      <c r="R91" s="851">
        <f t="shared" si="26"/>
        <v>1.6359437779649533E-2</v>
      </c>
      <c r="S91" s="851">
        <f t="shared" si="26"/>
        <v>3.7477676170523879E-3</v>
      </c>
      <c r="T91" s="827"/>
      <c r="U91" s="827"/>
      <c r="V91" s="827"/>
      <c r="W91" s="827"/>
      <c r="X91" s="827"/>
      <c r="Y91" s="827"/>
      <c r="Z91" s="827"/>
      <c r="AA91" s="827"/>
      <c r="AB91" s="827"/>
      <c r="AC91" s="827"/>
      <c r="AD91" s="827"/>
      <c r="AE91" s="827"/>
      <c r="AF91" s="827"/>
      <c r="AG91" s="827"/>
      <c r="AH91" s="827"/>
      <c r="AI91" s="827"/>
      <c r="AJ91" s="827"/>
      <c r="AK91" s="827"/>
      <c r="AL91" s="827"/>
      <c r="AM91" s="827"/>
      <c r="AN91" s="827"/>
      <c r="AO91" s="827"/>
      <c r="AP91" s="827"/>
      <c r="AQ91" s="827"/>
      <c r="AR91" s="827"/>
      <c r="AS91" s="827"/>
      <c r="AT91" s="827"/>
      <c r="AU91" s="827"/>
      <c r="AV91" s="827"/>
      <c r="AW91" s="827"/>
      <c r="AX91" s="827"/>
      <c r="AY91" s="827"/>
      <c r="AZ91" s="827"/>
      <c r="BA91" s="827"/>
      <c r="BB91" s="827"/>
      <c r="BC91" s="827"/>
      <c r="BD91" s="827"/>
      <c r="BE91" s="827"/>
      <c r="BF91" s="827"/>
      <c r="BG91" s="827"/>
      <c r="BH91" s="827"/>
      <c r="BI91" s="827"/>
      <c r="BJ91" s="827"/>
      <c r="BK91" s="827"/>
      <c r="BL91" s="827"/>
      <c r="BM91" s="827"/>
      <c r="BN91" s="827"/>
      <c r="BO91" s="827"/>
      <c r="BP91" s="827"/>
      <c r="BQ91" s="827"/>
      <c r="BR91" s="827"/>
      <c r="BS91" s="827"/>
      <c r="BT91" s="827"/>
      <c r="BU91" s="827"/>
    </row>
    <row r="92" spans="1:73" x14ac:dyDescent="0.25">
      <c r="A92" s="827"/>
      <c r="B92" s="831" t="str">
        <f>+$B$8</f>
        <v>Total Capital Investment</v>
      </c>
      <c r="C92" s="848">
        <f ca="1">+ROUND(H8,0)</f>
        <v>739294298</v>
      </c>
      <c r="D92" s="831" t="str">
        <f t="shared" ref="D92:D97" ca="1" si="27">+B92&amp;" = "&amp;TEXT(C92/1000,"$0,000K")</f>
        <v>Total Capital Investment = $739,294K</v>
      </c>
      <c r="E92" s="843">
        <f t="shared" si="26"/>
        <v>1.7211743419140393</v>
      </c>
      <c r="F92" s="843">
        <f t="shared" si="26"/>
        <v>0</v>
      </c>
      <c r="G92" s="843">
        <f t="shared" si="26"/>
        <v>1.316265571179817E-3</v>
      </c>
      <c r="H92" s="843">
        <f t="shared" si="26"/>
        <v>0.1325491051065294</v>
      </c>
      <c r="I92" s="843">
        <f t="shared" si="26"/>
        <v>1.783617240376029E-2</v>
      </c>
      <c r="J92" s="843">
        <f t="shared" si="26"/>
        <v>1.9775403316905488E-2</v>
      </c>
      <c r="K92" s="843">
        <f t="shared" si="26"/>
        <v>2.1621130547425983E-3</v>
      </c>
      <c r="L92" s="843">
        <f t="shared" si="26"/>
        <v>1.3077329852907099E-3</v>
      </c>
      <c r="M92" s="843">
        <f t="shared" si="26"/>
        <v>0.14914757512617435</v>
      </c>
      <c r="N92" s="843">
        <f t="shared" si="26"/>
        <v>1.0713620728484385</v>
      </c>
      <c r="O92" s="843">
        <f t="shared" si="26"/>
        <v>2.3322527898303188E-2</v>
      </c>
      <c r="P92" s="843">
        <f t="shared" si="26"/>
        <v>0.20617962261571299</v>
      </c>
      <c r="Q92" s="843">
        <f t="shared" si="26"/>
        <v>7.923057266739704E-2</v>
      </c>
      <c r="R92" s="843">
        <f t="shared" si="26"/>
        <v>1.605849137006404E-2</v>
      </c>
      <c r="S92" s="843">
        <f t="shared" si="26"/>
        <v>3.5592180918985698E-3</v>
      </c>
      <c r="T92" s="827"/>
      <c r="U92" s="827"/>
      <c r="V92" s="827"/>
      <c r="W92" s="827"/>
      <c r="X92" s="827"/>
      <c r="Y92" s="827"/>
      <c r="Z92" s="827"/>
      <c r="AA92" s="827"/>
      <c r="AB92" s="827"/>
      <c r="AC92" s="827"/>
      <c r="AD92" s="827"/>
      <c r="AE92" s="827"/>
      <c r="AF92" s="827"/>
      <c r="AG92" s="827"/>
      <c r="AH92" s="827"/>
      <c r="AI92" s="827"/>
      <c r="AJ92" s="827"/>
      <c r="AK92" s="827"/>
      <c r="AL92" s="827"/>
      <c r="AM92" s="827"/>
      <c r="AN92" s="827"/>
      <c r="AO92" s="827"/>
      <c r="AP92" s="827"/>
      <c r="AQ92" s="827"/>
      <c r="AR92" s="827"/>
      <c r="AS92" s="827"/>
      <c r="AT92" s="827"/>
      <c r="AU92" s="827"/>
      <c r="AV92" s="827"/>
      <c r="AW92" s="827"/>
      <c r="AX92" s="827"/>
      <c r="AY92" s="827"/>
      <c r="AZ92" s="827"/>
      <c r="BA92" s="827"/>
      <c r="BB92" s="827"/>
      <c r="BC92" s="827"/>
      <c r="BD92" s="827"/>
      <c r="BE92" s="827"/>
      <c r="BF92" s="827"/>
      <c r="BG92" s="827"/>
      <c r="BH92" s="827"/>
      <c r="BI92" s="827"/>
      <c r="BJ92" s="827"/>
      <c r="BK92" s="827"/>
      <c r="BL92" s="827"/>
      <c r="BM92" s="827"/>
      <c r="BN92" s="827"/>
      <c r="BO92" s="827"/>
      <c r="BP92" s="827"/>
      <c r="BQ92" s="827"/>
      <c r="BR92" s="827"/>
      <c r="BS92" s="827"/>
      <c r="BT92" s="827"/>
      <c r="BU92" s="827"/>
    </row>
    <row r="93" spans="1:73" x14ac:dyDescent="0.25">
      <c r="A93" s="827"/>
      <c r="B93" s="831" t="str">
        <f t="shared" ref="B93:B94" si="28">+$B$8</f>
        <v>Total Capital Investment</v>
      </c>
      <c r="C93" s="848">
        <f ca="1">+ROUND(C8,0)</f>
        <v>778204524</v>
      </c>
      <c r="D93" s="831" t="str">
        <f t="shared" ca="1" si="27"/>
        <v>Total Capital Investment = $778,205K</v>
      </c>
      <c r="E93" s="843">
        <f t="shared" ref="E93:S93" si="29">+K$51</f>
        <v>1.7365211887771219</v>
      </c>
      <c r="F93" s="843">
        <f t="shared" si="29"/>
        <v>0</v>
      </c>
      <c r="G93" s="843">
        <f t="shared" si="29"/>
        <v>1.385542706505071E-3</v>
      </c>
      <c r="H93" s="843">
        <f t="shared" si="29"/>
        <v>0.13957089196592026</v>
      </c>
      <c r="I93" s="843">
        <f t="shared" si="29"/>
        <v>1.783617240376029E-2</v>
      </c>
      <c r="J93" s="843">
        <f t="shared" si="29"/>
        <v>1.982439028379392E-2</v>
      </c>
      <c r="K93" s="843">
        <f t="shared" si="29"/>
        <v>2.1621130547425983E-3</v>
      </c>
      <c r="L93" s="843">
        <f t="shared" si="29"/>
        <v>1.3770101206159633E-3</v>
      </c>
      <c r="M93" s="843">
        <f t="shared" si="29"/>
        <v>0.15273691382688664</v>
      </c>
      <c r="N93" s="843">
        <f t="shared" si="29"/>
        <v>1.0713620728484385</v>
      </c>
      <c r="O93" s="843">
        <f t="shared" si="29"/>
        <v>2.3322527898303188E-2</v>
      </c>
      <c r="P93" s="843">
        <f t="shared" si="29"/>
        <v>0.20617962261571299</v>
      </c>
      <c r="Q93" s="843">
        <f t="shared" si="29"/>
        <v>8.3427811068748803E-2</v>
      </c>
      <c r="R93" s="843">
        <f t="shared" si="29"/>
        <v>1.6359437779649533E-2</v>
      </c>
      <c r="S93" s="843">
        <f t="shared" si="29"/>
        <v>3.7477676170523879E-3</v>
      </c>
      <c r="T93" s="827"/>
      <c r="U93" s="827"/>
      <c r="V93" s="827"/>
      <c r="W93" s="827"/>
      <c r="X93" s="827"/>
      <c r="Y93" s="827"/>
      <c r="Z93" s="827"/>
      <c r="AA93" s="827"/>
      <c r="AB93" s="827"/>
      <c r="AC93" s="827"/>
      <c r="AD93" s="827"/>
      <c r="AE93" s="827"/>
      <c r="AF93" s="827"/>
      <c r="AG93" s="827"/>
      <c r="AH93" s="827"/>
      <c r="AI93" s="827"/>
      <c r="AJ93" s="827"/>
      <c r="AK93" s="827"/>
      <c r="AL93" s="827"/>
      <c r="AM93" s="827"/>
      <c r="AN93" s="827"/>
      <c r="AO93" s="827"/>
      <c r="AP93" s="827"/>
      <c r="AQ93" s="827"/>
      <c r="AR93" s="827"/>
      <c r="AS93" s="827"/>
      <c r="AT93" s="827"/>
      <c r="AU93" s="827"/>
      <c r="AV93" s="827"/>
      <c r="AW93" s="827"/>
      <c r="AX93" s="827"/>
      <c r="AY93" s="827"/>
      <c r="AZ93" s="827"/>
      <c r="BA93" s="827"/>
      <c r="BB93" s="827"/>
      <c r="BC93" s="827"/>
      <c r="BD93" s="827"/>
      <c r="BE93" s="827"/>
      <c r="BF93" s="827"/>
      <c r="BG93" s="827"/>
      <c r="BH93" s="827"/>
      <c r="BI93" s="827"/>
      <c r="BJ93" s="827"/>
      <c r="BK93" s="827"/>
      <c r="BL93" s="827"/>
      <c r="BM93" s="827"/>
      <c r="BN93" s="827"/>
      <c r="BO93" s="827"/>
      <c r="BP93" s="827"/>
      <c r="BQ93" s="827"/>
      <c r="BR93" s="827"/>
      <c r="BS93" s="827"/>
      <c r="BT93" s="827"/>
      <c r="BU93" s="827"/>
    </row>
    <row r="94" spans="1:73" x14ac:dyDescent="0.25">
      <c r="A94" s="827"/>
      <c r="B94" s="831" t="str">
        <f t="shared" si="28"/>
        <v>Total Capital Investment</v>
      </c>
      <c r="C94" s="848">
        <f ca="1">+ROUND(I8,0)</f>
        <v>817114750</v>
      </c>
      <c r="D94" s="831" t="str">
        <f t="shared" ca="1" si="27"/>
        <v>Total Capital Investment = $817,115K</v>
      </c>
      <c r="E94" s="843">
        <f t="shared" ref="E94:S95" si="30">+K63</f>
        <v>1.7518680356402039</v>
      </c>
      <c r="F94" s="843">
        <f t="shared" si="30"/>
        <v>0</v>
      </c>
      <c r="G94" s="843">
        <f t="shared" si="30"/>
        <v>1.4548198418303248E-3</v>
      </c>
      <c r="H94" s="843">
        <f t="shared" si="30"/>
        <v>0.14659267882531116</v>
      </c>
      <c r="I94" s="843">
        <f t="shared" si="30"/>
        <v>1.783617240376029E-2</v>
      </c>
      <c r="J94" s="843">
        <f t="shared" si="30"/>
        <v>1.9873377250682351E-2</v>
      </c>
      <c r="K94" s="843">
        <f t="shared" si="30"/>
        <v>2.1621130547425983E-3</v>
      </c>
      <c r="L94" s="843">
        <f t="shared" si="30"/>
        <v>1.4462872559412171E-3</v>
      </c>
      <c r="M94" s="843">
        <f t="shared" si="30"/>
        <v>0.15632625252759905</v>
      </c>
      <c r="N94" s="843">
        <f t="shared" si="30"/>
        <v>1.0713620728484385</v>
      </c>
      <c r="O94" s="843">
        <f t="shared" si="30"/>
        <v>2.3322527898303188E-2</v>
      </c>
      <c r="P94" s="843">
        <f t="shared" si="30"/>
        <v>0.20617962261571299</v>
      </c>
      <c r="Q94" s="843">
        <f t="shared" si="30"/>
        <v>8.7625049470100649E-2</v>
      </c>
      <c r="R94" s="843">
        <f t="shared" si="30"/>
        <v>1.6660384189235183E-2</v>
      </c>
      <c r="S94" s="843">
        <f t="shared" si="30"/>
        <v>3.936317142206206E-3</v>
      </c>
      <c r="T94" s="827"/>
      <c r="U94" s="827"/>
      <c r="V94" s="827"/>
      <c r="W94" s="827"/>
      <c r="X94" s="827"/>
      <c r="Y94" s="827"/>
      <c r="Z94" s="827"/>
      <c r="AA94" s="827"/>
      <c r="AB94" s="827"/>
      <c r="AC94" s="827"/>
      <c r="AD94" s="827"/>
      <c r="AE94" s="827"/>
      <c r="AF94" s="827"/>
      <c r="AG94" s="827"/>
      <c r="AH94" s="827"/>
      <c r="AI94" s="827"/>
      <c r="AJ94" s="827"/>
      <c r="AK94" s="827"/>
      <c r="AL94" s="827"/>
      <c r="AM94" s="827"/>
      <c r="AN94" s="827"/>
      <c r="AO94" s="827"/>
      <c r="AP94" s="827"/>
      <c r="AQ94" s="827"/>
      <c r="AR94" s="827"/>
      <c r="AS94" s="827"/>
      <c r="AT94" s="827"/>
      <c r="AU94" s="827"/>
      <c r="AV94" s="827"/>
      <c r="AW94" s="827"/>
      <c r="AX94" s="827"/>
      <c r="AY94" s="827"/>
      <c r="AZ94" s="827"/>
      <c r="BA94" s="827"/>
      <c r="BB94" s="827"/>
      <c r="BC94" s="827"/>
      <c r="BD94" s="827"/>
      <c r="BE94" s="827"/>
      <c r="BF94" s="827"/>
      <c r="BG94" s="827"/>
      <c r="BH94" s="827"/>
      <c r="BI94" s="827"/>
      <c r="BJ94" s="827"/>
      <c r="BK94" s="827"/>
      <c r="BL94" s="827"/>
      <c r="BM94" s="827"/>
      <c r="BN94" s="827"/>
      <c r="BO94" s="827"/>
      <c r="BP94" s="827"/>
      <c r="BQ94" s="827"/>
      <c r="BR94" s="827"/>
      <c r="BS94" s="827"/>
      <c r="BT94" s="827"/>
      <c r="BU94" s="827"/>
    </row>
    <row r="95" spans="1:73" x14ac:dyDescent="0.25">
      <c r="A95" s="827"/>
      <c r="B95" s="831" t="str">
        <f>+$B$9</f>
        <v>Total Fixed Operating Cost</v>
      </c>
      <c r="C95" s="848">
        <f ca="1">+ROUND(H9,0)</f>
        <v>31459146</v>
      </c>
      <c r="D95" s="831" t="str">
        <f t="shared" ca="1" si="27"/>
        <v>Total Fixed Operating Cost = $31,459K</v>
      </c>
      <c r="E95" s="843">
        <f t="shared" si="30"/>
        <v>1.7287439889613923</v>
      </c>
      <c r="F95" s="843">
        <f t="shared" si="30"/>
        <v>0</v>
      </c>
      <c r="G95" s="843">
        <f t="shared" si="30"/>
        <v>1.385542706505071E-3</v>
      </c>
      <c r="H95" s="843">
        <f t="shared" si="30"/>
        <v>0.13957089196592026</v>
      </c>
      <c r="I95" s="843">
        <f t="shared" si="30"/>
        <v>1.783617240376029E-2</v>
      </c>
      <c r="J95" s="843">
        <f t="shared" si="30"/>
        <v>1.9720163311026013E-2</v>
      </c>
      <c r="K95" s="843">
        <f t="shared" si="30"/>
        <v>2.1621130547425983E-3</v>
      </c>
      <c r="L95" s="843">
        <f t="shared" si="30"/>
        <v>1.3770101206159633E-3</v>
      </c>
      <c r="M95" s="843">
        <f t="shared" si="30"/>
        <v>0.14510006813554233</v>
      </c>
      <c r="N95" s="843">
        <f t="shared" si="30"/>
        <v>1.0713620728484385</v>
      </c>
      <c r="O95" s="843">
        <f t="shared" si="30"/>
        <v>2.3322527898303188E-2</v>
      </c>
      <c r="P95" s="843">
        <f t="shared" si="30"/>
        <v>0.20617962261571299</v>
      </c>
      <c r="Q95" s="843">
        <f t="shared" si="30"/>
        <v>8.3427811068748803E-2</v>
      </c>
      <c r="R95" s="843">
        <f t="shared" si="30"/>
        <v>1.6323310628033022E-2</v>
      </c>
      <c r="S95" s="843">
        <f t="shared" si="30"/>
        <v>3.7477676170523879E-3</v>
      </c>
      <c r="T95" s="827"/>
      <c r="U95" s="827"/>
      <c r="V95" s="827"/>
      <c r="W95" s="827"/>
      <c r="X95" s="827"/>
      <c r="Y95" s="827"/>
      <c r="Z95" s="827"/>
      <c r="AA95" s="827"/>
      <c r="AB95" s="827"/>
      <c r="AC95" s="827"/>
      <c r="AD95" s="827"/>
      <c r="AE95" s="827"/>
      <c r="AF95" s="827"/>
      <c r="AG95" s="827"/>
      <c r="AH95" s="827"/>
      <c r="AI95" s="827"/>
      <c r="AJ95" s="827"/>
      <c r="AK95" s="827"/>
      <c r="AL95" s="827"/>
      <c r="AM95" s="827"/>
      <c r="AN95" s="827"/>
      <c r="AO95" s="827"/>
      <c r="AP95" s="827"/>
      <c r="AQ95" s="827"/>
      <c r="AR95" s="827"/>
      <c r="AS95" s="827"/>
      <c r="AT95" s="827"/>
      <c r="AU95" s="827"/>
      <c r="AV95" s="827"/>
      <c r="AW95" s="827"/>
      <c r="AX95" s="827"/>
      <c r="AY95" s="827"/>
      <c r="AZ95" s="827"/>
      <c r="BA95" s="827"/>
      <c r="BB95" s="827"/>
      <c r="BC95" s="827"/>
      <c r="BD95" s="827"/>
      <c r="BE95" s="827"/>
      <c r="BF95" s="827"/>
      <c r="BG95" s="827"/>
      <c r="BH95" s="827"/>
      <c r="BI95" s="827"/>
      <c r="BJ95" s="827"/>
      <c r="BK95" s="827"/>
      <c r="BL95" s="827"/>
      <c r="BM95" s="827"/>
      <c r="BN95" s="827"/>
      <c r="BO95" s="827"/>
      <c r="BP95" s="827"/>
      <c r="BQ95" s="827"/>
      <c r="BR95" s="827"/>
      <c r="BS95" s="827"/>
      <c r="BT95" s="827"/>
      <c r="BU95" s="827"/>
    </row>
    <row r="96" spans="1:73" x14ac:dyDescent="0.25">
      <c r="A96" s="827"/>
      <c r="B96" s="831" t="str">
        <f t="shared" ref="B96:B97" si="31">+$B$9</f>
        <v>Total Fixed Operating Cost</v>
      </c>
      <c r="C96" s="848">
        <f ca="1">+ROUND(C9,0)</f>
        <v>33114890</v>
      </c>
      <c r="D96" s="831" t="str">
        <f t="shared" ca="1" si="27"/>
        <v>Total Fixed Operating Cost = $33,115K</v>
      </c>
      <c r="E96" s="843">
        <f t="shared" ref="E96:S96" si="32">+K$51</f>
        <v>1.7365211887771219</v>
      </c>
      <c r="F96" s="843">
        <f t="shared" si="32"/>
        <v>0</v>
      </c>
      <c r="G96" s="843">
        <f t="shared" si="32"/>
        <v>1.385542706505071E-3</v>
      </c>
      <c r="H96" s="843">
        <f t="shared" si="32"/>
        <v>0.13957089196592026</v>
      </c>
      <c r="I96" s="843">
        <f t="shared" si="32"/>
        <v>1.783617240376029E-2</v>
      </c>
      <c r="J96" s="843">
        <f t="shared" si="32"/>
        <v>1.982439028379392E-2</v>
      </c>
      <c r="K96" s="843">
        <f t="shared" si="32"/>
        <v>2.1621130547425983E-3</v>
      </c>
      <c r="L96" s="843">
        <f t="shared" si="32"/>
        <v>1.3770101206159633E-3</v>
      </c>
      <c r="M96" s="843">
        <f t="shared" si="32"/>
        <v>0.15273691382688664</v>
      </c>
      <c r="N96" s="843">
        <f t="shared" si="32"/>
        <v>1.0713620728484385</v>
      </c>
      <c r="O96" s="843">
        <f t="shared" si="32"/>
        <v>2.3322527898303188E-2</v>
      </c>
      <c r="P96" s="843">
        <f t="shared" si="32"/>
        <v>0.20617962261571299</v>
      </c>
      <c r="Q96" s="843">
        <f t="shared" si="32"/>
        <v>8.3427811068748803E-2</v>
      </c>
      <c r="R96" s="843">
        <f t="shared" si="32"/>
        <v>1.6359437779649533E-2</v>
      </c>
      <c r="S96" s="843">
        <f t="shared" si="32"/>
        <v>3.7477676170523879E-3</v>
      </c>
      <c r="T96" s="827"/>
      <c r="U96" s="827"/>
      <c r="V96" s="827"/>
      <c r="W96" s="827"/>
      <c r="X96" s="827"/>
      <c r="Y96" s="827"/>
      <c r="Z96" s="827"/>
      <c r="AA96" s="827"/>
      <c r="AB96" s="827"/>
      <c r="AC96" s="827"/>
      <c r="AD96" s="827"/>
      <c r="AE96" s="827"/>
      <c r="AF96" s="827"/>
      <c r="AG96" s="827"/>
      <c r="AH96" s="827"/>
      <c r="AI96" s="827"/>
      <c r="AJ96" s="827"/>
      <c r="AK96" s="827"/>
      <c r="AL96" s="827"/>
      <c r="AM96" s="827"/>
      <c r="AN96" s="827"/>
      <c r="AO96" s="827"/>
      <c r="AP96" s="827"/>
      <c r="AQ96" s="827"/>
      <c r="AR96" s="827"/>
      <c r="AS96" s="827"/>
      <c r="AT96" s="827"/>
      <c r="AU96" s="827"/>
      <c r="AV96" s="827"/>
      <c r="AW96" s="827"/>
      <c r="AX96" s="827"/>
      <c r="AY96" s="827"/>
      <c r="AZ96" s="827"/>
      <c r="BA96" s="827"/>
      <c r="BB96" s="827"/>
      <c r="BC96" s="827"/>
      <c r="BD96" s="827"/>
      <c r="BE96" s="827"/>
      <c r="BF96" s="827"/>
      <c r="BG96" s="827"/>
      <c r="BH96" s="827"/>
      <c r="BI96" s="827"/>
      <c r="BJ96" s="827"/>
      <c r="BK96" s="827"/>
      <c r="BL96" s="827"/>
      <c r="BM96" s="827"/>
      <c r="BN96" s="827"/>
      <c r="BO96" s="827"/>
      <c r="BP96" s="827"/>
      <c r="BQ96" s="827"/>
      <c r="BR96" s="827"/>
      <c r="BS96" s="827"/>
      <c r="BT96" s="827"/>
      <c r="BU96" s="827"/>
    </row>
    <row r="97" spans="1:73" x14ac:dyDescent="0.25">
      <c r="A97" s="827"/>
      <c r="B97" s="831" t="str">
        <f t="shared" si="31"/>
        <v>Total Fixed Operating Cost</v>
      </c>
      <c r="C97" s="848">
        <f ca="1">+ROUND(I9,0)</f>
        <v>34770635</v>
      </c>
      <c r="D97" s="831" t="str">
        <f t="shared" ca="1" si="27"/>
        <v>Total Fixed Operating Cost = $34,771K</v>
      </c>
      <c r="E97" s="843">
        <f t="shared" ref="E97:S97" si="33">+K65</f>
        <v>1.74429838859285</v>
      </c>
      <c r="F97" s="843">
        <f t="shared" si="33"/>
        <v>0</v>
      </c>
      <c r="G97" s="843">
        <f t="shared" si="33"/>
        <v>1.385542706505071E-3</v>
      </c>
      <c r="H97" s="843">
        <f t="shared" si="33"/>
        <v>0.13957089196592026</v>
      </c>
      <c r="I97" s="843">
        <f t="shared" si="33"/>
        <v>1.783617240376029E-2</v>
      </c>
      <c r="J97" s="843">
        <f t="shared" si="33"/>
        <v>1.9928617256561823E-2</v>
      </c>
      <c r="K97" s="843">
        <f t="shared" si="33"/>
        <v>2.1621130547425983E-3</v>
      </c>
      <c r="L97" s="843">
        <f t="shared" si="33"/>
        <v>1.3770101206159633E-3</v>
      </c>
      <c r="M97" s="843">
        <f t="shared" si="33"/>
        <v>0.16037375951823099</v>
      </c>
      <c r="N97" s="843">
        <f t="shared" si="33"/>
        <v>1.0713620728484385</v>
      </c>
      <c r="O97" s="843">
        <f t="shared" si="33"/>
        <v>2.3322527898303188E-2</v>
      </c>
      <c r="P97" s="843">
        <f t="shared" si="33"/>
        <v>0.20617962261571299</v>
      </c>
      <c r="Q97" s="843">
        <f t="shared" si="33"/>
        <v>8.3427811068748803E-2</v>
      </c>
      <c r="R97" s="843">
        <f t="shared" si="33"/>
        <v>1.6395564931266104E-2</v>
      </c>
      <c r="S97" s="843">
        <f t="shared" si="33"/>
        <v>3.7477676170523879E-3</v>
      </c>
      <c r="T97" s="827"/>
      <c r="U97" s="827"/>
      <c r="V97" s="827"/>
      <c r="W97" s="827"/>
      <c r="X97" s="827"/>
      <c r="Y97" s="827"/>
      <c r="Z97" s="827"/>
      <c r="AA97" s="827"/>
      <c r="AB97" s="827"/>
      <c r="AC97" s="827"/>
      <c r="AD97" s="827"/>
      <c r="AE97" s="827"/>
      <c r="AF97" s="827"/>
      <c r="AG97" s="827"/>
      <c r="AH97" s="827"/>
      <c r="AI97" s="827"/>
      <c r="AJ97" s="827"/>
      <c r="AK97" s="827"/>
      <c r="AL97" s="827"/>
      <c r="AM97" s="827"/>
      <c r="AN97" s="827"/>
      <c r="AO97" s="827"/>
      <c r="AP97" s="827"/>
      <c r="AQ97" s="827"/>
      <c r="AR97" s="827"/>
      <c r="AS97" s="827"/>
      <c r="AT97" s="827"/>
      <c r="AU97" s="827"/>
      <c r="AV97" s="827"/>
      <c r="AW97" s="827"/>
      <c r="AX97" s="827"/>
      <c r="AY97" s="827"/>
      <c r="AZ97" s="827"/>
      <c r="BA97" s="827"/>
      <c r="BB97" s="827"/>
      <c r="BC97" s="827"/>
      <c r="BD97" s="827"/>
      <c r="BE97" s="827"/>
      <c r="BF97" s="827"/>
      <c r="BG97" s="827"/>
      <c r="BH97" s="827"/>
      <c r="BI97" s="827"/>
      <c r="BJ97" s="827"/>
      <c r="BK97" s="827"/>
      <c r="BL97" s="827"/>
      <c r="BM97" s="827"/>
      <c r="BN97" s="827"/>
      <c r="BO97" s="827"/>
      <c r="BP97" s="827"/>
      <c r="BQ97" s="827"/>
      <c r="BR97" s="827"/>
      <c r="BS97" s="827"/>
      <c r="BT97" s="827"/>
      <c r="BU97" s="827"/>
    </row>
    <row r="98" spans="1:73" x14ac:dyDescent="0.25">
      <c r="A98" s="827"/>
      <c r="B98" s="827"/>
      <c r="C98" s="827"/>
      <c r="D98" s="827"/>
      <c r="E98" s="827"/>
      <c r="F98" s="827"/>
      <c r="G98" s="827"/>
      <c r="H98" s="827"/>
      <c r="I98" s="827"/>
      <c r="J98" s="827"/>
      <c r="K98" s="827"/>
      <c r="L98" s="827"/>
      <c r="M98" s="827"/>
      <c r="N98" s="827"/>
      <c r="O98" s="827"/>
      <c r="P98" s="827"/>
      <c r="Q98" s="827"/>
      <c r="R98" s="827"/>
      <c r="S98" s="827"/>
      <c r="T98" s="827"/>
      <c r="U98" s="827"/>
      <c r="V98" s="827"/>
      <c r="W98" s="827"/>
      <c r="X98" s="827"/>
      <c r="Y98" s="827"/>
      <c r="Z98" s="827"/>
      <c r="AA98" s="827"/>
      <c r="AB98" s="827"/>
      <c r="AC98" s="827"/>
      <c r="AD98" s="827"/>
      <c r="AE98" s="827"/>
      <c r="AF98" s="827"/>
      <c r="AG98" s="827"/>
      <c r="AH98" s="827"/>
      <c r="AI98" s="827"/>
      <c r="AJ98" s="827"/>
      <c r="AK98" s="827"/>
      <c r="AL98" s="827"/>
      <c r="AM98" s="827"/>
      <c r="AN98" s="827"/>
      <c r="AO98" s="827"/>
      <c r="AP98" s="827"/>
      <c r="AQ98" s="827"/>
      <c r="AR98" s="827"/>
      <c r="AS98" s="827"/>
      <c r="AT98" s="827"/>
      <c r="AU98" s="827"/>
      <c r="AV98" s="827"/>
      <c r="AW98" s="827"/>
      <c r="AX98" s="827"/>
      <c r="AY98" s="827"/>
      <c r="AZ98" s="827"/>
      <c r="BA98" s="827"/>
      <c r="BB98" s="827"/>
      <c r="BC98" s="827"/>
      <c r="BD98" s="827"/>
      <c r="BE98" s="827"/>
      <c r="BF98" s="827"/>
      <c r="BG98" s="827"/>
      <c r="BH98" s="827"/>
      <c r="BI98" s="827"/>
      <c r="BJ98" s="827"/>
      <c r="BK98" s="827"/>
      <c r="BL98" s="827"/>
      <c r="BM98" s="827"/>
      <c r="BN98" s="827"/>
      <c r="BO98" s="827"/>
      <c r="BP98" s="827"/>
      <c r="BQ98" s="827"/>
      <c r="BR98" s="827"/>
      <c r="BS98" s="827"/>
      <c r="BT98" s="827"/>
      <c r="BU98" s="827"/>
    </row>
    <row r="99" spans="1:73" x14ac:dyDescent="0.25">
      <c r="A99" s="827"/>
      <c r="B99" s="827"/>
      <c r="C99" s="827"/>
      <c r="D99" s="827"/>
      <c r="E99" s="827"/>
      <c r="F99" s="827"/>
      <c r="G99" s="827"/>
      <c r="H99" s="827"/>
      <c r="I99" s="827"/>
      <c r="J99" s="827"/>
      <c r="K99" s="827"/>
      <c r="L99" s="827"/>
      <c r="M99" s="827"/>
      <c r="N99" s="827"/>
      <c r="O99" s="827"/>
      <c r="P99" s="827"/>
      <c r="Q99" s="827"/>
      <c r="R99" s="827"/>
      <c r="S99" s="827"/>
      <c r="T99" s="827"/>
      <c r="U99" s="827"/>
      <c r="V99" s="827"/>
      <c r="W99" s="827"/>
      <c r="X99" s="827"/>
      <c r="Y99" s="827"/>
      <c r="Z99" s="827"/>
      <c r="AA99" s="827"/>
      <c r="AB99" s="827"/>
      <c r="AC99" s="827"/>
      <c r="AD99" s="827"/>
      <c r="AE99" s="827"/>
      <c r="AF99" s="827"/>
      <c r="AG99" s="827"/>
      <c r="AH99" s="827"/>
      <c r="AI99" s="827"/>
      <c r="AJ99" s="827"/>
      <c r="AK99" s="827"/>
      <c r="AL99" s="827"/>
      <c r="AM99" s="827"/>
      <c r="AN99" s="827"/>
      <c r="AO99" s="827"/>
      <c r="AP99" s="827"/>
      <c r="AQ99" s="827"/>
      <c r="AR99" s="827"/>
      <c r="AS99" s="827"/>
      <c r="AT99" s="827"/>
      <c r="AU99" s="827"/>
      <c r="AV99" s="827"/>
      <c r="AW99" s="827"/>
      <c r="AX99" s="827"/>
      <c r="AY99" s="827"/>
      <c r="AZ99" s="827"/>
      <c r="BA99" s="827"/>
      <c r="BB99" s="827"/>
      <c r="BC99" s="827"/>
      <c r="BD99" s="827"/>
      <c r="BE99" s="827"/>
      <c r="BF99" s="827"/>
      <c r="BG99" s="827"/>
      <c r="BH99" s="827"/>
      <c r="BI99" s="827"/>
      <c r="BJ99" s="827"/>
      <c r="BK99" s="827"/>
      <c r="BL99" s="827"/>
      <c r="BM99" s="827"/>
      <c r="BN99" s="827"/>
      <c r="BO99" s="827"/>
      <c r="BP99" s="827"/>
      <c r="BQ99" s="827"/>
      <c r="BR99" s="827"/>
      <c r="BS99" s="827"/>
      <c r="BT99" s="827"/>
      <c r="BU99" s="827"/>
    </row>
    <row r="100" spans="1:73" ht="39.6" x14ac:dyDescent="0.25">
      <c r="A100" s="827"/>
      <c r="B100" s="829" t="s">
        <v>1120</v>
      </c>
      <c r="C100" s="849" t="s">
        <v>1119</v>
      </c>
      <c r="D100" s="1" t="s">
        <v>1129</v>
      </c>
      <c r="E100" s="829" t="s">
        <v>1125</v>
      </c>
      <c r="F100" s="829" t="s">
        <v>1126</v>
      </c>
      <c r="G100" s="829" t="s">
        <v>1127</v>
      </c>
      <c r="H100" s="829" t="s">
        <v>1121</v>
      </c>
      <c r="I100" s="829" t="s">
        <v>1122</v>
      </c>
      <c r="J100" s="829" t="s">
        <v>1123</v>
      </c>
      <c r="K100" s="827"/>
      <c r="L100" s="829" t="s">
        <v>1128</v>
      </c>
      <c r="M100" s="838" t="s">
        <v>1131</v>
      </c>
      <c r="N100" s="838" t="s">
        <v>1114</v>
      </c>
      <c r="O100" s="827"/>
      <c r="P100" s="827"/>
      <c r="Q100" s="827"/>
      <c r="R100" s="827"/>
      <c r="S100" s="827"/>
      <c r="T100" s="827"/>
      <c r="U100" s="827"/>
      <c r="V100" s="827"/>
      <c r="W100" s="827"/>
      <c r="X100" s="827"/>
      <c r="Y100" s="827"/>
      <c r="Z100" s="827"/>
      <c r="AA100" s="827"/>
      <c r="AB100" s="827"/>
      <c r="AC100" s="827"/>
      <c r="AD100" s="827"/>
      <c r="AE100" s="827"/>
      <c r="AF100" s="827"/>
      <c r="AG100" s="827"/>
      <c r="AH100" s="827"/>
      <c r="AI100" s="827"/>
      <c r="AJ100" s="827"/>
      <c r="AK100" s="827"/>
      <c r="AL100" s="827"/>
      <c r="AM100" s="827"/>
      <c r="AN100" s="827"/>
      <c r="AO100" s="827"/>
      <c r="AP100" s="827"/>
      <c r="AQ100" s="827"/>
      <c r="AR100" s="827"/>
      <c r="AS100" s="827"/>
      <c r="AT100" s="827"/>
      <c r="AU100" s="827"/>
      <c r="AV100" s="827"/>
      <c r="AW100" s="827"/>
      <c r="AX100" s="827"/>
      <c r="AY100" s="827"/>
      <c r="AZ100" s="827"/>
      <c r="BA100" s="827"/>
      <c r="BB100" s="827"/>
      <c r="BC100" s="827"/>
      <c r="BD100" s="827"/>
      <c r="BE100" s="827"/>
      <c r="BF100" s="827"/>
      <c r="BG100" s="827"/>
      <c r="BH100" s="827"/>
      <c r="BI100" s="827"/>
      <c r="BJ100" s="827"/>
      <c r="BK100" s="827"/>
      <c r="BL100" s="827"/>
      <c r="BM100" s="827"/>
      <c r="BN100" s="827"/>
      <c r="BO100" s="827"/>
      <c r="BP100" s="827"/>
      <c r="BQ100" s="827"/>
      <c r="BR100" s="827"/>
      <c r="BS100" s="827"/>
      <c r="BT100" s="827"/>
      <c r="BU100" s="827"/>
    </row>
    <row r="101" spans="1:73" x14ac:dyDescent="0.25">
      <c r="A101" s="827"/>
      <c r="B101" s="827"/>
      <c r="C101" s="850">
        <v>1</v>
      </c>
      <c r="D101" s="831" t="str">
        <f t="shared" ref="D101:D107" ca="1" si="34">OFFSET(L$100,MATCH($C101,$N$101:$N$107,0),0)</f>
        <v>Operating Capacity Factor
(95%, 90%, 86%)</v>
      </c>
      <c r="E101" s="923">
        <f t="shared" ref="E101:E107" ca="1" si="35">OFFSET(E$76,MATCH($C101,$N$101:$N$107,0)*3-2,0)</f>
        <v>1.7105620579941494</v>
      </c>
      <c r="F101" s="923">
        <f t="shared" ref="F101:F107" si="36">+$K$51</f>
        <v>1.7365211887771219</v>
      </c>
      <c r="G101" s="923">
        <f t="shared" ref="G101:G107" ca="1" si="37">OFFSET(E$76,MATCH($C101,$N$101:$N$107,0)*3,0)</f>
        <v>1.7652104581418571</v>
      </c>
      <c r="H101" s="831">
        <f ca="1">+E101</f>
        <v>1.7105620579941494</v>
      </c>
      <c r="I101" s="831">
        <f ca="1">+F101-E101</f>
        <v>2.5959130782972517E-2</v>
      </c>
      <c r="J101" s="831">
        <f ca="1">+G101-F101</f>
        <v>2.8689269364735148E-2</v>
      </c>
      <c r="K101" s="827"/>
      <c r="L101" s="831" t="str">
        <f ca="1">+B3&amp;"
("&amp;TEXT(H3,"0%, ")&amp;TEXT(C3,"0%, ")&amp;TEXT(I3,"0%)")</f>
        <v>Operating Capacity Factor
(95%, 90%, 86%)</v>
      </c>
      <c r="M101" s="841">
        <f>ABS(K52-K53)+0.000000001</f>
        <v>5.4648401147707665E-2</v>
      </c>
      <c r="N101" s="831">
        <f t="shared" ref="N101:N107" si="38">+RANK(M101,$M$101:$M$107)</f>
        <v>1</v>
      </c>
      <c r="O101" s="838"/>
      <c r="P101" s="827"/>
      <c r="Q101" s="827"/>
      <c r="R101" s="827"/>
      <c r="S101" s="827"/>
      <c r="T101" s="827"/>
      <c r="U101" s="827"/>
      <c r="V101" s="827"/>
      <c r="W101" s="827"/>
      <c r="X101" s="827"/>
      <c r="Y101" s="827"/>
      <c r="Z101" s="827"/>
      <c r="AA101" s="827"/>
      <c r="AB101" s="827"/>
      <c r="AC101" s="827"/>
      <c r="AD101" s="827"/>
      <c r="AE101" s="827"/>
      <c r="AF101" s="827"/>
      <c r="AG101" s="827"/>
      <c r="AH101" s="827"/>
      <c r="AI101" s="827"/>
      <c r="AJ101" s="827"/>
      <c r="AK101" s="827"/>
      <c r="AL101" s="827"/>
      <c r="AM101" s="827"/>
      <c r="AN101" s="827"/>
      <c r="AO101" s="827"/>
      <c r="AP101" s="827"/>
      <c r="AQ101" s="827"/>
      <c r="AR101" s="827"/>
      <c r="AS101" s="827"/>
      <c r="AT101" s="827"/>
      <c r="AU101" s="827"/>
      <c r="AV101" s="827"/>
      <c r="AW101" s="827"/>
      <c r="AX101" s="827"/>
      <c r="AY101" s="827"/>
      <c r="AZ101" s="827"/>
      <c r="BA101" s="827"/>
      <c r="BB101" s="827"/>
      <c r="BC101" s="827"/>
      <c r="BD101" s="827"/>
      <c r="BE101" s="827"/>
      <c r="BF101" s="827"/>
      <c r="BG101" s="827"/>
      <c r="BH101" s="827"/>
      <c r="BI101" s="827"/>
      <c r="BJ101" s="827"/>
      <c r="BK101" s="827"/>
      <c r="BL101" s="827"/>
      <c r="BM101" s="827"/>
      <c r="BN101" s="827"/>
      <c r="BO101" s="827"/>
      <c r="BP101" s="827"/>
      <c r="BQ101" s="827"/>
      <c r="BR101" s="827"/>
      <c r="BS101" s="827"/>
      <c r="BT101" s="827"/>
      <c r="BU101" s="827"/>
    </row>
    <row r="102" spans="1:73" x14ac:dyDescent="0.25">
      <c r="A102" s="827"/>
      <c r="B102" s="827"/>
      <c r="C102" s="850">
        <v>2</v>
      </c>
      <c r="D102" s="831" t="str">
        <f t="shared" ca="1" si="34"/>
        <v xml:space="preserve">Total Capital Investment
($739,294K, $778,205K, $817,115K) </v>
      </c>
      <c r="E102" s="923">
        <f t="shared" ca="1" si="35"/>
        <v>1.7211743419140393</v>
      </c>
      <c r="F102" s="923">
        <f t="shared" si="36"/>
        <v>1.7365211887771219</v>
      </c>
      <c r="G102" s="923">
        <f t="shared" ca="1" si="37"/>
        <v>1.7518680356402039</v>
      </c>
      <c r="H102" s="831">
        <f t="shared" ref="H102:H107" ca="1" si="39">+E102</f>
        <v>1.7211743419140393</v>
      </c>
      <c r="I102" s="831">
        <f t="shared" ref="I102:I107" ca="1" si="40">+F102-E102</f>
        <v>1.534684686308263E-2</v>
      </c>
      <c r="J102" s="831">
        <f t="shared" ref="J102:J107" ca="1" si="41">+G102-F102</f>
        <v>1.5346846863081964E-2</v>
      </c>
      <c r="K102" s="827"/>
      <c r="L102" s="831" t="str">
        <f ca="1">+B4&amp;"
("&amp;TEXT(H4,"0,000")&amp;", "&amp;TEXT(C4,"0,000")&amp;", "&amp;TEXT(I4,"0,000")&amp;") "</f>
        <v xml:space="preserve">Plant Design Capacity (kg of H2/day)
(693,000, 660,000, 627,000) </v>
      </c>
      <c r="M102" s="841">
        <f>+ABS(K54-K55)+0.000000002</f>
        <v>2.7466622062407853E-2</v>
      </c>
      <c r="N102" s="831">
        <f t="shared" si="38"/>
        <v>3</v>
      </c>
      <c r="O102" s="838"/>
      <c r="P102" s="827"/>
      <c r="Q102" s="827"/>
      <c r="R102" s="827"/>
      <c r="S102" s="827"/>
      <c r="T102" s="827"/>
      <c r="U102" s="827"/>
      <c r="V102" s="827"/>
      <c r="W102" s="827"/>
      <c r="X102" s="827"/>
      <c r="Y102" s="827"/>
      <c r="Z102" s="827"/>
      <c r="AA102" s="827"/>
      <c r="AB102" s="827"/>
      <c r="AC102" s="827"/>
      <c r="AD102" s="827"/>
      <c r="AE102" s="827"/>
      <c r="AF102" s="827"/>
      <c r="AG102" s="827"/>
      <c r="AH102" s="827"/>
      <c r="AI102" s="827"/>
      <c r="AJ102" s="827"/>
      <c r="AK102" s="827"/>
      <c r="AL102" s="827"/>
      <c r="AM102" s="827"/>
      <c r="AN102" s="827"/>
      <c r="AO102" s="827"/>
      <c r="AP102" s="827"/>
      <c r="AQ102" s="827"/>
      <c r="AR102" s="827"/>
      <c r="AS102" s="827"/>
      <c r="AT102" s="827"/>
      <c r="AU102" s="827"/>
      <c r="AV102" s="827"/>
      <c r="AW102" s="827"/>
      <c r="AX102" s="827"/>
      <c r="AY102" s="827"/>
      <c r="AZ102" s="827"/>
      <c r="BA102" s="827"/>
      <c r="BB102" s="827"/>
      <c r="BC102" s="827"/>
      <c r="BD102" s="827"/>
      <c r="BE102" s="827"/>
      <c r="BF102" s="827"/>
      <c r="BG102" s="827"/>
      <c r="BH102" s="827"/>
      <c r="BI102" s="827"/>
      <c r="BJ102" s="827"/>
      <c r="BK102" s="827"/>
      <c r="BL102" s="827"/>
      <c r="BM102" s="827"/>
      <c r="BN102" s="827"/>
      <c r="BO102" s="827"/>
      <c r="BP102" s="827"/>
      <c r="BQ102" s="827"/>
      <c r="BR102" s="827"/>
      <c r="BS102" s="827"/>
      <c r="BT102" s="827"/>
      <c r="BU102" s="827"/>
    </row>
    <row r="103" spans="1:73" x14ac:dyDescent="0.25">
      <c r="A103" s="827"/>
      <c r="B103" s="827"/>
      <c r="C103" s="850">
        <v>3</v>
      </c>
      <c r="D103" s="831" t="str">
        <f t="shared" ca="1" si="34"/>
        <v xml:space="preserve">Plant Design Capacity (kg of H2/day)
(693,000, 660,000, 627,000) </v>
      </c>
      <c r="E103" s="923">
        <f t="shared" ca="1" si="35"/>
        <v>1.7233721517105773</v>
      </c>
      <c r="F103" s="923">
        <f t="shared" si="36"/>
        <v>1.7365211887771219</v>
      </c>
      <c r="G103" s="923">
        <f t="shared" ca="1" si="37"/>
        <v>1.7508387717729852</v>
      </c>
      <c r="H103" s="831">
        <f t="shared" ca="1" si="39"/>
        <v>1.7233721517105773</v>
      </c>
      <c r="I103" s="831">
        <f t="shared" ca="1" si="40"/>
        <v>1.3149037066544578E-2</v>
      </c>
      <c r="J103" s="831">
        <f t="shared" ca="1" si="41"/>
        <v>1.4317582995863276E-2</v>
      </c>
      <c r="K103" s="827"/>
      <c r="L103" s="831" t="str">
        <f ca="1">+B5&amp;"
("&amp;TEXT(H5,"0%, ")&amp;TEXT(C5,"0%, ")&amp;TEXT(I5,"0%)")</f>
        <v>After-tax Real IRR
(8%, 8%, 8%)</v>
      </c>
      <c r="M103" s="841">
        <f>+ABS(K56-K57)+0.000000003</f>
        <v>1.243691403241118E-2</v>
      </c>
      <c r="N103" s="831">
        <f t="shared" si="38"/>
        <v>5</v>
      </c>
      <c r="O103" s="838"/>
      <c r="P103" s="827"/>
      <c r="Q103" s="827"/>
      <c r="R103" s="827"/>
      <c r="S103" s="827"/>
      <c r="T103" s="827"/>
      <c r="U103" s="827"/>
      <c r="V103" s="827"/>
      <c r="W103" s="827"/>
      <c r="X103" s="827"/>
      <c r="Y103" s="827"/>
      <c r="Z103" s="827"/>
      <c r="AA103" s="827"/>
      <c r="AB103" s="827"/>
      <c r="AC103" s="827"/>
      <c r="AD103" s="827"/>
      <c r="AE103" s="827"/>
      <c r="AF103" s="827"/>
      <c r="AG103" s="827"/>
      <c r="AH103" s="827"/>
      <c r="AI103" s="827"/>
      <c r="AJ103" s="827"/>
      <c r="AK103" s="827"/>
      <c r="AL103" s="827"/>
      <c r="AM103" s="827"/>
      <c r="AN103" s="827"/>
      <c r="AO103" s="827"/>
      <c r="AP103" s="827"/>
      <c r="AQ103" s="827"/>
      <c r="AR103" s="827"/>
      <c r="AS103" s="827"/>
      <c r="AT103" s="827"/>
      <c r="AU103" s="827"/>
      <c r="AV103" s="827"/>
      <c r="AW103" s="827"/>
      <c r="AX103" s="827"/>
      <c r="AY103" s="827"/>
      <c r="AZ103" s="827"/>
      <c r="BA103" s="827"/>
      <c r="BB103" s="827"/>
      <c r="BC103" s="827"/>
      <c r="BD103" s="827"/>
      <c r="BE103" s="827"/>
      <c r="BF103" s="827"/>
      <c r="BG103" s="827"/>
      <c r="BH103" s="827"/>
      <c r="BI103" s="827"/>
      <c r="BJ103" s="827"/>
      <c r="BK103" s="827"/>
      <c r="BL103" s="827"/>
      <c r="BM103" s="827"/>
      <c r="BN103" s="827"/>
      <c r="BO103" s="827"/>
      <c r="BP103" s="827"/>
      <c r="BQ103" s="827"/>
      <c r="BR103" s="827"/>
      <c r="BS103" s="827"/>
      <c r="BT103" s="827"/>
      <c r="BU103" s="827"/>
    </row>
    <row r="104" spans="1:73" x14ac:dyDescent="0.25">
      <c r="A104" s="827"/>
      <c r="B104" s="827"/>
      <c r="C104" s="850">
        <v>4</v>
      </c>
      <c r="D104" s="831" t="str">
        <f t="shared" ca="1" si="34"/>
        <v xml:space="preserve">Total Fixed Operating Cost
($31,459K, $33,115K, $34,771K) </v>
      </c>
      <c r="E104" s="923">
        <f t="shared" ca="1" si="35"/>
        <v>1.7287439889613923</v>
      </c>
      <c r="F104" s="923">
        <f t="shared" si="36"/>
        <v>1.7365211887771219</v>
      </c>
      <c r="G104" s="923">
        <f t="shared" ca="1" si="37"/>
        <v>1.74429838859285</v>
      </c>
      <c r="H104" s="831">
        <f t="shared" ca="1" si="39"/>
        <v>1.7287439889613923</v>
      </c>
      <c r="I104" s="831">
        <f t="shared" ca="1" si="40"/>
        <v>7.7771998157296629E-3</v>
      </c>
      <c r="J104" s="831">
        <f t="shared" ca="1" si="41"/>
        <v>7.7771998157281086E-3</v>
      </c>
      <c r="K104" s="827"/>
      <c r="L104" s="831" t="str">
        <f>+B6&amp;"
("&amp;TEXT(H6,"0%, ")&amp;TEXT(C6,"0%, ")&amp;TEXT(I6,"0%)")</f>
        <v>Feedstock Consumption (% of baseline)
(95%, 100%, 105%)</v>
      </c>
      <c r="M104" s="841">
        <f>+ABS(K58-K59)+0.000000004</f>
        <v>4.0000000000000002E-9</v>
      </c>
      <c r="N104" s="831">
        <f t="shared" si="38"/>
        <v>6</v>
      </c>
      <c r="O104" s="838"/>
      <c r="P104" s="827"/>
      <c r="Q104" s="827"/>
      <c r="R104" s="827"/>
      <c r="S104" s="827"/>
      <c r="T104" s="827"/>
      <c r="U104" s="827"/>
      <c r="V104" s="827"/>
      <c r="W104" s="827"/>
      <c r="X104" s="827"/>
      <c r="Y104" s="827"/>
      <c r="Z104" s="827"/>
      <c r="AA104" s="827"/>
      <c r="AB104" s="827"/>
      <c r="AC104" s="827"/>
      <c r="AD104" s="827"/>
      <c r="AE104" s="827"/>
      <c r="AF104" s="827"/>
      <c r="AG104" s="827"/>
      <c r="AH104" s="827"/>
      <c r="AI104" s="827"/>
      <c r="AJ104" s="827"/>
      <c r="AK104" s="827"/>
      <c r="AL104" s="827"/>
      <c r="AM104" s="827"/>
      <c r="AN104" s="827"/>
      <c r="AO104" s="827"/>
      <c r="AP104" s="827"/>
      <c r="AQ104" s="827"/>
      <c r="AR104" s="827"/>
      <c r="AS104" s="827"/>
      <c r="AT104" s="827"/>
      <c r="AU104" s="827"/>
      <c r="AV104" s="827"/>
      <c r="AW104" s="827"/>
      <c r="AX104" s="827"/>
      <c r="AY104" s="827"/>
      <c r="AZ104" s="827"/>
      <c r="BA104" s="827"/>
      <c r="BB104" s="827"/>
      <c r="BC104" s="827"/>
      <c r="BD104" s="827"/>
      <c r="BE104" s="827"/>
      <c r="BF104" s="827"/>
      <c r="BG104" s="827"/>
      <c r="BH104" s="827"/>
      <c r="BI104" s="827"/>
      <c r="BJ104" s="827"/>
      <c r="BK104" s="827"/>
      <c r="BL104" s="827"/>
      <c r="BM104" s="827"/>
      <c r="BN104" s="827"/>
      <c r="BO104" s="827"/>
      <c r="BP104" s="827"/>
      <c r="BQ104" s="827"/>
      <c r="BR104" s="827"/>
      <c r="BS104" s="827"/>
      <c r="BT104" s="827"/>
      <c r="BU104" s="827"/>
    </row>
    <row r="105" spans="1:73" x14ac:dyDescent="0.25">
      <c r="A105" s="827"/>
      <c r="B105" s="827"/>
      <c r="C105" s="850">
        <v>5</v>
      </c>
      <c r="D105" s="831" t="str">
        <f t="shared" ca="1" si="34"/>
        <v>After-tax Real IRR
(8%, 8%, 8%)</v>
      </c>
      <c r="E105" s="923">
        <f t="shared" ca="1" si="35"/>
        <v>1.7304926513326406</v>
      </c>
      <c r="F105" s="923">
        <f t="shared" si="36"/>
        <v>1.7365211887771219</v>
      </c>
      <c r="G105" s="923">
        <f t="shared" ca="1" si="37"/>
        <v>1.7429295623650518</v>
      </c>
      <c r="H105" s="831">
        <f t="shared" ref="H105" ca="1" si="42">+E105</f>
        <v>1.7304926513326406</v>
      </c>
      <c r="I105" s="831">
        <f t="shared" ref="I105" ca="1" si="43">+F105-E105</f>
        <v>6.0285374444812856E-3</v>
      </c>
      <c r="J105" s="831">
        <f t="shared" ref="J105" ca="1" si="44">+G105-F105</f>
        <v>6.4083735879298942E-3</v>
      </c>
      <c r="K105" s="827"/>
      <c r="L105" s="831" t="str">
        <f>+B7&amp;"
("&amp;TEXT(H7,"0%, ")&amp;TEXT(C7,"0%, ")&amp;TEXT(I7,"0%)")</f>
        <v>Utilities Consumption (% of baseline)
(95%, 100%, 105%)</v>
      </c>
      <c r="M105" s="841">
        <f>+ABS(K60-K61)+0.000000004</f>
        <v>4.0000000000000002E-9</v>
      </c>
      <c r="N105" s="831">
        <f t="shared" si="38"/>
        <v>6</v>
      </c>
      <c r="O105" s="838"/>
      <c r="P105" s="827"/>
      <c r="Q105" s="827"/>
      <c r="R105" s="827"/>
      <c r="S105" s="827"/>
      <c r="T105" s="827"/>
      <c r="U105" s="827"/>
      <c r="V105" s="827"/>
      <c r="W105" s="827"/>
      <c r="X105" s="827"/>
      <c r="Y105" s="827"/>
      <c r="Z105" s="827"/>
      <c r="AA105" s="827"/>
      <c r="AB105" s="827"/>
      <c r="AC105" s="827"/>
      <c r="AD105" s="827"/>
      <c r="AE105" s="827"/>
      <c r="AF105" s="827"/>
      <c r="AG105" s="827"/>
      <c r="AH105" s="827"/>
      <c r="AI105" s="827"/>
      <c r="AJ105" s="827"/>
      <c r="AK105" s="827"/>
      <c r="AL105" s="827"/>
      <c r="AM105" s="827"/>
      <c r="AN105" s="827"/>
      <c r="AO105" s="827"/>
      <c r="AP105" s="827"/>
      <c r="AQ105" s="827"/>
      <c r="AR105" s="827"/>
      <c r="AS105" s="827"/>
      <c r="AT105" s="827"/>
      <c r="AU105" s="827"/>
      <c r="AV105" s="827"/>
      <c r="AW105" s="827"/>
      <c r="AX105" s="827"/>
      <c r="AY105" s="827"/>
      <c r="AZ105" s="827"/>
      <c r="BA105" s="827"/>
      <c r="BB105" s="827"/>
      <c r="BC105" s="827"/>
      <c r="BD105" s="827"/>
      <c r="BE105" s="827"/>
      <c r="BF105" s="827"/>
      <c r="BG105" s="827"/>
      <c r="BH105" s="827"/>
      <c r="BI105" s="827"/>
      <c r="BJ105" s="827"/>
      <c r="BK105" s="827"/>
      <c r="BL105" s="827"/>
      <c r="BM105" s="827"/>
      <c r="BN105" s="827"/>
      <c r="BO105" s="827"/>
      <c r="BP105" s="827"/>
      <c r="BQ105" s="827"/>
      <c r="BR105" s="827"/>
      <c r="BS105" s="827"/>
      <c r="BT105" s="827"/>
      <c r="BU105" s="827"/>
    </row>
    <row r="106" spans="1:73" x14ac:dyDescent="0.25">
      <c r="A106" s="827"/>
      <c r="B106" s="827"/>
      <c r="C106" s="850">
        <v>6</v>
      </c>
      <c r="D106" s="831" t="str">
        <f t="shared" ca="1" si="34"/>
        <v>Feedstock Consumption (% of baseline)
(95%, 100%, 105%)</v>
      </c>
      <c r="E106" s="923">
        <f t="shared" ca="1" si="35"/>
        <v>1.7365211887771219</v>
      </c>
      <c r="F106" s="923">
        <f t="shared" si="36"/>
        <v>1.7365211887771219</v>
      </c>
      <c r="G106" s="923">
        <f t="shared" ca="1" si="37"/>
        <v>1.7365211887771219</v>
      </c>
      <c r="H106" s="831">
        <f t="shared" ca="1" si="39"/>
        <v>1.7365211887771219</v>
      </c>
      <c r="I106" s="831">
        <f t="shared" ca="1" si="40"/>
        <v>0</v>
      </c>
      <c r="J106" s="831">
        <f t="shared" ca="1" si="41"/>
        <v>0</v>
      </c>
      <c r="K106" s="827"/>
      <c r="L106" s="831" t="str">
        <f ca="1">+B8&amp;"
("&amp;TEXT(H8/1000,"$0,000K")&amp;", "&amp;TEXT(C8/1000,"$0,000K")&amp;", "&amp;TEXT(I8/1000,"$0,000K")&amp;") "</f>
        <v xml:space="preserve">Total Capital Investment
($739,294K, $778,205K, $817,115K) </v>
      </c>
      <c r="M106" s="841">
        <f>+ABS(K62-K63)+0.000000006</f>
        <v>3.0693699726164595E-2</v>
      </c>
      <c r="N106" s="831">
        <f t="shared" si="38"/>
        <v>2</v>
      </c>
      <c r="O106" s="838"/>
      <c r="P106" s="827"/>
      <c r="Q106" s="827"/>
      <c r="R106" s="827"/>
      <c r="S106" s="827"/>
      <c r="T106" s="827"/>
      <c r="U106" s="827"/>
      <c r="V106" s="827"/>
      <c r="W106" s="827"/>
      <c r="X106" s="827"/>
      <c r="Y106" s="827"/>
      <c r="Z106" s="827"/>
      <c r="AA106" s="827"/>
      <c r="AB106" s="827"/>
      <c r="AC106" s="827"/>
      <c r="AD106" s="827"/>
      <c r="AE106" s="827"/>
      <c r="AF106" s="827"/>
      <c r="AG106" s="827"/>
      <c r="AH106" s="827"/>
      <c r="AI106" s="827"/>
      <c r="AJ106" s="827"/>
      <c r="AK106" s="827"/>
      <c r="AL106" s="827"/>
      <c r="AM106" s="827"/>
      <c r="AN106" s="827"/>
      <c r="AO106" s="827"/>
      <c r="AP106" s="827"/>
      <c r="AQ106" s="827"/>
      <c r="AR106" s="827"/>
      <c r="AS106" s="827"/>
      <c r="AT106" s="827"/>
      <c r="AU106" s="827"/>
      <c r="AV106" s="827"/>
      <c r="AW106" s="827"/>
      <c r="AX106" s="827"/>
      <c r="AY106" s="827"/>
      <c r="AZ106" s="827"/>
      <c r="BA106" s="827"/>
      <c r="BB106" s="827"/>
      <c r="BC106" s="827"/>
      <c r="BD106" s="827"/>
      <c r="BE106" s="827"/>
      <c r="BF106" s="827"/>
      <c r="BG106" s="827"/>
      <c r="BH106" s="827"/>
      <c r="BI106" s="827"/>
      <c r="BJ106" s="827"/>
      <c r="BK106" s="827"/>
      <c r="BL106" s="827"/>
      <c r="BM106" s="827"/>
      <c r="BN106" s="827"/>
      <c r="BO106" s="827"/>
      <c r="BP106" s="827"/>
      <c r="BQ106" s="827"/>
      <c r="BR106" s="827"/>
      <c r="BS106" s="827"/>
      <c r="BT106" s="827"/>
      <c r="BU106" s="827"/>
    </row>
    <row r="107" spans="1:73" x14ac:dyDescent="0.25">
      <c r="A107" s="827"/>
      <c r="B107" s="827"/>
      <c r="C107" s="850">
        <v>7</v>
      </c>
      <c r="D107" s="831" t="e">
        <f t="shared" ca="1" si="34"/>
        <v>#N/A</v>
      </c>
      <c r="E107" s="923" t="e">
        <f t="shared" ca="1" si="35"/>
        <v>#N/A</v>
      </c>
      <c r="F107" s="923">
        <f t="shared" si="36"/>
        <v>1.7365211887771219</v>
      </c>
      <c r="G107" s="923" t="e">
        <f t="shared" ca="1" si="37"/>
        <v>#N/A</v>
      </c>
      <c r="H107" s="831" t="e">
        <f t="shared" ca="1" si="39"/>
        <v>#N/A</v>
      </c>
      <c r="I107" s="831" t="e">
        <f t="shared" ca="1" si="40"/>
        <v>#N/A</v>
      </c>
      <c r="J107" s="831" t="e">
        <f t="shared" ca="1" si="41"/>
        <v>#N/A</v>
      </c>
      <c r="K107" s="827"/>
      <c r="L107" s="831" t="str">
        <f ca="1">+B9&amp;"
("&amp;TEXT(H9/1000,"$0,000K")&amp;", "&amp;TEXT(C9/1000,"$0,000K")&amp;", "&amp;TEXT(I9/1000,"$0,000K")&amp;") "</f>
        <v xml:space="preserve">Total Fixed Operating Cost
($31,459K, $33,115K, $34,771K) </v>
      </c>
      <c r="M107" s="841">
        <f>+ABS(K64-K65)+0.00000007</f>
        <v>1.5554469631457771E-2</v>
      </c>
      <c r="N107" s="831">
        <f t="shared" si="38"/>
        <v>4</v>
      </c>
      <c r="O107" s="838"/>
      <c r="P107" s="827"/>
      <c r="Q107" s="827"/>
      <c r="R107" s="827"/>
      <c r="S107" s="827"/>
      <c r="T107" s="827"/>
      <c r="U107" s="827"/>
      <c r="V107" s="827"/>
      <c r="W107" s="827"/>
      <c r="X107" s="827"/>
      <c r="Y107" s="827"/>
      <c r="Z107" s="827"/>
      <c r="AA107" s="827"/>
      <c r="AB107" s="827"/>
      <c r="AC107" s="827"/>
      <c r="AD107" s="827"/>
      <c r="AE107" s="827"/>
      <c r="AF107" s="827"/>
      <c r="AG107" s="827"/>
      <c r="AH107" s="827"/>
      <c r="AI107" s="827"/>
      <c r="AJ107" s="827"/>
      <c r="AK107" s="827"/>
      <c r="AL107" s="827"/>
      <c r="AM107" s="827"/>
      <c r="AN107" s="827"/>
      <c r="AO107" s="827"/>
      <c r="AP107" s="827"/>
      <c r="AQ107" s="827"/>
      <c r="AR107" s="827"/>
      <c r="AS107" s="827"/>
      <c r="AT107" s="827"/>
      <c r="AU107" s="827"/>
      <c r="AV107" s="827"/>
      <c r="AW107" s="827"/>
      <c r="AX107" s="827"/>
      <c r="AY107" s="827"/>
      <c r="AZ107" s="827"/>
      <c r="BA107" s="827"/>
      <c r="BB107" s="827"/>
      <c r="BC107" s="827"/>
      <c r="BD107" s="827"/>
      <c r="BE107" s="827"/>
      <c r="BF107" s="827"/>
      <c r="BG107" s="827"/>
      <c r="BH107" s="827"/>
      <c r="BI107" s="827"/>
      <c r="BJ107" s="827"/>
      <c r="BK107" s="827"/>
      <c r="BL107" s="827"/>
      <c r="BM107" s="827"/>
      <c r="BN107" s="827"/>
      <c r="BO107" s="827"/>
      <c r="BP107" s="827"/>
      <c r="BQ107" s="827"/>
      <c r="BR107" s="827"/>
      <c r="BS107" s="827"/>
      <c r="BT107" s="827"/>
      <c r="BU107" s="827"/>
    </row>
    <row r="108" spans="1:73" x14ac:dyDescent="0.25">
      <c r="A108" s="827"/>
      <c r="B108" s="827"/>
      <c r="C108" s="827"/>
      <c r="D108" s="827"/>
      <c r="E108" s="827"/>
      <c r="F108" s="827"/>
      <c r="G108" s="827"/>
      <c r="H108" s="827"/>
      <c r="I108" s="827"/>
      <c r="J108" s="827"/>
      <c r="K108" s="827"/>
      <c r="L108" s="827"/>
      <c r="M108" s="827"/>
      <c r="N108" s="827"/>
      <c r="O108" s="827"/>
      <c r="P108" s="827"/>
      <c r="Q108" s="827"/>
      <c r="R108" s="827"/>
      <c r="S108" s="827"/>
      <c r="T108" s="827"/>
      <c r="U108" s="827"/>
      <c r="V108" s="827"/>
      <c r="W108" s="827"/>
      <c r="X108" s="827"/>
      <c r="Y108" s="827"/>
      <c r="Z108" s="827"/>
      <c r="AA108" s="827"/>
      <c r="AB108" s="827"/>
      <c r="AC108" s="827"/>
      <c r="AD108" s="827"/>
      <c r="AE108" s="827"/>
      <c r="AF108" s="827"/>
      <c r="AG108" s="827"/>
      <c r="AH108" s="827"/>
      <c r="AI108" s="827"/>
      <c r="AJ108" s="827"/>
      <c r="AK108" s="827"/>
      <c r="AL108" s="827"/>
      <c r="AM108" s="827"/>
      <c r="AN108" s="827"/>
      <c r="AO108" s="827"/>
      <c r="AP108" s="827"/>
      <c r="AQ108" s="827"/>
      <c r="AR108" s="827"/>
      <c r="AS108" s="827"/>
      <c r="AT108" s="827"/>
      <c r="AU108" s="827"/>
      <c r="AV108" s="827"/>
      <c r="AW108" s="827"/>
      <c r="AX108" s="827"/>
      <c r="AY108" s="827"/>
      <c r="AZ108" s="827"/>
      <c r="BA108" s="827"/>
      <c r="BB108" s="827"/>
      <c r="BC108" s="827"/>
      <c r="BD108" s="827"/>
      <c r="BE108" s="827"/>
      <c r="BF108" s="827"/>
      <c r="BG108" s="827"/>
      <c r="BH108" s="827"/>
      <c r="BI108" s="827"/>
      <c r="BJ108" s="827"/>
      <c r="BK108" s="827"/>
      <c r="BL108" s="827"/>
      <c r="BM108" s="827"/>
      <c r="BN108" s="827"/>
      <c r="BO108" s="827"/>
      <c r="BP108" s="827"/>
      <c r="BQ108" s="827"/>
      <c r="BR108" s="827"/>
      <c r="BS108" s="827"/>
      <c r="BT108" s="827"/>
      <c r="BU108" s="827"/>
    </row>
    <row r="109" spans="1:73" x14ac:dyDescent="0.25">
      <c r="A109" s="827"/>
      <c r="B109" s="827"/>
      <c r="C109" s="827"/>
      <c r="D109" s="827"/>
      <c r="E109" s="827"/>
      <c r="F109" s="827"/>
      <c r="G109" s="827"/>
      <c r="H109" s="827"/>
      <c r="I109" s="827"/>
      <c r="J109" s="827"/>
      <c r="K109" s="827"/>
      <c r="L109" s="827"/>
      <c r="M109" s="827"/>
      <c r="N109" s="827"/>
      <c r="O109" s="827"/>
      <c r="P109" s="827"/>
      <c r="Q109" s="827"/>
      <c r="R109" s="827"/>
      <c r="S109" s="827"/>
      <c r="T109" s="827"/>
      <c r="U109" s="827"/>
      <c r="V109" s="827"/>
      <c r="W109" s="827"/>
      <c r="X109" s="827"/>
      <c r="Y109" s="827"/>
      <c r="Z109" s="827"/>
      <c r="AA109" s="827"/>
      <c r="AB109" s="827"/>
      <c r="AC109" s="827"/>
      <c r="AD109" s="827"/>
      <c r="AE109" s="827"/>
      <c r="AF109" s="827"/>
      <c r="AG109" s="827"/>
      <c r="AH109" s="827"/>
      <c r="AI109" s="827"/>
      <c r="AJ109" s="827"/>
      <c r="AK109" s="827"/>
      <c r="AL109" s="827"/>
      <c r="AM109" s="827"/>
      <c r="AN109" s="827"/>
      <c r="AO109" s="827"/>
      <c r="AP109" s="827"/>
      <c r="AQ109" s="827"/>
      <c r="AR109" s="827"/>
      <c r="AS109" s="827"/>
      <c r="AT109" s="827"/>
      <c r="AU109" s="827"/>
      <c r="AV109" s="827"/>
      <c r="AW109" s="827"/>
      <c r="AX109" s="827"/>
      <c r="AY109" s="827"/>
      <c r="AZ109" s="827"/>
      <c r="BA109" s="827"/>
      <c r="BB109" s="827"/>
      <c r="BC109" s="827"/>
      <c r="BD109" s="827"/>
      <c r="BE109" s="827"/>
      <c r="BF109" s="827"/>
      <c r="BG109" s="827"/>
      <c r="BH109" s="827"/>
      <c r="BI109" s="827"/>
      <c r="BJ109" s="827"/>
      <c r="BK109" s="827"/>
      <c r="BL109" s="827"/>
      <c r="BM109" s="827"/>
      <c r="BN109" s="827"/>
      <c r="BO109" s="827"/>
      <c r="BP109" s="827"/>
      <c r="BQ109" s="827"/>
      <c r="BR109" s="827"/>
      <c r="BS109" s="827"/>
      <c r="BT109" s="827"/>
      <c r="BU109" s="827"/>
    </row>
    <row r="110" spans="1:73" ht="52.8" x14ac:dyDescent="0.25">
      <c r="A110" s="827"/>
      <c r="B110" s="829" t="s">
        <v>1132</v>
      </c>
      <c r="C110" s="849" t="s">
        <v>1119</v>
      </c>
      <c r="D110" s="838" t="str">
        <f t="shared" ref="D110:G110" si="45">+D76</f>
        <v>Chart titles</v>
      </c>
      <c r="E110" s="838" t="s">
        <v>1152</v>
      </c>
      <c r="F110" s="838" t="s">
        <v>1153</v>
      </c>
      <c r="G110" s="838" t="str">
        <f t="shared" si="45"/>
        <v>Salvage Value</v>
      </c>
      <c r="H110" s="838" t="str">
        <f t="shared" ref="H110:S110" si="46">+H76</f>
        <v>Initial Equity Depreciable Capital</v>
      </c>
      <c r="I110" s="838" t="str">
        <f t="shared" si="46"/>
        <v>Yearly Replacement Costs</v>
      </c>
      <c r="J110" s="838" t="str">
        <f t="shared" si="46"/>
        <v>Cash for Working Capital Reserve</v>
      </c>
      <c r="K110" s="838" t="str">
        <f t="shared" si="46"/>
        <v>Other Non-Depreciable Capital Costs</v>
      </c>
      <c r="L110" s="838" t="str">
        <f t="shared" si="46"/>
        <v>Decommissioning Costs</v>
      </c>
      <c r="M110" s="838" t="str">
        <f t="shared" si="46"/>
        <v>Fixed Operating Cost</v>
      </c>
      <c r="N110" s="838" t="str">
        <f t="shared" si="46"/>
        <v>Feedstock Cost</v>
      </c>
      <c r="O110" s="838" t="str">
        <f t="shared" si="46"/>
        <v>Other Raw Material Cost</v>
      </c>
      <c r="P110" s="838" t="str">
        <f t="shared" si="46"/>
        <v>Other Variable Operating Costs</v>
      </c>
      <c r="Q110" s="838" t="str">
        <f t="shared" si="46"/>
        <v>Debt Interest</v>
      </c>
      <c r="R110" s="838" t="str">
        <f t="shared" si="46"/>
        <v>Taxes</v>
      </c>
      <c r="S110" s="838" t="str">
        <f t="shared" si="46"/>
        <v>Principal Payment</v>
      </c>
      <c r="T110" s="827"/>
      <c r="U110" s="827"/>
      <c r="V110" s="827"/>
      <c r="W110" s="827"/>
      <c r="X110" s="827"/>
      <c r="Y110" s="827"/>
      <c r="Z110" s="827"/>
      <c r="AA110" s="827"/>
      <c r="AB110" s="827"/>
      <c r="AC110" s="827"/>
      <c r="AD110" s="827"/>
      <c r="AE110" s="827"/>
      <c r="AF110" s="827"/>
      <c r="AG110" s="827"/>
      <c r="AH110" s="827"/>
      <c r="AI110" s="827"/>
      <c r="AJ110" s="827"/>
      <c r="AK110" s="827"/>
      <c r="AL110" s="827"/>
      <c r="AM110" s="827"/>
      <c r="AN110" s="827"/>
      <c r="AO110" s="827"/>
      <c r="AP110" s="827"/>
      <c r="AQ110" s="827"/>
      <c r="AR110" s="827"/>
      <c r="AS110" s="827"/>
      <c r="AT110" s="827"/>
      <c r="AU110" s="827"/>
      <c r="AV110" s="827"/>
      <c r="AW110" s="827"/>
      <c r="AX110" s="827"/>
      <c r="AY110" s="827"/>
      <c r="AZ110" s="827"/>
      <c r="BA110" s="827"/>
      <c r="BB110" s="827"/>
      <c r="BC110" s="827"/>
      <c r="BD110" s="827"/>
      <c r="BE110" s="827"/>
      <c r="BF110" s="827"/>
      <c r="BG110" s="827"/>
      <c r="BH110" s="827"/>
      <c r="BI110" s="827"/>
      <c r="BJ110" s="827"/>
      <c r="BK110" s="827"/>
      <c r="BL110" s="827"/>
      <c r="BM110" s="827"/>
      <c r="BN110" s="827"/>
      <c r="BO110" s="827"/>
      <c r="BP110" s="827"/>
      <c r="BQ110" s="827"/>
      <c r="BR110" s="827"/>
      <c r="BS110" s="827"/>
      <c r="BT110" s="827"/>
      <c r="BU110" s="827"/>
    </row>
    <row r="111" spans="1:73" x14ac:dyDescent="0.25">
      <c r="A111" s="827"/>
      <c r="B111" s="827"/>
      <c r="C111" s="850">
        <v>1</v>
      </c>
      <c r="D111" s="830" t="s">
        <v>1151</v>
      </c>
      <c r="E111" s="843">
        <f ca="1">OFFSET(E$76,MATCH($C111,$N$101:$N$107,0)*3-1,0)</f>
        <v>1.7365211887771219</v>
      </c>
      <c r="F111" s="843">
        <f ca="1">OFFSET(F$76,MATCH($C111,$N$101:$N$107,0)*3-1,0)</f>
        <v>0</v>
      </c>
      <c r="G111" s="843">
        <f ca="1">OFFSET(G$76,MATCH($C111,$N$101:$N$107,0)*3-1,0)</f>
        <v>1.385542706505071E-3</v>
      </c>
      <c r="H111" s="831"/>
      <c r="I111" s="831"/>
      <c r="J111" s="831"/>
      <c r="K111" s="831"/>
      <c r="L111" s="831"/>
      <c r="M111" s="831"/>
      <c r="N111" s="831"/>
      <c r="O111" s="831"/>
      <c r="P111" s="831"/>
      <c r="Q111" s="831"/>
      <c r="R111" s="831"/>
      <c r="S111" s="831"/>
      <c r="T111" s="827"/>
      <c r="U111" s="827"/>
      <c r="V111" s="827"/>
      <c r="W111" s="827"/>
      <c r="X111" s="827"/>
      <c r="Y111" s="827"/>
      <c r="Z111" s="827"/>
      <c r="AA111" s="827"/>
      <c r="AB111" s="827"/>
      <c r="AC111" s="827"/>
      <c r="AD111" s="827"/>
      <c r="AE111" s="827"/>
      <c r="AF111" s="827"/>
      <c r="AG111" s="827"/>
      <c r="AH111" s="827"/>
      <c r="AI111" s="827"/>
      <c r="AJ111" s="827"/>
      <c r="AK111" s="827"/>
      <c r="AL111" s="827"/>
      <c r="AM111" s="827"/>
      <c r="AN111" s="827"/>
      <c r="AO111" s="827"/>
      <c r="AP111" s="827"/>
      <c r="AQ111" s="827"/>
      <c r="AR111" s="827"/>
      <c r="AS111" s="827"/>
      <c r="AT111" s="827"/>
      <c r="AU111" s="827"/>
      <c r="AV111" s="827"/>
      <c r="AW111" s="827"/>
      <c r="AX111" s="827"/>
      <c r="AY111" s="827"/>
      <c r="AZ111" s="827"/>
      <c r="BA111" s="827"/>
      <c r="BB111" s="827"/>
      <c r="BC111" s="827"/>
      <c r="BD111" s="827"/>
      <c r="BE111" s="827"/>
      <c r="BF111" s="827"/>
      <c r="BG111" s="827"/>
      <c r="BH111" s="827"/>
      <c r="BI111" s="827"/>
      <c r="BJ111" s="827"/>
      <c r="BK111" s="827"/>
      <c r="BL111" s="827"/>
      <c r="BM111" s="827"/>
      <c r="BN111" s="827"/>
      <c r="BO111" s="827"/>
      <c r="BP111" s="827"/>
      <c r="BQ111" s="827"/>
      <c r="BR111" s="827"/>
      <c r="BS111" s="827"/>
      <c r="BT111" s="827"/>
      <c r="BU111" s="827"/>
    </row>
    <row r="112" spans="1:73" x14ac:dyDescent="0.25">
      <c r="A112" s="827"/>
      <c r="B112" s="829"/>
      <c r="C112" s="926"/>
      <c r="D112" s="927"/>
      <c r="E112" s="928"/>
      <c r="F112" s="928"/>
      <c r="G112" s="928"/>
      <c r="H112" s="843">
        <f t="shared" ref="H112:S112" ca="1" si="47">OFFSET(H$76,MATCH($C111,$N$101:$N$107,0)*3-1,0)</f>
        <v>0.13957089196592026</v>
      </c>
      <c r="I112" s="843">
        <f t="shared" ca="1" si="47"/>
        <v>1.783617240376029E-2</v>
      </c>
      <c r="J112" s="843">
        <f t="shared" ca="1" si="47"/>
        <v>1.982439028379392E-2</v>
      </c>
      <c r="K112" s="843">
        <f t="shared" ca="1" si="47"/>
        <v>2.1621130547425983E-3</v>
      </c>
      <c r="L112" s="843">
        <f t="shared" ca="1" si="47"/>
        <v>1.3770101206159633E-3</v>
      </c>
      <c r="M112" s="843">
        <f t="shared" ca="1" si="47"/>
        <v>0.15273691382688664</v>
      </c>
      <c r="N112" s="843">
        <f t="shared" ca="1" si="47"/>
        <v>1.0713620728484385</v>
      </c>
      <c r="O112" s="843">
        <f t="shared" ca="1" si="47"/>
        <v>2.3322527898303188E-2</v>
      </c>
      <c r="P112" s="843">
        <f t="shared" ca="1" si="47"/>
        <v>0.20617962261571299</v>
      </c>
      <c r="Q112" s="843">
        <f t="shared" ca="1" si="47"/>
        <v>8.3427811068748803E-2</v>
      </c>
      <c r="R112" s="843">
        <f t="shared" ca="1" si="47"/>
        <v>1.6359437779649533E-2</v>
      </c>
      <c r="S112" s="843">
        <f t="shared" ca="1" si="47"/>
        <v>3.7477676170523879E-3</v>
      </c>
      <c r="T112" s="827"/>
      <c r="U112" s="827"/>
      <c r="V112" s="827"/>
      <c r="W112" s="827"/>
      <c r="X112" s="827"/>
      <c r="Y112" s="827"/>
      <c r="Z112" s="827"/>
      <c r="AA112" s="827"/>
      <c r="AB112" s="827"/>
      <c r="AC112" s="827"/>
      <c r="AD112" s="827"/>
      <c r="AE112" s="827"/>
      <c r="AF112" s="827"/>
      <c r="AG112" s="827"/>
      <c r="AH112" s="827"/>
      <c r="AI112" s="827"/>
      <c r="AJ112" s="827"/>
      <c r="AK112" s="827"/>
      <c r="AL112" s="827"/>
      <c r="AM112" s="827"/>
      <c r="AN112" s="827"/>
      <c r="AO112" s="827"/>
      <c r="AP112" s="827"/>
      <c r="AQ112" s="827"/>
      <c r="AR112" s="827"/>
      <c r="AS112" s="827"/>
      <c r="AT112" s="827"/>
      <c r="AU112" s="827"/>
      <c r="AV112" s="827"/>
      <c r="AW112" s="827"/>
      <c r="AX112" s="827"/>
      <c r="AY112" s="827"/>
      <c r="AZ112" s="827"/>
      <c r="BA112" s="827"/>
      <c r="BB112" s="827"/>
      <c r="BC112" s="827"/>
      <c r="BD112" s="827"/>
      <c r="BE112" s="827"/>
      <c r="BF112" s="827"/>
      <c r="BG112" s="827"/>
      <c r="BH112" s="827"/>
      <c r="BI112" s="827"/>
      <c r="BJ112" s="827"/>
      <c r="BK112" s="827"/>
      <c r="BL112" s="827"/>
      <c r="BM112" s="827"/>
      <c r="BN112" s="827"/>
      <c r="BO112" s="827"/>
      <c r="BP112" s="827"/>
      <c r="BQ112" s="827"/>
      <c r="BR112" s="827"/>
      <c r="BS112" s="827"/>
      <c r="BT112" s="827"/>
      <c r="BU112" s="827"/>
    </row>
    <row r="113" spans="1:73" x14ac:dyDescent="0.25">
      <c r="A113" s="827"/>
      <c r="B113" s="829"/>
      <c r="C113" s="926"/>
      <c r="D113" s="927"/>
      <c r="E113" s="928"/>
      <c r="F113" s="928"/>
      <c r="G113" s="928"/>
      <c r="H113" s="843"/>
      <c r="I113" s="843"/>
      <c r="J113" s="843"/>
      <c r="K113" s="843"/>
      <c r="L113" s="843"/>
      <c r="M113" s="843"/>
      <c r="N113" s="843"/>
      <c r="O113" s="843"/>
      <c r="P113" s="843"/>
      <c r="Q113" s="843"/>
      <c r="R113" s="843"/>
      <c r="S113" s="843"/>
      <c r="T113" s="827"/>
      <c r="U113" s="827"/>
      <c r="V113" s="827"/>
      <c r="W113" s="827"/>
      <c r="X113" s="827"/>
      <c r="Y113" s="827"/>
      <c r="Z113" s="827"/>
      <c r="AA113" s="827"/>
      <c r="AB113" s="827"/>
      <c r="AC113" s="827"/>
      <c r="AD113" s="827"/>
      <c r="AE113" s="827"/>
      <c r="AF113" s="827"/>
      <c r="AG113" s="827"/>
      <c r="AH113" s="827"/>
      <c r="AI113" s="827"/>
      <c r="AJ113" s="827"/>
      <c r="AK113" s="827"/>
      <c r="AL113" s="827"/>
      <c r="AM113" s="827"/>
      <c r="AN113" s="827"/>
      <c r="AO113" s="827"/>
      <c r="AP113" s="827"/>
      <c r="AQ113" s="827"/>
      <c r="AR113" s="827"/>
      <c r="AS113" s="827"/>
      <c r="AT113" s="827"/>
      <c r="AU113" s="827"/>
      <c r="AV113" s="827"/>
      <c r="AW113" s="827"/>
      <c r="AX113" s="827"/>
      <c r="AY113" s="827"/>
      <c r="AZ113" s="827"/>
      <c r="BA113" s="827"/>
      <c r="BB113" s="827"/>
      <c r="BC113" s="827"/>
      <c r="BD113" s="827"/>
      <c r="BE113" s="827"/>
      <c r="BF113" s="827"/>
      <c r="BG113" s="827"/>
      <c r="BH113" s="827"/>
      <c r="BI113" s="827"/>
      <c r="BJ113" s="827"/>
      <c r="BK113" s="827"/>
      <c r="BL113" s="827"/>
      <c r="BM113" s="827"/>
      <c r="BN113" s="827"/>
      <c r="BO113" s="827"/>
      <c r="BP113" s="827"/>
      <c r="BQ113" s="827"/>
      <c r="BR113" s="827"/>
      <c r="BS113" s="827"/>
      <c r="BT113" s="827"/>
      <c r="BU113" s="827"/>
    </row>
    <row r="114" spans="1:73" x14ac:dyDescent="0.25">
      <c r="A114" s="827"/>
      <c r="B114" s="829"/>
      <c r="C114" s="926"/>
      <c r="D114" s="928"/>
      <c r="E114" s="928"/>
      <c r="F114" s="928"/>
      <c r="G114" s="928"/>
      <c r="H114" s="928"/>
      <c r="I114" s="928"/>
      <c r="J114" s="928"/>
      <c r="K114" s="928"/>
      <c r="L114" s="928"/>
      <c r="M114" s="928"/>
      <c r="N114" s="928"/>
      <c r="O114" s="928"/>
      <c r="P114" s="928"/>
      <c r="Q114" s="928"/>
      <c r="R114" s="928"/>
      <c r="S114" s="928"/>
      <c r="T114" s="827"/>
      <c r="U114" s="827"/>
      <c r="V114" s="827"/>
      <c r="W114" s="827"/>
      <c r="X114" s="827"/>
      <c r="Y114" s="827"/>
      <c r="Z114" s="827"/>
      <c r="AA114" s="827"/>
      <c r="AB114" s="827"/>
      <c r="AC114" s="827"/>
      <c r="AD114" s="827"/>
      <c r="AE114" s="827"/>
      <c r="AF114" s="827"/>
      <c r="AG114" s="827"/>
      <c r="AH114" s="827"/>
      <c r="AI114" s="827"/>
      <c r="AJ114" s="827"/>
      <c r="AK114" s="827"/>
      <c r="AL114" s="827"/>
      <c r="AM114" s="827"/>
      <c r="AN114" s="827"/>
      <c r="AO114" s="827"/>
      <c r="AP114" s="827"/>
      <c r="AQ114" s="827"/>
      <c r="AR114" s="827"/>
      <c r="AS114" s="827"/>
      <c r="AT114" s="827"/>
      <c r="AU114" s="827"/>
      <c r="AV114" s="827"/>
      <c r="AW114" s="827"/>
      <c r="AX114" s="827"/>
      <c r="AY114" s="827"/>
      <c r="AZ114" s="827"/>
      <c r="BA114" s="827"/>
      <c r="BB114" s="827"/>
      <c r="BC114" s="827"/>
      <c r="BD114" s="827"/>
      <c r="BE114" s="827"/>
      <c r="BF114" s="827"/>
      <c r="BG114" s="827"/>
      <c r="BH114" s="827"/>
      <c r="BI114" s="827"/>
      <c r="BJ114" s="827"/>
      <c r="BK114" s="827"/>
      <c r="BL114" s="827"/>
      <c r="BM114" s="827"/>
      <c r="BN114" s="827"/>
      <c r="BO114" s="827"/>
      <c r="BP114" s="827"/>
      <c r="BQ114" s="827"/>
      <c r="BR114" s="827"/>
      <c r="BS114" s="827"/>
      <c r="BT114" s="827"/>
      <c r="BU114" s="827"/>
    </row>
    <row r="115" spans="1:73" x14ac:dyDescent="0.25">
      <c r="A115" s="827"/>
      <c r="B115" s="829"/>
      <c r="C115" s="850">
        <v>1</v>
      </c>
      <c r="D115" s="831" t="str">
        <f t="shared" ref="D115:G115" ca="1" si="48">OFFSET(D$76,MATCH($C115,$N$101:$N$107,0)*3-2,0)</f>
        <v>Operating Capacity Factor = 94.5%</v>
      </c>
      <c r="E115" s="843">
        <f t="shared" ca="1" si="48"/>
        <v>1.7105620579941494</v>
      </c>
      <c r="F115" s="843">
        <f t="shared" ca="1" si="48"/>
        <v>0</v>
      </c>
      <c r="G115" s="843">
        <f t="shared" ca="1" si="48"/>
        <v>1.3195644823857818E-3</v>
      </c>
      <c r="H115" s="928"/>
      <c r="I115" s="928"/>
      <c r="J115" s="928"/>
      <c r="K115" s="928"/>
      <c r="L115" s="928"/>
      <c r="M115" s="928"/>
      <c r="N115" s="928"/>
      <c r="O115" s="928"/>
      <c r="P115" s="928"/>
      <c r="Q115" s="928"/>
      <c r="R115" s="928"/>
      <c r="S115" s="928"/>
      <c r="T115" s="827"/>
      <c r="U115" s="827"/>
      <c r="V115" s="827"/>
      <c r="W115" s="827"/>
      <c r="X115" s="827"/>
      <c r="Y115" s="827"/>
      <c r="Z115" s="827"/>
      <c r="AA115" s="827"/>
      <c r="AB115" s="827"/>
      <c r="AC115" s="827"/>
      <c r="AD115" s="827"/>
      <c r="AE115" s="827"/>
      <c r="AF115" s="827"/>
      <c r="AG115" s="827"/>
      <c r="AH115" s="827"/>
      <c r="AI115" s="827"/>
      <c r="AJ115" s="827"/>
      <c r="AK115" s="827"/>
      <c r="AL115" s="827"/>
      <c r="AM115" s="827"/>
      <c r="AN115" s="827"/>
      <c r="AO115" s="827"/>
      <c r="AP115" s="827"/>
      <c r="AQ115" s="827"/>
      <c r="AR115" s="827"/>
      <c r="AS115" s="827"/>
      <c r="AT115" s="827"/>
      <c r="AU115" s="827"/>
      <c r="AV115" s="827"/>
      <c r="AW115" s="827"/>
      <c r="AX115" s="827"/>
      <c r="AY115" s="827"/>
      <c r="AZ115" s="827"/>
      <c r="BA115" s="827"/>
      <c r="BB115" s="827"/>
      <c r="BC115" s="827"/>
      <c r="BD115" s="827"/>
      <c r="BE115" s="827"/>
      <c r="BF115" s="827"/>
      <c r="BG115" s="827"/>
      <c r="BH115" s="827"/>
      <c r="BI115" s="827"/>
      <c r="BJ115" s="827"/>
      <c r="BK115" s="827"/>
      <c r="BL115" s="827"/>
      <c r="BM115" s="827"/>
      <c r="BN115" s="827"/>
      <c r="BO115" s="827"/>
      <c r="BP115" s="827"/>
      <c r="BQ115" s="827"/>
      <c r="BR115" s="827"/>
      <c r="BS115" s="827"/>
      <c r="BT115" s="827"/>
      <c r="BU115" s="827"/>
    </row>
    <row r="116" spans="1:73" x14ac:dyDescent="0.25">
      <c r="A116" s="827"/>
      <c r="B116" s="829"/>
      <c r="C116" s="831"/>
      <c r="D116" s="831"/>
      <c r="E116" s="831"/>
      <c r="F116" s="831"/>
      <c r="G116" s="831"/>
      <c r="H116" s="843">
        <f t="shared" ref="H116:S116" ca="1" si="49">OFFSET(H$76,MATCH($C115,$N$101:$N$107,0)*3-2,0)</f>
        <v>0.13292465901516215</v>
      </c>
      <c r="I116" s="843">
        <f t="shared" ca="1" si="49"/>
        <v>1.6986830860724087E-2</v>
      </c>
      <c r="J116" s="843">
        <f t="shared" ca="1" si="49"/>
        <v>1.9640011225214891E-2</v>
      </c>
      <c r="K116" s="843">
        <f t="shared" ca="1" si="49"/>
        <v>2.0591552902310458E-3</v>
      </c>
      <c r="L116" s="843">
        <f t="shared" ca="1" si="49"/>
        <v>1.3114382101104415E-3</v>
      </c>
      <c r="M116" s="843">
        <f t="shared" ca="1" si="49"/>
        <v>0.14546372745417774</v>
      </c>
      <c r="N116" s="843">
        <f t="shared" ca="1" si="49"/>
        <v>1.0713620728484385</v>
      </c>
      <c r="O116" s="843">
        <f t="shared" ca="1" si="49"/>
        <v>2.2211931331717321E-2</v>
      </c>
      <c r="P116" s="843">
        <f t="shared" ca="1" si="49"/>
        <v>0.20105371241426109</v>
      </c>
      <c r="Q116" s="843">
        <f t="shared" ca="1" si="49"/>
        <v>7.9455058160713146E-2</v>
      </c>
      <c r="R116" s="843">
        <f t="shared" ca="1" si="49"/>
        <v>1.5843723173352409E-2</v>
      </c>
      <c r="S116" s="843">
        <f t="shared" ca="1" si="49"/>
        <v>3.569302492430846E-3</v>
      </c>
      <c r="T116" s="827"/>
      <c r="U116" s="827"/>
      <c r="V116" s="827"/>
      <c r="W116" s="827"/>
      <c r="X116" s="827"/>
      <c r="Y116" s="827"/>
      <c r="Z116" s="827"/>
      <c r="AA116" s="827"/>
      <c r="AB116" s="827"/>
      <c r="AC116" s="827"/>
      <c r="AD116" s="827"/>
      <c r="AE116" s="827"/>
      <c r="AF116" s="827"/>
      <c r="AG116" s="827"/>
      <c r="AH116" s="827"/>
      <c r="AI116" s="827"/>
      <c r="AJ116" s="827"/>
      <c r="AK116" s="827"/>
      <c r="AL116" s="827"/>
      <c r="AM116" s="827"/>
      <c r="AN116" s="827"/>
      <c r="AO116" s="827"/>
      <c r="AP116" s="827"/>
      <c r="AQ116" s="827"/>
      <c r="AR116" s="827"/>
      <c r="AS116" s="827"/>
      <c r="AT116" s="827"/>
      <c r="AU116" s="827"/>
      <c r="AV116" s="827"/>
      <c r="AW116" s="827"/>
      <c r="AX116" s="827"/>
      <c r="AY116" s="827"/>
      <c r="AZ116" s="827"/>
      <c r="BA116" s="827"/>
      <c r="BB116" s="827"/>
      <c r="BC116" s="827"/>
      <c r="BD116" s="827"/>
      <c r="BE116" s="827"/>
      <c r="BF116" s="827"/>
      <c r="BG116" s="827"/>
      <c r="BH116" s="827"/>
      <c r="BI116" s="827"/>
      <c r="BJ116" s="827"/>
      <c r="BK116" s="827"/>
      <c r="BL116" s="827"/>
      <c r="BM116" s="827"/>
      <c r="BN116" s="827"/>
      <c r="BO116" s="827"/>
      <c r="BP116" s="827"/>
      <c r="BQ116" s="827"/>
      <c r="BR116" s="827"/>
      <c r="BS116" s="827"/>
      <c r="BT116" s="827"/>
      <c r="BU116" s="827"/>
    </row>
    <row r="117" spans="1:73" x14ac:dyDescent="0.25">
      <c r="A117" s="827"/>
      <c r="B117" s="829"/>
      <c r="C117" s="850">
        <v>1</v>
      </c>
      <c r="D117" s="831" t="str">
        <f t="shared" ref="D117:G117" ca="1" si="50">OFFSET(D$76,MATCH($C117,$N$101:$N$107,0)*3,0)</f>
        <v>Operating Capacity Factor = 85.5%</v>
      </c>
      <c r="E117" s="843">
        <f t="shared" ca="1" si="50"/>
        <v>1.7652104581418571</v>
      </c>
      <c r="F117" s="843">
        <f t="shared" ca="1" si="50"/>
        <v>0</v>
      </c>
      <c r="G117" s="843">
        <f t="shared" ca="1" si="50"/>
        <v>1.4584660068474428E-3</v>
      </c>
      <c r="H117" s="831"/>
      <c r="I117" s="831"/>
      <c r="J117" s="831"/>
      <c r="K117" s="831"/>
      <c r="L117" s="831"/>
      <c r="M117" s="831"/>
      <c r="N117" s="831"/>
      <c r="O117" s="831"/>
      <c r="P117" s="831"/>
      <c r="Q117" s="831"/>
      <c r="R117" s="831"/>
      <c r="S117" s="831"/>
      <c r="T117" s="827"/>
      <c r="U117" s="827"/>
      <c r="V117" s="827"/>
      <c r="W117" s="827"/>
      <c r="X117" s="827"/>
      <c r="Y117" s="827"/>
      <c r="Z117" s="827"/>
      <c r="AA117" s="827"/>
      <c r="AB117" s="827"/>
      <c r="AC117" s="827"/>
      <c r="AD117" s="827"/>
      <c r="AE117" s="827"/>
      <c r="AF117" s="827"/>
      <c r="AG117" s="827"/>
      <c r="AH117" s="827"/>
      <c r="AI117" s="827"/>
      <c r="AJ117" s="827"/>
      <c r="AK117" s="827"/>
      <c r="AL117" s="827"/>
      <c r="AM117" s="827"/>
      <c r="AN117" s="827"/>
      <c r="AO117" s="827"/>
      <c r="AP117" s="827"/>
      <c r="AQ117" s="827"/>
      <c r="AR117" s="827"/>
      <c r="AS117" s="827"/>
      <c r="AT117" s="827"/>
      <c r="AU117" s="827"/>
      <c r="AV117" s="827"/>
      <c r="AW117" s="827"/>
      <c r="AX117" s="827"/>
      <c r="AY117" s="827"/>
      <c r="AZ117" s="827"/>
      <c r="BA117" s="827"/>
      <c r="BB117" s="827"/>
      <c r="BC117" s="827"/>
      <c r="BD117" s="827"/>
      <c r="BE117" s="827"/>
      <c r="BF117" s="827"/>
      <c r="BG117" s="827"/>
      <c r="BH117" s="827"/>
      <c r="BI117" s="827"/>
      <c r="BJ117" s="827"/>
      <c r="BK117" s="827"/>
      <c r="BL117" s="827"/>
      <c r="BM117" s="827"/>
      <c r="BN117" s="827"/>
      <c r="BO117" s="827"/>
      <c r="BP117" s="827"/>
      <c r="BQ117" s="827"/>
      <c r="BR117" s="827"/>
      <c r="BS117" s="827"/>
      <c r="BT117" s="827"/>
      <c r="BU117" s="827"/>
    </row>
    <row r="118" spans="1:73" x14ac:dyDescent="0.25">
      <c r="A118" s="827"/>
      <c r="B118" s="829"/>
      <c r="C118" s="850"/>
      <c r="D118" s="831"/>
      <c r="E118" s="843"/>
      <c r="F118" s="843"/>
      <c r="G118" s="843"/>
      <c r="H118" s="843">
        <f t="shared" ref="H118:S118" ca="1" si="51">OFFSET(H$76,MATCH($C117,$N$101:$N$107,0)*3,0)</f>
        <v>0.14691672838517919</v>
      </c>
      <c r="I118" s="843">
        <f t="shared" ca="1" si="51"/>
        <v>1.8774918319747674E-2</v>
      </c>
      <c r="J118" s="843">
        <f t="shared" ca="1" si="51"/>
        <v>2.0028145480361491E-2</v>
      </c>
      <c r="K118" s="843">
        <f t="shared" ca="1" si="51"/>
        <v>2.2759084786764189E-3</v>
      </c>
      <c r="L118" s="843">
        <f t="shared" ca="1" si="51"/>
        <v>1.4494843374904876E-3</v>
      </c>
      <c r="M118" s="843">
        <f t="shared" ca="1" si="51"/>
        <v>0.16077569876514383</v>
      </c>
      <c r="N118" s="843">
        <f t="shared" ca="1" si="51"/>
        <v>1.0713620728484379</v>
      </c>
      <c r="O118" s="843">
        <f t="shared" ca="1" si="51"/>
        <v>2.4550029366634932E-2</v>
      </c>
      <c r="P118" s="843">
        <f t="shared" ca="1" si="51"/>
        <v>0.2118427441509734</v>
      </c>
      <c r="Q118" s="843">
        <f t="shared" ca="1" si="51"/>
        <v>8.7818748493419793E-2</v>
      </c>
      <c r="R118" s="843">
        <f t="shared" ca="1" si="51"/>
        <v>1.6929426978371711E-2</v>
      </c>
      <c r="S118" s="843">
        <f t="shared" ca="1" si="51"/>
        <v>3.9450185442656714E-3</v>
      </c>
      <c r="T118" s="827"/>
      <c r="U118" s="827"/>
      <c r="V118" s="827"/>
      <c r="W118" s="827"/>
      <c r="X118" s="827"/>
      <c r="Y118" s="827"/>
      <c r="Z118" s="827"/>
      <c r="AA118" s="827"/>
      <c r="AB118" s="827"/>
      <c r="AC118" s="827"/>
      <c r="AD118" s="827"/>
      <c r="AE118" s="827"/>
      <c r="AF118" s="827"/>
      <c r="AG118" s="827"/>
      <c r="AH118" s="827"/>
      <c r="AI118" s="827"/>
      <c r="AJ118" s="827"/>
      <c r="AK118" s="827"/>
      <c r="AL118" s="827"/>
      <c r="AM118" s="827"/>
      <c r="AN118" s="827"/>
      <c r="AO118" s="827"/>
      <c r="AP118" s="827"/>
      <c r="AQ118" s="827"/>
      <c r="AR118" s="827"/>
      <c r="AS118" s="827"/>
      <c r="AT118" s="827"/>
      <c r="AU118" s="827"/>
      <c r="AV118" s="827"/>
      <c r="AW118" s="827"/>
      <c r="AX118" s="827"/>
      <c r="AY118" s="827"/>
      <c r="AZ118" s="827"/>
      <c r="BA118" s="827"/>
      <c r="BB118" s="827"/>
      <c r="BC118" s="827"/>
      <c r="BD118" s="827"/>
      <c r="BE118" s="827"/>
      <c r="BF118" s="827"/>
      <c r="BG118" s="827"/>
      <c r="BH118" s="827"/>
      <c r="BI118" s="827"/>
      <c r="BJ118" s="827"/>
      <c r="BK118" s="827"/>
      <c r="BL118" s="827"/>
      <c r="BM118" s="827"/>
      <c r="BN118" s="827"/>
      <c r="BO118" s="827"/>
      <c r="BP118" s="827"/>
      <c r="BQ118" s="827"/>
      <c r="BR118" s="827"/>
      <c r="BS118" s="827"/>
      <c r="BT118" s="827"/>
      <c r="BU118" s="827"/>
    </row>
    <row r="119" spans="1:73" x14ac:dyDescent="0.25">
      <c r="A119" s="827"/>
      <c r="B119" s="829"/>
      <c r="C119" s="850"/>
      <c r="D119" s="831"/>
      <c r="E119" s="843"/>
      <c r="F119" s="843"/>
      <c r="G119" s="843"/>
      <c r="H119" s="843"/>
      <c r="I119" s="843"/>
      <c r="J119" s="843"/>
      <c r="K119" s="843"/>
      <c r="L119" s="843"/>
      <c r="M119" s="843"/>
      <c r="N119" s="843"/>
      <c r="O119" s="843"/>
      <c r="P119" s="843"/>
      <c r="Q119" s="843"/>
      <c r="R119" s="843"/>
      <c r="S119" s="843"/>
      <c r="T119" s="827"/>
      <c r="U119" s="827"/>
      <c r="V119" s="827"/>
      <c r="W119" s="827"/>
      <c r="X119" s="827"/>
      <c r="Y119" s="827"/>
      <c r="Z119" s="827"/>
      <c r="AA119" s="827"/>
      <c r="AB119" s="827"/>
      <c r="AC119" s="827"/>
      <c r="AD119" s="827"/>
      <c r="AE119" s="827"/>
      <c r="AF119" s="827"/>
      <c r="AG119" s="827"/>
      <c r="AH119" s="827"/>
      <c r="AI119" s="827"/>
      <c r="AJ119" s="827"/>
      <c r="AK119" s="827"/>
      <c r="AL119" s="827"/>
      <c r="AM119" s="827"/>
      <c r="AN119" s="827"/>
      <c r="AO119" s="827"/>
      <c r="AP119" s="827"/>
      <c r="AQ119" s="827"/>
      <c r="AR119" s="827"/>
      <c r="AS119" s="827"/>
      <c r="AT119" s="827"/>
      <c r="AU119" s="827"/>
      <c r="AV119" s="827"/>
      <c r="AW119" s="827"/>
      <c r="AX119" s="827"/>
      <c r="AY119" s="827"/>
      <c r="AZ119" s="827"/>
      <c r="BA119" s="827"/>
      <c r="BB119" s="827"/>
      <c r="BC119" s="827"/>
      <c r="BD119" s="827"/>
      <c r="BE119" s="827"/>
      <c r="BF119" s="827"/>
      <c r="BG119" s="827"/>
      <c r="BH119" s="827"/>
      <c r="BI119" s="827"/>
      <c r="BJ119" s="827"/>
      <c r="BK119" s="827"/>
      <c r="BL119" s="827"/>
      <c r="BM119" s="827"/>
      <c r="BN119" s="827"/>
      <c r="BO119" s="827"/>
      <c r="BP119" s="827"/>
      <c r="BQ119" s="827"/>
      <c r="BR119" s="827"/>
      <c r="BS119" s="827"/>
      <c r="BT119" s="827"/>
      <c r="BU119" s="827"/>
    </row>
    <row r="120" spans="1:73" x14ac:dyDescent="0.25">
      <c r="A120" s="827"/>
      <c r="B120" s="827"/>
      <c r="C120" s="850">
        <v>2</v>
      </c>
      <c r="D120" s="831" t="str">
        <f t="shared" ref="D120:G120" ca="1" si="52">OFFSET(D$76,MATCH($C120,$N$101:$N$107,0)*3-2,0)</f>
        <v>Total Capital Investment = $739,294K</v>
      </c>
      <c r="E120" s="843">
        <f t="shared" ca="1" si="52"/>
        <v>1.7211743419140393</v>
      </c>
      <c r="F120" s="843">
        <f t="shared" ca="1" si="52"/>
        <v>0</v>
      </c>
      <c r="G120" s="843">
        <f t="shared" ca="1" si="52"/>
        <v>1.316265571179817E-3</v>
      </c>
      <c r="H120" s="843"/>
      <c r="I120" s="843"/>
      <c r="J120" s="843"/>
      <c r="K120" s="843"/>
      <c r="L120" s="843"/>
      <c r="M120" s="843"/>
      <c r="N120" s="843"/>
      <c r="O120" s="843"/>
      <c r="P120" s="843"/>
      <c r="Q120" s="843"/>
      <c r="R120" s="843"/>
      <c r="S120" s="843"/>
      <c r="T120" s="827"/>
      <c r="U120" s="827"/>
      <c r="V120" s="827"/>
      <c r="W120" s="827"/>
      <c r="X120" s="827"/>
      <c r="Y120" s="827"/>
      <c r="Z120" s="827"/>
      <c r="AA120" s="827"/>
      <c r="AB120" s="827"/>
      <c r="AC120" s="827"/>
      <c r="AD120" s="827"/>
      <c r="AE120" s="827"/>
      <c r="AF120" s="827"/>
      <c r="AG120" s="827"/>
      <c r="AH120" s="827"/>
      <c r="AI120" s="827"/>
      <c r="AJ120" s="827"/>
      <c r="AK120" s="827"/>
      <c r="AL120" s="827"/>
      <c r="AM120" s="827"/>
      <c r="AN120" s="827"/>
      <c r="AO120" s="827"/>
      <c r="AP120" s="827"/>
      <c r="AQ120" s="827"/>
      <c r="AR120" s="827"/>
      <c r="AS120" s="827"/>
      <c r="AT120" s="827"/>
      <c r="AU120" s="827"/>
      <c r="AV120" s="827"/>
      <c r="AW120" s="827"/>
      <c r="AX120" s="827"/>
      <c r="AY120" s="827"/>
      <c r="AZ120" s="827"/>
      <c r="BA120" s="827"/>
      <c r="BB120" s="827"/>
      <c r="BC120" s="827"/>
      <c r="BD120" s="827"/>
      <c r="BE120" s="827"/>
      <c r="BF120" s="827"/>
      <c r="BG120" s="827"/>
      <c r="BH120" s="827"/>
      <c r="BI120" s="827"/>
      <c r="BJ120" s="827"/>
      <c r="BK120" s="827"/>
      <c r="BL120" s="827"/>
      <c r="BM120" s="827"/>
      <c r="BN120" s="827"/>
      <c r="BO120" s="827"/>
      <c r="BP120" s="827"/>
      <c r="BQ120" s="827"/>
      <c r="BR120" s="827"/>
      <c r="BS120" s="827"/>
      <c r="BT120" s="827"/>
      <c r="BU120" s="827"/>
    </row>
    <row r="121" spans="1:73" x14ac:dyDescent="0.25">
      <c r="A121" s="827"/>
      <c r="B121" s="827"/>
      <c r="C121" s="850"/>
      <c r="D121" s="831"/>
      <c r="E121" s="843"/>
      <c r="F121" s="843"/>
      <c r="G121" s="843"/>
      <c r="H121" s="843">
        <f t="shared" ref="H121:S121" ca="1" si="53">OFFSET(H$76,MATCH($C120,$N$101:$N$107,0)*3-2,0)</f>
        <v>0.1325491051065294</v>
      </c>
      <c r="I121" s="843">
        <f t="shared" ca="1" si="53"/>
        <v>1.783617240376029E-2</v>
      </c>
      <c r="J121" s="843">
        <f t="shared" ca="1" si="53"/>
        <v>1.9775403316905488E-2</v>
      </c>
      <c r="K121" s="843">
        <f t="shared" ca="1" si="53"/>
        <v>2.1621130547425983E-3</v>
      </c>
      <c r="L121" s="843">
        <f t="shared" ca="1" si="53"/>
        <v>1.3077329852907099E-3</v>
      </c>
      <c r="M121" s="843">
        <f t="shared" ca="1" si="53"/>
        <v>0.14914757512617435</v>
      </c>
      <c r="N121" s="843">
        <f t="shared" ca="1" si="53"/>
        <v>1.0713620728484385</v>
      </c>
      <c r="O121" s="843">
        <f t="shared" ca="1" si="53"/>
        <v>2.3322527898303188E-2</v>
      </c>
      <c r="P121" s="843">
        <f t="shared" ca="1" si="53"/>
        <v>0.20617962261571299</v>
      </c>
      <c r="Q121" s="843">
        <f t="shared" ca="1" si="53"/>
        <v>7.923057266739704E-2</v>
      </c>
      <c r="R121" s="843">
        <f t="shared" ca="1" si="53"/>
        <v>1.605849137006404E-2</v>
      </c>
      <c r="S121" s="843">
        <f t="shared" ca="1" si="53"/>
        <v>3.5592180918985698E-3</v>
      </c>
      <c r="T121" s="827"/>
      <c r="U121" s="827"/>
      <c r="V121" s="827"/>
      <c r="W121" s="827"/>
      <c r="X121" s="827"/>
      <c r="Y121" s="827"/>
      <c r="Z121" s="827"/>
      <c r="AA121" s="827"/>
      <c r="AB121" s="827"/>
      <c r="AC121" s="827"/>
      <c r="AD121" s="827"/>
      <c r="AE121" s="827"/>
      <c r="AF121" s="827"/>
      <c r="AG121" s="827"/>
      <c r="AH121" s="827"/>
      <c r="AI121" s="827"/>
      <c r="AJ121" s="827"/>
      <c r="AK121" s="827"/>
      <c r="AL121" s="827"/>
      <c r="AM121" s="827"/>
      <c r="AN121" s="827"/>
      <c r="AO121" s="827"/>
      <c r="AP121" s="827"/>
      <c r="AQ121" s="827"/>
      <c r="AR121" s="827"/>
      <c r="AS121" s="827"/>
      <c r="AT121" s="827"/>
      <c r="AU121" s="827"/>
      <c r="AV121" s="827"/>
      <c r="AW121" s="827"/>
      <c r="AX121" s="827"/>
      <c r="AY121" s="827"/>
      <c r="AZ121" s="827"/>
      <c r="BA121" s="827"/>
      <c r="BB121" s="827"/>
      <c r="BC121" s="827"/>
      <c r="BD121" s="827"/>
      <c r="BE121" s="827"/>
      <c r="BF121" s="827"/>
      <c r="BG121" s="827"/>
      <c r="BH121" s="827"/>
      <c r="BI121" s="827"/>
      <c r="BJ121" s="827"/>
      <c r="BK121" s="827"/>
      <c r="BL121" s="827"/>
      <c r="BM121" s="827"/>
      <c r="BN121" s="827"/>
      <c r="BO121" s="827"/>
      <c r="BP121" s="827"/>
      <c r="BQ121" s="827"/>
      <c r="BR121" s="827"/>
      <c r="BS121" s="827"/>
      <c r="BT121" s="827"/>
      <c r="BU121" s="827"/>
    </row>
    <row r="122" spans="1:73" x14ac:dyDescent="0.25">
      <c r="A122" s="827"/>
      <c r="B122" s="827"/>
      <c r="C122" s="850">
        <v>2</v>
      </c>
      <c r="D122" s="831" t="str">
        <f t="shared" ref="D122:G122" ca="1" si="54">OFFSET(D$76,MATCH($C122,$N$101:$N$107,0)*3,0)</f>
        <v>Total Capital Investment = $817,115K</v>
      </c>
      <c r="E122" s="843">
        <f t="shared" ca="1" si="54"/>
        <v>1.7518680356402039</v>
      </c>
      <c r="F122" s="843">
        <f t="shared" ca="1" si="54"/>
        <v>0</v>
      </c>
      <c r="G122" s="843">
        <f t="shared" ca="1" si="54"/>
        <v>1.4548198418303248E-3</v>
      </c>
      <c r="H122" s="843"/>
      <c r="I122" s="843"/>
      <c r="J122" s="843"/>
      <c r="K122" s="843"/>
      <c r="L122" s="843"/>
      <c r="M122" s="843"/>
      <c r="N122" s="843"/>
      <c r="O122" s="843"/>
      <c r="P122" s="843"/>
      <c r="Q122" s="843"/>
      <c r="R122" s="843"/>
      <c r="S122" s="843"/>
      <c r="T122" s="827"/>
      <c r="U122" s="827"/>
      <c r="V122" s="827"/>
      <c r="W122" s="827"/>
      <c r="X122" s="827"/>
      <c r="Y122" s="827"/>
      <c r="Z122" s="827"/>
      <c r="AA122" s="827"/>
      <c r="AB122" s="827"/>
      <c r="AC122" s="827"/>
      <c r="AD122" s="827"/>
      <c r="AE122" s="827"/>
      <c r="AF122" s="827"/>
      <c r="AG122" s="827"/>
      <c r="AH122" s="827"/>
      <c r="AI122" s="827"/>
      <c r="AJ122" s="827"/>
      <c r="AK122" s="827"/>
      <c r="AL122" s="827"/>
      <c r="AM122" s="827"/>
      <c r="AN122" s="827"/>
      <c r="AO122" s="827"/>
      <c r="AP122" s="827"/>
      <c r="AQ122" s="827"/>
      <c r="AR122" s="827"/>
      <c r="AS122" s="827"/>
      <c r="AT122" s="827"/>
      <c r="AU122" s="827"/>
      <c r="AV122" s="827"/>
      <c r="AW122" s="827"/>
      <c r="AX122" s="827"/>
      <c r="AY122" s="827"/>
      <c r="AZ122" s="827"/>
      <c r="BA122" s="827"/>
      <c r="BB122" s="827"/>
      <c r="BC122" s="827"/>
      <c r="BD122" s="827"/>
      <c r="BE122" s="827"/>
      <c r="BF122" s="827"/>
      <c r="BG122" s="827"/>
      <c r="BH122" s="827"/>
      <c r="BI122" s="827"/>
      <c r="BJ122" s="827"/>
      <c r="BK122" s="827"/>
      <c r="BL122" s="827"/>
      <c r="BM122" s="827"/>
      <c r="BN122" s="827"/>
      <c r="BO122" s="827"/>
      <c r="BP122" s="827"/>
      <c r="BQ122" s="827"/>
      <c r="BR122" s="827"/>
      <c r="BS122" s="827"/>
      <c r="BT122" s="827"/>
      <c r="BU122" s="827"/>
    </row>
    <row r="123" spans="1:73" x14ac:dyDescent="0.25">
      <c r="A123" s="827"/>
      <c r="B123" s="827"/>
      <c r="C123" s="850"/>
      <c r="D123" s="831"/>
      <c r="E123" s="843"/>
      <c r="F123" s="843"/>
      <c r="G123" s="843"/>
      <c r="H123" s="843">
        <f t="shared" ref="H123:S123" ca="1" si="55">OFFSET(H$76,MATCH($C122,$N$101:$N$107,0)*3,0)</f>
        <v>0.14659267882531116</v>
      </c>
      <c r="I123" s="843">
        <f t="shared" ca="1" si="55"/>
        <v>1.783617240376029E-2</v>
      </c>
      <c r="J123" s="843">
        <f t="shared" ca="1" si="55"/>
        <v>1.9873377250682351E-2</v>
      </c>
      <c r="K123" s="843">
        <f t="shared" ca="1" si="55"/>
        <v>2.1621130547425983E-3</v>
      </c>
      <c r="L123" s="843">
        <f t="shared" ca="1" si="55"/>
        <v>1.4462872559412171E-3</v>
      </c>
      <c r="M123" s="843">
        <f t="shared" ca="1" si="55"/>
        <v>0.15632625252759905</v>
      </c>
      <c r="N123" s="843">
        <f t="shared" ca="1" si="55"/>
        <v>1.0713620728484385</v>
      </c>
      <c r="O123" s="843">
        <f t="shared" ca="1" si="55"/>
        <v>2.3322527898303188E-2</v>
      </c>
      <c r="P123" s="843">
        <f t="shared" ca="1" si="55"/>
        <v>0.20617962261571299</v>
      </c>
      <c r="Q123" s="843">
        <f t="shared" ca="1" si="55"/>
        <v>8.7625049470100649E-2</v>
      </c>
      <c r="R123" s="843">
        <f t="shared" ca="1" si="55"/>
        <v>1.6660384189235183E-2</v>
      </c>
      <c r="S123" s="843">
        <f t="shared" ca="1" si="55"/>
        <v>3.936317142206206E-3</v>
      </c>
      <c r="T123" s="827"/>
      <c r="U123" s="827"/>
      <c r="V123" s="827"/>
      <c r="W123" s="827"/>
      <c r="X123" s="827"/>
      <c r="Y123" s="827"/>
      <c r="Z123" s="827"/>
      <c r="AA123" s="827"/>
      <c r="AB123" s="827"/>
      <c r="AC123" s="827"/>
      <c r="AD123" s="827"/>
      <c r="AE123" s="827"/>
      <c r="AF123" s="827"/>
      <c r="AG123" s="827"/>
      <c r="AH123" s="827"/>
      <c r="AI123" s="827"/>
      <c r="AJ123" s="827"/>
      <c r="AK123" s="827"/>
      <c r="AL123" s="827"/>
      <c r="AM123" s="827"/>
      <c r="AN123" s="827"/>
      <c r="AO123" s="827"/>
      <c r="AP123" s="827"/>
      <c r="AQ123" s="827"/>
      <c r="AR123" s="827"/>
      <c r="AS123" s="827"/>
      <c r="AT123" s="827"/>
      <c r="AU123" s="827"/>
      <c r="AV123" s="827"/>
      <c r="AW123" s="827"/>
      <c r="AX123" s="827"/>
      <c r="AY123" s="827"/>
      <c r="AZ123" s="827"/>
      <c r="BA123" s="827"/>
      <c r="BB123" s="827"/>
      <c r="BC123" s="827"/>
      <c r="BD123" s="827"/>
      <c r="BE123" s="827"/>
      <c r="BF123" s="827"/>
      <c r="BG123" s="827"/>
      <c r="BH123" s="827"/>
      <c r="BI123" s="827"/>
      <c r="BJ123" s="827"/>
      <c r="BK123" s="827"/>
      <c r="BL123" s="827"/>
      <c r="BM123" s="827"/>
      <c r="BN123" s="827"/>
      <c r="BO123" s="827"/>
      <c r="BP123" s="827"/>
      <c r="BQ123" s="827"/>
      <c r="BR123" s="827"/>
      <c r="BS123" s="827"/>
      <c r="BT123" s="827"/>
      <c r="BU123" s="827"/>
    </row>
    <row r="124" spans="1:73" x14ac:dyDescent="0.25">
      <c r="A124" s="827"/>
      <c r="B124" s="827"/>
      <c r="C124" s="850"/>
      <c r="D124" s="831"/>
      <c r="E124" s="843"/>
      <c r="F124" s="843"/>
      <c r="G124" s="843"/>
      <c r="H124" s="843"/>
      <c r="I124" s="843"/>
      <c r="J124" s="843"/>
      <c r="K124" s="843"/>
      <c r="L124" s="843"/>
      <c r="M124" s="843"/>
      <c r="N124" s="843"/>
      <c r="O124" s="843"/>
      <c r="P124" s="843"/>
      <c r="Q124" s="843"/>
      <c r="R124" s="843"/>
      <c r="S124" s="843"/>
      <c r="T124" s="827"/>
      <c r="U124" s="827"/>
      <c r="V124" s="827"/>
      <c r="W124" s="827"/>
      <c r="X124" s="827"/>
      <c r="Y124" s="827"/>
      <c r="Z124" s="827"/>
      <c r="AA124" s="827"/>
      <c r="AB124" s="827"/>
      <c r="AC124" s="827"/>
      <c r="AD124" s="827"/>
      <c r="AE124" s="827"/>
      <c r="AF124" s="827"/>
      <c r="AG124" s="827"/>
      <c r="AH124" s="827"/>
      <c r="AI124" s="827"/>
      <c r="AJ124" s="827"/>
      <c r="AK124" s="827"/>
      <c r="AL124" s="827"/>
      <c r="AM124" s="827"/>
      <c r="AN124" s="827"/>
      <c r="AO124" s="827"/>
      <c r="AP124" s="827"/>
      <c r="AQ124" s="827"/>
      <c r="AR124" s="827"/>
      <c r="AS124" s="827"/>
      <c r="AT124" s="827"/>
      <c r="AU124" s="827"/>
      <c r="AV124" s="827"/>
      <c r="AW124" s="827"/>
      <c r="AX124" s="827"/>
      <c r="AY124" s="827"/>
      <c r="AZ124" s="827"/>
      <c r="BA124" s="827"/>
      <c r="BB124" s="827"/>
      <c r="BC124" s="827"/>
      <c r="BD124" s="827"/>
      <c r="BE124" s="827"/>
      <c r="BF124" s="827"/>
      <c r="BG124" s="827"/>
      <c r="BH124" s="827"/>
      <c r="BI124" s="827"/>
      <c r="BJ124" s="827"/>
      <c r="BK124" s="827"/>
      <c r="BL124" s="827"/>
      <c r="BM124" s="827"/>
      <c r="BN124" s="827"/>
      <c r="BO124" s="827"/>
      <c r="BP124" s="827"/>
      <c r="BQ124" s="827"/>
      <c r="BR124" s="827"/>
      <c r="BS124" s="827"/>
      <c r="BT124" s="827"/>
      <c r="BU124" s="827"/>
    </row>
    <row r="125" spans="1:73" x14ac:dyDescent="0.25">
      <c r="A125" s="827"/>
      <c r="B125" s="827"/>
      <c r="C125" s="850">
        <v>3</v>
      </c>
      <c r="D125" s="831" t="str">
        <f t="shared" ref="D125:G125" ca="1" si="56">OFFSET(D$76,MATCH($C125,$N$101:$N$107,0)*3-2,0)</f>
        <v>Plant Design Capacity (kg of H2/day) = 693,000</v>
      </c>
      <c r="E125" s="843">
        <f t="shared" ca="1" si="56"/>
        <v>1.7233721517105773</v>
      </c>
      <c r="F125" s="843">
        <f t="shared" ca="1" si="56"/>
        <v>0</v>
      </c>
      <c r="G125" s="843">
        <f t="shared" ca="1" si="56"/>
        <v>1.3553763424064599E-3</v>
      </c>
      <c r="H125" s="843"/>
      <c r="I125" s="843"/>
      <c r="J125" s="843"/>
      <c r="K125" s="843"/>
      <c r="L125" s="843"/>
      <c r="M125" s="843"/>
      <c r="N125" s="843"/>
      <c r="O125" s="843"/>
      <c r="P125" s="843"/>
      <c r="Q125" s="843"/>
      <c r="R125" s="843"/>
      <c r="S125" s="843"/>
      <c r="T125" s="827"/>
      <c r="U125" s="827"/>
      <c r="V125" s="827"/>
      <c r="W125" s="827"/>
      <c r="X125" s="827"/>
      <c r="Y125" s="827"/>
      <c r="Z125" s="827"/>
      <c r="AA125" s="827"/>
      <c r="AB125" s="827"/>
      <c r="AC125" s="827"/>
      <c r="AD125" s="827"/>
      <c r="AE125" s="827"/>
      <c r="AF125" s="827"/>
      <c r="AG125" s="827"/>
      <c r="AH125" s="827"/>
      <c r="AI125" s="827"/>
      <c r="AJ125" s="827"/>
      <c r="AK125" s="827"/>
      <c r="AL125" s="827"/>
      <c r="AM125" s="827"/>
      <c r="AN125" s="827"/>
      <c r="AO125" s="827"/>
      <c r="AP125" s="827"/>
      <c r="AQ125" s="827"/>
      <c r="AR125" s="827"/>
      <c r="AS125" s="827"/>
      <c r="AT125" s="827"/>
      <c r="AU125" s="827"/>
      <c r="AV125" s="827"/>
      <c r="AW125" s="827"/>
      <c r="AX125" s="827"/>
      <c r="AY125" s="827"/>
      <c r="AZ125" s="827"/>
      <c r="BA125" s="827"/>
      <c r="BB125" s="827"/>
      <c r="BC125" s="827"/>
      <c r="BD125" s="827"/>
      <c r="BE125" s="827"/>
      <c r="BF125" s="827"/>
      <c r="BG125" s="827"/>
      <c r="BH125" s="827"/>
      <c r="BI125" s="827"/>
      <c r="BJ125" s="827"/>
      <c r="BK125" s="827"/>
      <c r="BL125" s="827"/>
      <c r="BM125" s="827"/>
      <c r="BN125" s="827"/>
      <c r="BO125" s="827"/>
      <c r="BP125" s="827"/>
      <c r="BQ125" s="827"/>
      <c r="BR125" s="827"/>
      <c r="BS125" s="827"/>
      <c r="BT125" s="827"/>
      <c r="BU125" s="827"/>
    </row>
    <row r="126" spans="1:73" x14ac:dyDescent="0.25">
      <c r="A126" s="827"/>
      <c r="B126" s="827"/>
      <c r="C126" s="850"/>
      <c r="D126" s="831"/>
      <c r="E126" s="843"/>
      <c r="F126" s="843"/>
      <c r="G126" s="843"/>
      <c r="H126" s="843">
        <f t="shared" ref="H126:S126" ca="1" si="57">OFFSET(H$76,MATCH($C125,$N$101:$N$107,0)*3-2,0)</f>
        <v>0.13652879549663197</v>
      </c>
      <c r="I126" s="843">
        <f t="shared" ca="1" si="57"/>
        <v>1.7447414000551512E-2</v>
      </c>
      <c r="J126" s="843">
        <f t="shared" ca="1" si="57"/>
        <v>1.9722865178135662E-2</v>
      </c>
      <c r="K126" s="843">
        <f t="shared" ca="1" si="57"/>
        <v>2.1233538651908896E-3</v>
      </c>
      <c r="L126" s="843">
        <f t="shared" ca="1" si="57"/>
        <v>1.3469967161940522E-3</v>
      </c>
      <c r="M126" s="843">
        <f t="shared" ca="1" si="57"/>
        <v>0.14968292148673398</v>
      </c>
      <c r="N126" s="843">
        <f t="shared" ca="1" si="57"/>
        <v>1.0713620728484385</v>
      </c>
      <c r="O126" s="843">
        <f t="shared" ca="1" si="57"/>
        <v>2.3322527898303195E-2</v>
      </c>
      <c r="P126" s="843">
        <f t="shared" ca="1" si="57"/>
        <v>0.20179473857752089</v>
      </c>
      <c r="Q126" s="843">
        <f t="shared" ca="1" si="57"/>
        <v>8.1609412934883926E-2</v>
      </c>
      <c r="R126" s="843">
        <f t="shared" ca="1" si="57"/>
        <v>1.6120348026265593E-2</v>
      </c>
      <c r="S126" s="843">
        <f t="shared" ca="1" si="57"/>
        <v>3.6660810241320543E-3</v>
      </c>
      <c r="T126" s="827"/>
      <c r="U126" s="827"/>
      <c r="V126" s="827"/>
      <c r="W126" s="827"/>
      <c r="X126" s="827"/>
      <c r="Y126" s="827"/>
      <c r="Z126" s="827"/>
      <c r="AA126" s="827"/>
      <c r="AB126" s="827"/>
      <c r="AC126" s="827"/>
      <c r="AD126" s="827"/>
      <c r="AE126" s="827"/>
      <c r="AF126" s="827"/>
      <c r="AG126" s="827"/>
      <c r="AH126" s="827"/>
      <c r="AI126" s="827"/>
      <c r="AJ126" s="827"/>
      <c r="AK126" s="827"/>
      <c r="AL126" s="827"/>
      <c r="AM126" s="827"/>
      <c r="AN126" s="827"/>
      <c r="AO126" s="827"/>
      <c r="AP126" s="827"/>
      <c r="AQ126" s="827"/>
      <c r="AR126" s="827"/>
      <c r="AS126" s="827"/>
      <c r="AT126" s="827"/>
      <c r="AU126" s="827"/>
      <c r="AV126" s="827"/>
      <c r="AW126" s="827"/>
      <c r="AX126" s="827"/>
      <c r="AY126" s="827"/>
      <c r="AZ126" s="827"/>
      <c r="BA126" s="827"/>
      <c r="BB126" s="827"/>
      <c r="BC126" s="827"/>
      <c r="BD126" s="827"/>
      <c r="BE126" s="827"/>
      <c r="BF126" s="827"/>
      <c r="BG126" s="827"/>
      <c r="BH126" s="827"/>
      <c r="BI126" s="827"/>
      <c r="BJ126" s="827"/>
      <c r="BK126" s="827"/>
      <c r="BL126" s="827"/>
      <c r="BM126" s="827"/>
      <c r="BN126" s="827"/>
      <c r="BO126" s="827"/>
      <c r="BP126" s="827"/>
      <c r="BQ126" s="827"/>
      <c r="BR126" s="827"/>
      <c r="BS126" s="827"/>
      <c r="BT126" s="827"/>
      <c r="BU126" s="827"/>
    </row>
    <row r="127" spans="1:73" x14ac:dyDescent="0.25">
      <c r="A127" s="827"/>
      <c r="B127" s="827"/>
      <c r="C127" s="850">
        <v>3</v>
      </c>
      <c r="D127" s="831" t="str">
        <f t="shared" ref="D127:G127" ca="1" si="58">OFFSET(D$76,MATCH($C127,$N$101:$N$107,0)*3,0)</f>
        <v>Plant Design Capacity (kg of H2/day) = 627,000</v>
      </c>
      <c r="E127" s="843">
        <f t="shared" ca="1" si="58"/>
        <v>1.7508387717729852</v>
      </c>
      <c r="F127" s="843">
        <f t="shared" ca="1" si="58"/>
        <v>0</v>
      </c>
      <c r="G127" s="843">
        <f t="shared" ca="1" si="58"/>
        <v>1.4181744861070042E-3</v>
      </c>
      <c r="H127" s="843"/>
      <c r="I127" s="843"/>
      <c r="J127" s="843"/>
      <c r="K127" s="843"/>
      <c r="L127" s="843"/>
      <c r="M127" s="843"/>
      <c r="N127" s="843"/>
      <c r="O127" s="843"/>
      <c r="P127" s="843"/>
      <c r="Q127" s="843"/>
      <c r="R127" s="843"/>
      <c r="S127" s="843"/>
      <c r="T127" s="827"/>
      <c r="U127" s="827"/>
      <c r="V127" s="827"/>
      <c r="W127" s="827"/>
      <c r="X127" s="827"/>
      <c r="Y127" s="827"/>
      <c r="Z127" s="827"/>
      <c r="AA127" s="827"/>
      <c r="AB127" s="827"/>
      <c r="AC127" s="827"/>
      <c r="AD127" s="827"/>
      <c r="AE127" s="827"/>
      <c r="AF127" s="827"/>
      <c r="AG127" s="827"/>
      <c r="AH127" s="827"/>
      <c r="AI127" s="827"/>
      <c r="AJ127" s="827"/>
      <c r="AK127" s="827"/>
      <c r="AL127" s="827"/>
      <c r="AM127" s="827"/>
      <c r="AN127" s="827"/>
      <c r="AO127" s="827"/>
      <c r="AP127" s="827"/>
      <c r="AQ127" s="827"/>
      <c r="AR127" s="827"/>
      <c r="AS127" s="827"/>
      <c r="AT127" s="827"/>
      <c r="AU127" s="827"/>
      <c r="AV127" s="827"/>
      <c r="AW127" s="827"/>
      <c r="AX127" s="827"/>
      <c r="AY127" s="827"/>
      <c r="AZ127" s="827"/>
      <c r="BA127" s="827"/>
      <c r="BB127" s="827"/>
      <c r="BC127" s="827"/>
      <c r="BD127" s="827"/>
      <c r="BE127" s="827"/>
      <c r="BF127" s="827"/>
      <c r="BG127" s="827"/>
      <c r="BH127" s="827"/>
      <c r="BI127" s="827"/>
      <c r="BJ127" s="827"/>
      <c r="BK127" s="827"/>
      <c r="BL127" s="827"/>
      <c r="BM127" s="827"/>
      <c r="BN127" s="827"/>
      <c r="BO127" s="827"/>
      <c r="BP127" s="827"/>
      <c r="BQ127" s="827"/>
      <c r="BR127" s="827"/>
      <c r="BS127" s="827"/>
      <c r="BT127" s="827"/>
      <c r="BU127" s="827"/>
    </row>
    <row r="128" spans="1:73" x14ac:dyDescent="0.25">
      <c r="A128" s="827"/>
      <c r="B128" s="827"/>
      <c r="C128" s="850"/>
      <c r="D128" s="831"/>
      <c r="E128" s="843"/>
      <c r="F128" s="843"/>
      <c r="G128" s="843"/>
      <c r="H128" s="843">
        <f t="shared" ref="H128:S128" ca="1" si="59">OFFSET(H$76,MATCH($C127,$N$101:$N$107,0)*3,0)</f>
        <v>0.14286175498500772</v>
      </c>
      <c r="I128" s="843">
        <f t="shared" ca="1" si="59"/>
        <v>1.8256721411786511E-2</v>
      </c>
      <c r="J128" s="843">
        <f t="shared" ca="1" si="59"/>
        <v>1.9935474295222601E-2</v>
      </c>
      <c r="K128" s="843">
        <f t="shared" ca="1" si="59"/>
        <v>2.2036793843761625E-3</v>
      </c>
      <c r="L128" s="843">
        <f t="shared" ca="1" si="59"/>
        <v>1.4094778624138069E-3</v>
      </c>
      <c r="M128" s="843">
        <f t="shared" ca="1" si="59"/>
        <v>0.15603438067209219</v>
      </c>
      <c r="N128" s="843">
        <f t="shared" ca="1" si="59"/>
        <v>1.0713620728484379</v>
      </c>
      <c r="O128" s="843">
        <f t="shared" ca="1" si="59"/>
        <v>2.3322527898303181E-2</v>
      </c>
      <c r="P128" s="843">
        <f t="shared" ca="1" si="59"/>
        <v>0.21102142559220219</v>
      </c>
      <c r="Q128" s="843">
        <f t="shared" ca="1" si="59"/>
        <v>8.5394908178629034E-2</v>
      </c>
      <c r="R128" s="843">
        <f t="shared" ca="1" si="59"/>
        <v>1.6618389023381502E-2</v>
      </c>
      <c r="S128" s="843">
        <f t="shared" ca="1" si="59"/>
        <v>3.8361341072379119E-3</v>
      </c>
      <c r="T128" s="827"/>
      <c r="U128" s="827"/>
      <c r="V128" s="827"/>
      <c r="W128" s="827"/>
      <c r="X128" s="827"/>
      <c r="Y128" s="827"/>
      <c r="Z128" s="827"/>
      <c r="AA128" s="827"/>
      <c r="AB128" s="827"/>
      <c r="AC128" s="827"/>
      <c r="AD128" s="827"/>
      <c r="AE128" s="827"/>
      <c r="AF128" s="827"/>
      <c r="AG128" s="827"/>
      <c r="AH128" s="827"/>
      <c r="AI128" s="827"/>
      <c r="AJ128" s="827"/>
      <c r="AK128" s="827"/>
      <c r="AL128" s="827"/>
      <c r="AM128" s="827"/>
      <c r="AN128" s="827"/>
      <c r="AO128" s="827"/>
      <c r="AP128" s="827"/>
      <c r="AQ128" s="827"/>
      <c r="AR128" s="827"/>
      <c r="AS128" s="827"/>
      <c r="AT128" s="827"/>
      <c r="AU128" s="827"/>
      <c r="AV128" s="827"/>
      <c r="AW128" s="827"/>
      <c r="AX128" s="827"/>
      <c r="AY128" s="827"/>
      <c r="AZ128" s="827"/>
      <c r="BA128" s="827"/>
      <c r="BB128" s="827"/>
      <c r="BC128" s="827"/>
      <c r="BD128" s="827"/>
      <c r="BE128" s="827"/>
      <c r="BF128" s="827"/>
      <c r="BG128" s="827"/>
      <c r="BH128" s="827"/>
      <c r="BI128" s="827"/>
      <c r="BJ128" s="827"/>
      <c r="BK128" s="827"/>
      <c r="BL128" s="827"/>
      <c r="BM128" s="827"/>
      <c r="BN128" s="827"/>
      <c r="BO128" s="827"/>
      <c r="BP128" s="827"/>
      <c r="BQ128" s="827"/>
      <c r="BR128" s="827"/>
      <c r="BS128" s="827"/>
      <c r="BT128" s="827"/>
      <c r="BU128" s="827"/>
    </row>
    <row r="129" spans="1:73" x14ac:dyDescent="0.25">
      <c r="A129" s="827"/>
      <c r="B129" s="827"/>
      <c r="C129" s="850"/>
      <c r="D129" s="831"/>
      <c r="E129" s="843"/>
      <c r="F129" s="843"/>
      <c r="G129" s="843"/>
      <c r="H129" s="843"/>
      <c r="I129" s="843"/>
      <c r="J129" s="843"/>
      <c r="K129" s="843"/>
      <c r="L129" s="843"/>
      <c r="M129" s="843"/>
      <c r="N129" s="843"/>
      <c r="O129" s="843"/>
      <c r="P129" s="843"/>
      <c r="Q129" s="843"/>
      <c r="R129" s="843"/>
      <c r="S129" s="843"/>
      <c r="T129" s="827"/>
      <c r="U129" s="827"/>
      <c r="V129" s="827"/>
      <c r="W129" s="827"/>
      <c r="X129" s="827"/>
      <c r="Y129" s="827"/>
      <c r="Z129" s="827"/>
      <c r="AA129" s="827"/>
      <c r="AB129" s="827"/>
      <c r="AC129" s="827"/>
      <c r="AD129" s="827"/>
      <c r="AE129" s="827"/>
      <c r="AF129" s="827"/>
      <c r="AG129" s="827"/>
      <c r="AH129" s="827"/>
      <c r="AI129" s="827"/>
      <c r="AJ129" s="827"/>
      <c r="AK129" s="827"/>
      <c r="AL129" s="827"/>
      <c r="AM129" s="827"/>
      <c r="AN129" s="827"/>
      <c r="AO129" s="827"/>
      <c r="AP129" s="827"/>
      <c r="AQ129" s="827"/>
      <c r="AR129" s="827"/>
      <c r="AS129" s="827"/>
      <c r="AT129" s="827"/>
      <c r="AU129" s="827"/>
      <c r="AV129" s="827"/>
      <c r="AW129" s="827"/>
      <c r="AX129" s="827"/>
      <c r="AY129" s="827"/>
      <c r="AZ129" s="827"/>
      <c r="BA129" s="827"/>
      <c r="BB129" s="827"/>
      <c r="BC129" s="827"/>
      <c r="BD129" s="827"/>
      <c r="BE129" s="827"/>
      <c r="BF129" s="827"/>
      <c r="BG129" s="827"/>
      <c r="BH129" s="827"/>
      <c r="BI129" s="827"/>
      <c r="BJ129" s="827"/>
      <c r="BK129" s="827"/>
      <c r="BL129" s="827"/>
      <c r="BM129" s="827"/>
      <c r="BN129" s="827"/>
      <c r="BO129" s="827"/>
      <c r="BP129" s="827"/>
      <c r="BQ129" s="827"/>
      <c r="BR129" s="827"/>
      <c r="BS129" s="827"/>
      <c r="BT129" s="827"/>
      <c r="BU129" s="827"/>
    </row>
    <row r="130" spans="1:73" x14ac:dyDescent="0.25">
      <c r="A130" s="827"/>
      <c r="B130" s="827"/>
      <c r="C130" s="850">
        <v>4</v>
      </c>
      <c r="D130" s="831" t="str">
        <f t="shared" ref="D130:G130" ca="1" si="60">OFFSET(D$76,MATCH($C130,$N$101:$N$107,0)*3-2,0)</f>
        <v>Total Fixed Operating Cost = $31,459K</v>
      </c>
      <c r="E130" s="843">
        <f t="shared" ca="1" si="60"/>
        <v>1.7287439889613923</v>
      </c>
      <c r="F130" s="843">
        <f t="shared" ca="1" si="60"/>
        <v>0</v>
      </c>
      <c r="G130" s="843">
        <f t="shared" ca="1" si="60"/>
        <v>1.385542706505071E-3</v>
      </c>
      <c r="H130" s="843"/>
      <c r="I130" s="843"/>
      <c r="J130" s="843"/>
      <c r="K130" s="843"/>
      <c r="L130" s="843"/>
      <c r="M130" s="843"/>
      <c r="N130" s="843"/>
      <c r="O130" s="843"/>
      <c r="P130" s="843"/>
      <c r="Q130" s="843"/>
      <c r="R130" s="843"/>
      <c r="S130" s="843"/>
      <c r="T130" s="827"/>
      <c r="U130" s="827"/>
      <c r="V130" s="827"/>
      <c r="W130" s="827"/>
      <c r="X130" s="827"/>
      <c r="Y130" s="827"/>
      <c r="Z130" s="827"/>
      <c r="AA130" s="827"/>
      <c r="AB130" s="827"/>
      <c r="AC130" s="827"/>
      <c r="AD130" s="827"/>
      <c r="AE130" s="827"/>
      <c r="AF130" s="827"/>
      <c r="AG130" s="827"/>
      <c r="AH130" s="827"/>
      <c r="AI130" s="827"/>
      <c r="AJ130" s="827"/>
      <c r="AK130" s="827"/>
      <c r="AL130" s="827"/>
      <c r="AM130" s="827"/>
      <c r="AN130" s="827"/>
      <c r="AO130" s="827"/>
      <c r="AP130" s="827"/>
      <c r="AQ130" s="827"/>
      <c r="AR130" s="827"/>
      <c r="AS130" s="827"/>
      <c r="AT130" s="827"/>
      <c r="AU130" s="827"/>
      <c r="AV130" s="827"/>
      <c r="AW130" s="827"/>
      <c r="AX130" s="827"/>
      <c r="AY130" s="827"/>
      <c r="AZ130" s="827"/>
      <c r="BA130" s="827"/>
      <c r="BB130" s="827"/>
      <c r="BC130" s="827"/>
      <c r="BD130" s="827"/>
      <c r="BE130" s="827"/>
      <c r="BF130" s="827"/>
      <c r="BG130" s="827"/>
      <c r="BH130" s="827"/>
      <c r="BI130" s="827"/>
      <c r="BJ130" s="827"/>
      <c r="BK130" s="827"/>
      <c r="BL130" s="827"/>
      <c r="BM130" s="827"/>
      <c r="BN130" s="827"/>
      <c r="BO130" s="827"/>
      <c r="BP130" s="827"/>
      <c r="BQ130" s="827"/>
      <c r="BR130" s="827"/>
      <c r="BS130" s="827"/>
      <c r="BT130" s="827"/>
      <c r="BU130" s="827"/>
    </row>
    <row r="131" spans="1:73" x14ac:dyDescent="0.25">
      <c r="A131" s="827"/>
      <c r="B131" s="827"/>
      <c r="C131" s="850"/>
      <c r="D131" s="831"/>
      <c r="E131" s="843"/>
      <c r="F131" s="843"/>
      <c r="G131" s="843"/>
      <c r="H131" s="843">
        <f t="shared" ref="H131:S131" ca="1" si="61">OFFSET(H$76,MATCH($C130,$N$101:$N$107,0)*3-2,0)</f>
        <v>0.13957089196592026</v>
      </c>
      <c r="I131" s="843">
        <f t="shared" ca="1" si="61"/>
        <v>1.783617240376029E-2</v>
      </c>
      <c r="J131" s="843">
        <f t="shared" ca="1" si="61"/>
        <v>1.9720163311026013E-2</v>
      </c>
      <c r="K131" s="843">
        <f t="shared" ca="1" si="61"/>
        <v>2.1621130547425983E-3</v>
      </c>
      <c r="L131" s="843">
        <f t="shared" ca="1" si="61"/>
        <v>1.3770101206159633E-3</v>
      </c>
      <c r="M131" s="843">
        <f t="shared" ca="1" si="61"/>
        <v>0.14510006813554233</v>
      </c>
      <c r="N131" s="843">
        <f t="shared" ca="1" si="61"/>
        <v>1.0713620728484385</v>
      </c>
      <c r="O131" s="843">
        <f t="shared" ca="1" si="61"/>
        <v>2.3322527898303188E-2</v>
      </c>
      <c r="P131" s="843">
        <f t="shared" ca="1" si="61"/>
        <v>0.20617962261571299</v>
      </c>
      <c r="Q131" s="843">
        <f t="shared" ca="1" si="61"/>
        <v>8.3427811068748803E-2</v>
      </c>
      <c r="R131" s="843">
        <f t="shared" ca="1" si="61"/>
        <v>1.6323310628033022E-2</v>
      </c>
      <c r="S131" s="843">
        <f t="shared" ca="1" si="61"/>
        <v>3.7477676170523879E-3</v>
      </c>
      <c r="T131" s="827"/>
      <c r="U131" s="827"/>
      <c r="V131" s="827"/>
      <c r="W131" s="827"/>
      <c r="X131" s="827"/>
      <c r="Y131" s="827"/>
      <c r="Z131" s="827"/>
      <c r="AA131" s="827"/>
      <c r="AB131" s="827"/>
      <c r="AC131" s="827"/>
      <c r="AD131" s="827"/>
      <c r="AE131" s="827"/>
      <c r="AF131" s="827"/>
      <c r="AG131" s="827"/>
      <c r="AH131" s="827"/>
      <c r="AI131" s="827"/>
      <c r="AJ131" s="827"/>
      <c r="AK131" s="827"/>
      <c r="AL131" s="827"/>
      <c r="AM131" s="827"/>
      <c r="AN131" s="827"/>
      <c r="AO131" s="827"/>
      <c r="AP131" s="827"/>
      <c r="AQ131" s="827"/>
      <c r="AR131" s="827"/>
      <c r="AS131" s="827"/>
      <c r="AT131" s="827"/>
      <c r="AU131" s="827"/>
      <c r="AV131" s="827"/>
      <c r="AW131" s="827"/>
      <c r="AX131" s="827"/>
      <c r="AY131" s="827"/>
      <c r="AZ131" s="827"/>
      <c r="BA131" s="827"/>
      <c r="BB131" s="827"/>
      <c r="BC131" s="827"/>
      <c r="BD131" s="827"/>
      <c r="BE131" s="827"/>
      <c r="BF131" s="827"/>
      <c r="BG131" s="827"/>
      <c r="BH131" s="827"/>
      <c r="BI131" s="827"/>
      <c r="BJ131" s="827"/>
      <c r="BK131" s="827"/>
      <c r="BL131" s="827"/>
      <c r="BM131" s="827"/>
      <c r="BN131" s="827"/>
      <c r="BO131" s="827"/>
      <c r="BP131" s="827"/>
      <c r="BQ131" s="827"/>
      <c r="BR131" s="827"/>
      <c r="BS131" s="827"/>
      <c r="BT131" s="827"/>
      <c r="BU131" s="827"/>
    </row>
    <row r="132" spans="1:73" x14ac:dyDescent="0.25">
      <c r="A132" s="827"/>
      <c r="B132" s="827"/>
      <c r="C132" s="850">
        <v>4</v>
      </c>
      <c r="D132" s="831" t="str">
        <f t="shared" ref="D132:G132" ca="1" si="62">OFFSET(D$76,MATCH($C132,$N$101:$N$107,0)*3,0)</f>
        <v>Total Fixed Operating Cost = $34,771K</v>
      </c>
      <c r="E132" s="843">
        <f t="shared" ca="1" si="62"/>
        <v>1.74429838859285</v>
      </c>
      <c r="F132" s="843">
        <f t="shared" ca="1" si="62"/>
        <v>0</v>
      </c>
      <c r="G132" s="843">
        <f t="shared" ca="1" si="62"/>
        <v>1.385542706505071E-3</v>
      </c>
      <c r="H132" s="843"/>
      <c r="I132" s="843"/>
      <c r="J132" s="843"/>
      <c r="K132" s="843"/>
      <c r="L132" s="843"/>
      <c r="M132" s="843"/>
      <c r="N132" s="843"/>
      <c r="O132" s="843"/>
      <c r="P132" s="843"/>
      <c r="Q132" s="843"/>
      <c r="R132" s="843"/>
      <c r="S132" s="843"/>
      <c r="T132" s="827"/>
      <c r="U132" s="827"/>
      <c r="V132" s="827"/>
      <c r="W132" s="827"/>
      <c r="X132" s="827"/>
      <c r="Y132" s="827"/>
      <c r="Z132" s="827"/>
      <c r="AA132" s="827"/>
      <c r="AB132" s="827"/>
      <c r="AC132" s="827"/>
      <c r="AD132" s="827"/>
      <c r="AE132" s="827"/>
      <c r="AF132" s="827"/>
      <c r="AG132" s="827"/>
      <c r="AH132" s="827"/>
      <c r="AI132" s="827"/>
      <c r="AJ132" s="827"/>
      <c r="AK132" s="827"/>
      <c r="AL132" s="827"/>
      <c r="AM132" s="827"/>
      <c r="AN132" s="827"/>
      <c r="AO132" s="827"/>
      <c r="AP132" s="827"/>
      <c r="AQ132" s="827"/>
      <c r="AR132" s="827"/>
      <c r="AS132" s="827"/>
      <c r="AT132" s="827"/>
      <c r="AU132" s="827"/>
      <c r="AV132" s="827"/>
      <c r="AW132" s="827"/>
      <c r="AX132" s="827"/>
      <c r="AY132" s="827"/>
      <c r="AZ132" s="827"/>
      <c r="BA132" s="827"/>
      <c r="BB132" s="827"/>
      <c r="BC132" s="827"/>
      <c r="BD132" s="827"/>
      <c r="BE132" s="827"/>
      <c r="BF132" s="827"/>
      <c r="BG132" s="827"/>
      <c r="BH132" s="827"/>
      <c r="BI132" s="827"/>
      <c r="BJ132" s="827"/>
      <c r="BK132" s="827"/>
      <c r="BL132" s="827"/>
      <c r="BM132" s="827"/>
      <c r="BN132" s="827"/>
      <c r="BO132" s="827"/>
      <c r="BP132" s="827"/>
      <c r="BQ132" s="827"/>
      <c r="BR132" s="827"/>
      <c r="BS132" s="827"/>
      <c r="BT132" s="827"/>
      <c r="BU132" s="827"/>
    </row>
    <row r="133" spans="1:73" x14ac:dyDescent="0.25">
      <c r="A133" s="827"/>
      <c r="B133" s="827"/>
      <c r="C133" s="850"/>
      <c r="D133" s="831"/>
      <c r="E133" s="843"/>
      <c r="F133" s="843"/>
      <c r="G133" s="843"/>
      <c r="H133" s="843">
        <f t="shared" ref="H133:S133" ca="1" si="63">OFFSET(H$76,MATCH($C132,$N$101:$N$107,0)*3,0)</f>
        <v>0.13957089196592026</v>
      </c>
      <c r="I133" s="843">
        <f t="shared" ca="1" si="63"/>
        <v>1.783617240376029E-2</v>
      </c>
      <c r="J133" s="843">
        <f t="shared" ca="1" si="63"/>
        <v>1.9928617256561823E-2</v>
      </c>
      <c r="K133" s="843">
        <f t="shared" ca="1" si="63"/>
        <v>2.1621130547425983E-3</v>
      </c>
      <c r="L133" s="843">
        <f t="shared" ca="1" si="63"/>
        <v>1.3770101206159633E-3</v>
      </c>
      <c r="M133" s="843">
        <f t="shared" ca="1" si="63"/>
        <v>0.16037375951823099</v>
      </c>
      <c r="N133" s="843">
        <f t="shared" ca="1" si="63"/>
        <v>1.0713620728484385</v>
      </c>
      <c r="O133" s="843">
        <f t="shared" ca="1" si="63"/>
        <v>2.3322527898303188E-2</v>
      </c>
      <c r="P133" s="843">
        <f t="shared" ca="1" si="63"/>
        <v>0.20617962261571299</v>
      </c>
      <c r="Q133" s="843">
        <f t="shared" ca="1" si="63"/>
        <v>8.3427811068748803E-2</v>
      </c>
      <c r="R133" s="843">
        <f t="shared" ca="1" si="63"/>
        <v>1.6395564931266104E-2</v>
      </c>
      <c r="S133" s="843">
        <f t="shared" ca="1" si="63"/>
        <v>3.7477676170523879E-3</v>
      </c>
      <c r="T133" s="827"/>
      <c r="U133" s="827"/>
      <c r="V133" s="827"/>
      <c r="W133" s="827"/>
      <c r="X133" s="827"/>
      <c r="Y133" s="827"/>
      <c r="Z133" s="827"/>
      <c r="AA133" s="827"/>
      <c r="AB133" s="827"/>
      <c r="AC133" s="827"/>
      <c r="AD133" s="827"/>
      <c r="AE133" s="827"/>
      <c r="AF133" s="827"/>
      <c r="AG133" s="827"/>
      <c r="AH133" s="827"/>
      <c r="AI133" s="827"/>
      <c r="AJ133" s="827"/>
      <c r="AK133" s="827"/>
      <c r="AL133" s="827"/>
      <c r="AM133" s="827"/>
      <c r="AN133" s="827"/>
      <c r="AO133" s="827"/>
      <c r="AP133" s="827"/>
      <c r="AQ133" s="827"/>
      <c r="AR133" s="827"/>
      <c r="AS133" s="827"/>
      <c r="AT133" s="827"/>
      <c r="AU133" s="827"/>
      <c r="AV133" s="827"/>
      <c r="AW133" s="827"/>
      <c r="AX133" s="827"/>
      <c r="AY133" s="827"/>
      <c r="AZ133" s="827"/>
      <c r="BA133" s="827"/>
      <c r="BB133" s="827"/>
      <c r="BC133" s="827"/>
      <c r="BD133" s="827"/>
      <c r="BE133" s="827"/>
      <c r="BF133" s="827"/>
      <c r="BG133" s="827"/>
      <c r="BH133" s="827"/>
      <c r="BI133" s="827"/>
      <c r="BJ133" s="827"/>
      <c r="BK133" s="827"/>
      <c r="BL133" s="827"/>
      <c r="BM133" s="827"/>
      <c r="BN133" s="827"/>
      <c r="BO133" s="827"/>
      <c r="BP133" s="827"/>
      <c r="BQ133" s="827"/>
      <c r="BR133" s="827"/>
      <c r="BS133" s="827"/>
      <c r="BT133" s="827"/>
      <c r="BU133" s="827"/>
    </row>
    <row r="134" spans="1:73" x14ac:dyDescent="0.25">
      <c r="A134" s="827"/>
      <c r="B134" s="827"/>
      <c r="C134" s="850"/>
      <c r="D134" s="831"/>
      <c r="E134" s="843"/>
      <c r="F134" s="843"/>
      <c r="G134" s="843"/>
      <c r="H134" s="843"/>
      <c r="I134" s="843"/>
      <c r="J134" s="843"/>
      <c r="K134" s="843"/>
      <c r="L134" s="843"/>
      <c r="M134" s="843"/>
      <c r="N134" s="843"/>
      <c r="O134" s="843"/>
      <c r="P134" s="843"/>
      <c r="Q134" s="843"/>
      <c r="R134" s="843"/>
      <c r="S134" s="843"/>
      <c r="T134" s="827"/>
      <c r="U134" s="827"/>
      <c r="V134" s="827"/>
      <c r="W134" s="827"/>
      <c r="X134" s="827"/>
      <c r="Y134" s="827"/>
      <c r="Z134" s="827"/>
      <c r="AA134" s="827"/>
      <c r="AB134" s="827"/>
      <c r="AC134" s="827"/>
      <c r="AD134" s="827"/>
      <c r="AE134" s="827"/>
      <c r="AF134" s="827"/>
      <c r="AG134" s="827"/>
      <c r="AH134" s="827"/>
      <c r="AI134" s="827"/>
      <c r="AJ134" s="827"/>
      <c r="AK134" s="827"/>
      <c r="AL134" s="827"/>
      <c r="AM134" s="827"/>
      <c r="AN134" s="827"/>
      <c r="AO134" s="827"/>
      <c r="AP134" s="827"/>
      <c r="AQ134" s="827"/>
      <c r="AR134" s="827"/>
      <c r="AS134" s="827"/>
      <c r="AT134" s="827"/>
      <c r="AU134" s="827"/>
      <c r="AV134" s="827"/>
      <c r="AW134" s="827"/>
      <c r="AX134" s="827"/>
      <c r="AY134" s="827"/>
      <c r="AZ134" s="827"/>
      <c r="BA134" s="827"/>
      <c r="BB134" s="827"/>
      <c r="BC134" s="827"/>
      <c r="BD134" s="827"/>
      <c r="BE134" s="827"/>
      <c r="BF134" s="827"/>
      <c r="BG134" s="827"/>
      <c r="BH134" s="827"/>
      <c r="BI134" s="827"/>
      <c r="BJ134" s="827"/>
      <c r="BK134" s="827"/>
      <c r="BL134" s="827"/>
      <c r="BM134" s="827"/>
      <c r="BN134" s="827"/>
      <c r="BO134" s="827"/>
      <c r="BP134" s="827"/>
      <c r="BQ134" s="827"/>
      <c r="BR134" s="827"/>
      <c r="BS134" s="827"/>
      <c r="BT134" s="827"/>
      <c r="BU134" s="827"/>
    </row>
    <row r="135" spans="1:73" x14ac:dyDescent="0.25">
      <c r="A135" s="827"/>
      <c r="B135" s="827"/>
      <c r="C135" s="850">
        <v>5</v>
      </c>
      <c r="D135" s="831" t="str">
        <f t="shared" ref="D135:G135" ca="1" si="64">OFFSET(D$76,MATCH($C135,$N$101:$N$107,0)*3-2,0)</f>
        <v>After-tax Real IRR = 8%</v>
      </c>
      <c r="E135" s="843">
        <f t="shared" ca="1" si="64"/>
        <v>1.7304926513326406</v>
      </c>
      <c r="F135" s="843">
        <f t="shared" ca="1" si="64"/>
        <v>0</v>
      </c>
      <c r="G135" s="843">
        <f t="shared" ca="1" si="64"/>
        <v>1.5387528459614394E-3</v>
      </c>
      <c r="H135" s="843"/>
      <c r="I135" s="843"/>
      <c r="J135" s="843"/>
      <c r="K135" s="843"/>
      <c r="L135" s="843"/>
      <c r="M135" s="843"/>
      <c r="N135" s="843"/>
      <c r="O135" s="843"/>
      <c r="P135" s="843"/>
      <c r="Q135" s="843"/>
      <c r="R135" s="843"/>
      <c r="S135" s="843"/>
      <c r="T135" s="827"/>
      <c r="U135" s="827"/>
      <c r="V135" s="827"/>
      <c r="W135" s="827"/>
      <c r="X135" s="827"/>
      <c r="Y135" s="827"/>
      <c r="Z135" s="827"/>
      <c r="AA135" s="827"/>
      <c r="AB135" s="827"/>
      <c r="AC135" s="827"/>
      <c r="AD135" s="827"/>
      <c r="AE135" s="827"/>
      <c r="AF135" s="827"/>
      <c r="AG135" s="827"/>
      <c r="AH135" s="827"/>
      <c r="AI135" s="827"/>
      <c r="AJ135" s="827"/>
      <c r="AK135" s="827"/>
      <c r="AL135" s="827"/>
      <c r="AM135" s="827"/>
      <c r="AN135" s="827"/>
      <c r="AO135" s="827"/>
      <c r="AP135" s="827"/>
      <c r="AQ135" s="827"/>
      <c r="AR135" s="827"/>
      <c r="AS135" s="827"/>
      <c r="AT135" s="827"/>
      <c r="AU135" s="827"/>
      <c r="AV135" s="827"/>
      <c r="AW135" s="827"/>
      <c r="AX135" s="827"/>
      <c r="AY135" s="827"/>
      <c r="AZ135" s="827"/>
      <c r="BA135" s="827"/>
      <c r="BB135" s="827"/>
      <c r="BC135" s="827"/>
      <c r="BD135" s="827"/>
      <c r="BE135" s="827"/>
      <c r="BF135" s="827"/>
      <c r="BG135" s="827"/>
      <c r="BH135" s="827"/>
      <c r="BI135" s="827"/>
      <c r="BJ135" s="827"/>
      <c r="BK135" s="827"/>
      <c r="BL135" s="827"/>
      <c r="BM135" s="827"/>
      <c r="BN135" s="827"/>
      <c r="BO135" s="827"/>
      <c r="BP135" s="827"/>
      <c r="BQ135" s="827"/>
      <c r="BR135" s="827"/>
      <c r="BS135" s="827"/>
      <c r="BT135" s="827"/>
      <c r="BU135" s="827"/>
    </row>
    <row r="136" spans="1:73" x14ac:dyDescent="0.25">
      <c r="A136" s="827"/>
      <c r="B136" s="827"/>
      <c r="C136" s="850"/>
      <c r="D136" s="831"/>
      <c r="E136" s="843"/>
      <c r="F136" s="843"/>
      <c r="G136" s="843"/>
      <c r="H136" s="843">
        <f t="shared" ref="H136:S136" ca="1" si="65">OFFSET(H$76,MATCH($C135,$N$101:$N$107,0)*3-2,0)</f>
        <v>0.13263601708962636</v>
      </c>
      <c r="I136" s="843">
        <f t="shared" ca="1" si="65"/>
        <v>1.7836172403760283E-2</v>
      </c>
      <c r="J136" s="843">
        <f t="shared" ca="1" si="65"/>
        <v>1.9140696371379034E-2</v>
      </c>
      <c r="K136" s="843">
        <f t="shared" ca="1" si="65"/>
        <v>2.0546838960416374E-3</v>
      </c>
      <c r="L136" s="843">
        <f t="shared" ca="1" si="65"/>
        <v>1.5292767462651744E-3</v>
      </c>
      <c r="M136" s="843">
        <f t="shared" ca="1" si="65"/>
        <v>0.15273691382688656</v>
      </c>
      <c r="N136" s="843">
        <f t="shared" ca="1" si="65"/>
        <v>1.0758459836647856</v>
      </c>
      <c r="O136" s="843">
        <f t="shared" ca="1" si="65"/>
        <v>2.3322527898303181E-2</v>
      </c>
      <c r="P136" s="843">
        <f t="shared" ca="1" si="65"/>
        <v>0.20617962261571277</v>
      </c>
      <c r="Q136" s="843">
        <f t="shared" ca="1" si="65"/>
        <v>8.2091691952817042E-2</v>
      </c>
      <c r="R136" s="843">
        <f t="shared" ca="1" si="65"/>
        <v>1.4495630535635181E-2</v>
      </c>
      <c r="S136" s="843">
        <f t="shared" ca="1" si="65"/>
        <v>4.162187177389887E-3</v>
      </c>
      <c r="T136" s="827"/>
      <c r="U136" s="827"/>
      <c r="V136" s="827"/>
      <c r="W136" s="827"/>
      <c r="X136" s="827"/>
      <c r="Y136" s="827"/>
      <c r="Z136" s="827"/>
      <c r="AA136" s="827"/>
      <c r="AB136" s="827"/>
      <c r="AC136" s="827"/>
      <c r="AD136" s="827"/>
      <c r="AE136" s="827"/>
      <c r="AF136" s="827"/>
      <c r="AG136" s="827"/>
      <c r="AH136" s="827"/>
      <c r="AI136" s="827"/>
      <c r="AJ136" s="827"/>
      <c r="AK136" s="827"/>
      <c r="AL136" s="827"/>
      <c r="AM136" s="827"/>
      <c r="AN136" s="827"/>
      <c r="AO136" s="827"/>
      <c r="AP136" s="827"/>
      <c r="AQ136" s="827"/>
      <c r="AR136" s="827"/>
      <c r="AS136" s="827"/>
      <c r="AT136" s="827"/>
      <c r="AU136" s="827"/>
      <c r="AV136" s="827"/>
      <c r="AW136" s="827"/>
      <c r="AX136" s="827"/>
      <c r="AY136" s="827"/>
      <c r="AZ136" s="827"/>
      <c r="BA136" s="827"/>
      <c r="BB136" s="827"/>
      <c r="BC136" s="827"/>
      <c r="BD136" s="827"/>
      <c r="BE136" s="827"/>
      <c r="BF136" s="827"/>
      <c r="BG136" s="827"/>
      <c r="BH136" s="827"/>
      <c r="BI136" s="827"/>
      <c r="BJ136" s="827"/>
      <c r="BK136" s="827"/>
      <c r="BL136" s="827"/>
      <c r="BM136" s="827"/>
      <c r="BN136" s="827"/>
      <c r="BO136" s="827"/>
      <c r="BP136" s="827"/>
      <c r="BQ136" s="827"/>
      <c r="BR136" s="827"/>
      <c r="BS136" s="827"/>
      <c r="BT136" s="827"/>
      <c r="BU136" s="827"/>
    </row>
    <row r="137" spans="1:73" x14ac:dyDescent="0.25">
      <c r="A137" s="827"/>
      <c r="B137" s="827"/>
      <c r="C137" s="850">
        <v>5</v>
      </c>
      <c r="D137" s="831" t="str">
        <f t="shared" ref="D137:G137" ca="1" si="66">OFFSET(D$76,MATCH($C137,$N$101:$N$107,0)*3,0)</f>
        <v>After-tax Real IRR = 8%</v>
      </c>
      <c r="E137" s="843">
        <f t="shared" ca="1" si="66"/>
        <v>1.7429295623650518</v>
      </c>
      <c r="F137" s="843">
        <f t="shared" ca="1" si="66"/>
        <v>0</v>
      </c>
      <c r="G137" s="843">
        <f t="shared" ca="1" si="66"/>
        <v>1.2465712034733431E-3</v>
      </c>
      <c r="H137" s="843"/>
      <c r="I137" s="843"/>
      <c r="J137" s="843"/>
      <c r="K137" s="843"/>
      <c r="L137" s="843"/>
      <c r="M137" s="843"/>
      <c r="N137" s="843"/>
      <c r="O137" s="843"/>
      <c r="P137" s="843"/>
      <c r="Q137" s="843"/>
      <c r="R137" s="843"/>
      <c r="S137" s="843"/>
      <c r="T137" s="827"/>
      <c r="U137" s="827"/>
      <c r="V137" s="827"/>
      <c r="W137" s="827"/>
      <c r="X137" s="827"/>
      <c r="Y137" s="827"/>
      <c r="Z137" s="827"/>
      <c r="AA137" s="827"/>
      <c r="AB137" s="827"/>
      <c r="AC137" s="827"/>
      <c r="AD137" s="827"/>
      <c r="AE137" s="827"/>
      <c r="AF137" s="827"/>
      <c r="AG137" s="827"/>
      <c r="AH137" s="827"/>
      <c r="AI137" s="827"/>
      <c r="AJ137" s="827"/>
      <c r="AK137" s="827"/>
      <c r="AL137" s="827"/>
      <c r="AM137" s="827"/>
      <c r="AN137" s="827"/>
      <c r="AO137" s="827"/>
      <c r="AP137" s="827"/>
      <c r="AQ137" s="827"/>
      <c r="AR137" s="827"/>
      <c r="AS137" s="827"/>
      <c r="AT137" s="827"/>
      <c r="AU137" s="827"/>
      <c r="AV137" s="827"/>
      <c r="AW137" s="827"/>
      <c r="AX137" s="827"/>
      <c r="AY137" s="827"/>
      <c r="AZ137" s="827"/>
      <c r="BA137" s="827"/>
      <c r="BB137" s="827"/>
      <c r="BC137" s="827"/>
      <c r="BD137" s="827"/>
      <c r="BE137" s="827"/>
      <c r="BF137" s="827"/>
      <c r="BG137" s="827"/>
      <c r="BH137" s="827"/>
      <c r="BI137" s="827"/>
      <c r="BJ137" s="827"/>
      <c r="BK137" s="827"/>
      <c r="BL137" s="827"/>
      <c r="BM137" s="827"/>
      <c r="BN137" s="827"/>
      <c r="BO137" s="827"/>
      <c r="BP137" s="827"/>
      <c r="BQ137" s="827"/>
      <c r="BR137" s="827"/>
      <c r="BS137" s="827"/>
      <c r="BT137" s="827"/>
      <c r="BU137" s="827"/>
    </row>
    <row r="138" spans="1:73" x14ac:dyDescent="0.25">
      <c r="A138" s="827"/>
      <c r="B138" s="827"/>
      <c r="C138" s="850"/>
      <c r="D138" s="831"/>
      <c r="E138" s="843"/>
      <c r="F138" s="843"/>
      <c r="G138" s="843"/>
      <c r="H138" s="843">
        <f t="shared" ref="H138:S138" ca="1" si="67">OFFSET(H$76,MATCH($C137,$N$101:$N$107,0)*3,0)</f>
        <v>0.14666421081523556</v>
      </c>
      <c r="I138" s="843">
        <f t="shared" ca="1" si="67"/>
        <v>1.7836172403760304E-2</v>
      </c>
      <c r="J138" s="843">
        <f t="shared" ca="1" si="67"/>
        <v>2.0499257789603469E-2</v>
      </c>
      <c r="K138" s="843">
        <f t="shared" ca="1" si="67"/>
        <v>2.2719966921510427E-3</v>
      </c>
      <c r="L138" s="843">
        <f t="shared" ca="1" si="67"/>
        <v>1.2388944456147898E-3</v>
      </c>
      <c r="M138" s="843">
        <f t="shared" ca="1" si="67"/>
        <v>0.15273691382688681</v>
      </c>
      <c r="N138" s="843">
        <f t="shared" ca="1" si="67"/>
        <v>1.066972480241192</v>
      </c>
      <c r="O138" s="843">
        <f t="shared" ca="1" si="67"/>
        <v>2.3322527898303216E-2</v>
      </c>
      <c r="P138" s="843">
        <f t="shared" ca="1" si="67"/>
        <v>0.20617962261571321</v>
      </c>
      <c r="Q138" s="843">
        <f t="shared" ca="1" si="67"/>
        <v>8.4769034948700278E-2</v>
      </c>
      <c r="R138" s="843">
        <f t="shared" ca="1" si="67"/>
        <v>1.8313159611842766E-2</v>
      </c>
      <c r="S138" s="843">
        <f t="shared" ca="1" si="67"/>
        <v>3.3718622795192213E-3</v>
      </c>
      <c r="T138" s="827"/>
      <c r="U138" s="827"/>
      <c r="V138" s="827"/>
      <c r="W138" s="827"/>
      <c r="X138" s="827"/>
      <c r="Y138" s="827"/>
      <c r="Z138" s="827"/>
      <c r="AA138" s="827"/>
      <c r="AB138" s="827"/>
      <c r="AC138" s="827"/>
      <c r="AD138" s="827"/>
      <c r="AE138" s="827"/>
      <c r="AF138" s="827"/>
      <c r="AG138" s="827"/>
      <c r="AH138" s="827"/>
      <c r="AI138" s="827"/>
      <c r="AJ138" s="827"/>
      <c r="AK138" s="827"/>
      <c r="AL138" s="827"/>
      <c r="AM138" s="827"/>
      <c r="AN138" s="827"/>
      <c r="AO138" s="827"/>
      <c r="AP138" s="827"/>
      <c r="AQ138" s="827"/>
      <c r="AR138" s="827"/>
      <c r="AS138" s="827"/>
      <c r="AT138" s="827"/>
      <c r="AU138" s="827"/>
      <c r="AV138" s="827"/>
      <c r="AW138" s="827"/>
      <c r="AX138" s="827"/>
      <c r="AY138" s="827"/>
      <c r="AZ138" s="827"/>
      <c r="BA138" s="827"/>
      <c r="BB138" s="827"/>
      <c r="BC138" s="827"/>
      <c r="BD138" s="827"/>
      <c r="BE138" s="827"/>
      <c r="BF138" s="827"/>
      <c r="BG138" s="827"/>
      <c r="BH138" s="827"/>
      <c r="BI138" s="827"/>
      <c r="BJ138" s="827"/>
      <c r="BK138" s="827"/>
      <c r="BL138" s="827"/>
      <c r="BM138" s="827"/>
      <c r="BN138" s="827"/>
      <c r="BO138" s="827"/>
      <c r="BP138" s="827"/>
      <c r="BQ138" s="827"/>
      <c r="BR138" s="827"/>
      <c r="BS138" s="827"/>
      <c r="BT138" s="827"/>
      <c r="BU138" s="827"/>
    </row>
    <row r="139" spans="1:73" x14ac:dyDescent="0.25">
      <c r="A139" s="827"/>
      <c r="B139" s="827"/>
      <c r="C139" s="850"/>
      <c r="D139" s="831"/>
      <c r="E139" s="843"/>
      <c r="F139" s="843"/>
      <c r="G139" s="843"/>
      <c r="H139" s="843"/>
      <c r="I139" s="843"/>
      <c r="J139" s="843"/>
      <c r="K139" s="843"/>
      <c r="L139" s="843"/>
      <c r="M139" s="843"/>
      <c r="N139" s="843"/>
      <c r="O139" s="843"/>
      <c r="P139" s="843"/>
      <c r="Q139" s="843"/>
      <c r="R139" s="843"/>
      <c r="S139" s="843"/>
      <c r="T139" s="827"/>
      <c r="U139" s="827"/>
      <c r="V139" s="827"/>
      <c r="W139" s="827"/>
      <c r="X139" s="827"/>
      <c r="Y139" s="827"/>
      <c r="Z139" s="827"/>
      <c r="AA139" s="827"/>
      <c r="AB139" s="827"/>
      <c r="AC139" s="827"/>
      <c r="AD139" s="827"/>
      <c r="AE139" s="827"/>
      <c r="AF139" s="827"/>
      <c r="AG139" s="827"/>
      <c r="AH139" s="827"/>
      <c r="AI139" s="827"/>
      <c r="AJ139" s="827"/>
      <c r="AK139" s="827"/>
      <c r="AL139" s="827"/>
      <c r="AM139" s="827"/>
      <c r="AN139" s="827"/>
      <c r="AO139" s="827"/>
      <c r="AP139" s="827"/>
      <c r="AQ139" s="827"/>
      <c r="AR139" s="827"/>
      <c r="AS139" s="827"/>
      <c r="AT139" s="827"/>
      <c r="AU139" s="827"/>
      <c r="AV139" s="827"/>
      <c r="AW139" s="827"/>
      <c r="AX139" s="827"/>
      <c r="AY139" s="827"/>
      <c r="AZ139" s="827"/>
      <c r="BA139" s="827"/>
      <c r="BB139" s="827"/>
      <c r="BC139" s="827"/>
      <c r="BD139" s="827"/>
      <c r="BE139" s="827"/>
      <c r="BF139" s="827"/>
      <c r="BG139" s="827"/>
      <c r="BH139" s="827"/>
      <c r="BI139" s="827"/>
      <c r="BJ139" s="827"/>
      <c r="BK139" s="827"/>
      <c r="BL139" s="827"/>
      <c r="BM139" s="827"/>
      <c r="BN139" s="827"/>
      <c r="BO139" s="827"/>
      <c r="BP139" s="827"/>
      <c r="BQ139" s="827"/>
      <c r="BR139" s="827"/>
      <c r="BS139" s="827"/>
      <c r="BT139" s="827"/>
      <c r="BU139" s="827"/>
    </row>
    <row r="140" spans="1:73" x14ac:dyDescent="0.25">
      <c r="A140" s="827"/>
      <c r="B140" s="827"/>
      <c r="C140" s="850">
        <v>6</v>
      </c>
      <c r="D140" s="831" t="str">
        <f t="shared" ref="D140:G140" ca="1" si="68">OFFSET(D$76,MATCH($C140,$N$101:$N$107,0)*3-2,0)</f>
        <v>Feedstock Consumption (% of baseline) = 95%</v>
      </c>
      <c r="E140" s="843">
        <f t="shared" ca="1" si="68"/>
        <v>1.7365211887771219</v>
      </c>
      <c r="F140" s="843">
        <f t="shared" ca="1" si="68"/>
        <v>0</v>
      </c>
      <c r="G140" s="843">
        <f t="shared" ca="1" si="68"/>
        <v>1.385542706505071E-3</v>
      </c>
      <c r="H140" s="843"/>
      <c r="I140" s="843"/>
      <c r="J140" s="843"/>
      <c r="K140" s="843"/>
      <c r="L140" s="843"/>
      <c r="M140" s="843"/>
      <c r="N140" s="843"/>
      <c r="O140" s="843"/>
      <c r="P140" s="843"/>
      <c r="Q140" s="843"/>
      <c r="R140" s="843"/>
      <c r="S140" s="843"/>
      <c r="T140" s="827"/>
      <c r="U140" s="827"/>
      <c r="V140" s="827"/>
      <c r="W140" s="827"/>
      <c r="X140" s="827"/>
      <c r="Y140" s="827"/>
      <c r="Z140" s="827"/>
      <c r="AA140" s="827"/>
      <c r="AB140" s="827"/>
      <c r="AC140" s="827"/>
      <c r="AD140" s="827"/>
      <c r="AE140" s="827"/>
      <c r="AF140" s="827"/>
      <c r="AG140" s="827"/>
      <c r="AH140" s="827"/>
      <c r="AI140" s="827"/>
      <c r="AJ140" s="827"/>
      <c r="AK140" s="827"/>
      <c r="AL140" s="827"/>
      <c r="AM140" s="827"/>
      <c r="AN140" s="827"/>
      <c r="AO140" s="827"/>
      <c r="AP140" s="827"/>
      <c r="AQ140" s="827"/>
      <c r="AR140" s="827"/>
      <c r="AS140" s="827"/>
      <c r="AT140" s="827"/>
      <c r="AU140" s="827"/>
      <c r="AV140" s="827"/>
      <c r="AW140" s="827"/>
      <c r="AX140" s="827"/>
      <c r="AY140" s="827"/>
      <c r="AZ140" s="827"/>
      <c r="BA140" s="827"/>
      <c r="BB140" s="827"/>
      <c r="BC140" s="827"/>
      <c r="BD140" s="827"/>
      <c r="BE140" s="827"/>
      <c r="BF140" s="827"/>
      <c r="BG140" s="827"/>
      <c r="BH140" s="827"/>
      <c r="BI140" s="827"/>
      <c r="BJ140" s="827"/>
      <c r="BK140" s="827"/>
      <c r="BL140" s="827"/>
      <c r="BM140" s="827"/>
      <c r="BN140" s="827"/>
      <c r="BO140" s="827"/>
      <c r="BP140" s="827"/>
      <c r="BQ140" s="827"/>
      <c r="BR140" s="827"/>
      <c r="BS140" s="827"/>
      <c r="BT140" s="827"/>
      <c r="BU140" s="827"/>
    </row>
    <row r="141" spans="1:73" x14ac:dyDescent="0.25">
      <c r="A141" s="827"/>
      <c r="B141" s="827"/>
      <c r="C141" s="850"/>
      <c r="D141" s="831"/>
      <c r="E141" s="843"/>
      <c r="F141" s="843"/>
      <c r="G141" s="843"/>
      <c r="H141" s="843">
        <f t="shared" ref="H141:S141" ca="1" si="69">OFFSET(H$76,MATCH($C140,$N$101:$N$107,0)*3-2,0)</f>
        <v>0.13957089196592026</v>
      </c>
      <c r="I141" s="843">
        <f t="shared" ca="1" si="69"/>
        <v>1.783617240376029E-2</v>
      </c>
      <c r="J141" s="843">
        <f t="shared" ca="1" si="69"/>
        <v>1.982439028379392E-2</v>
      </c>
      <c r="K141" s="843">
        <f t="shared" ca="1" si="69"/>
        <v>2.1621130547425983E-3</v>
      </c>
      <c r="L141" s="843">
        <f t="shared" ca="1" si="69"/>
        <v>1.3770101206159633E-3</v>
      </c>
      <c r="M141" s="843">
        <f t="shared" ca="1" si="69"/>
        <v>0.15273691382688664</v>
      </c>
      <c r="N141" s="843">
        <f t="shared" ca="1" si="69"/>
        <v>1.0713620728484385</v>
      </c>
      <c r="O141" s="843">
        <f t="shared" ca="1" si="69"/>
        <v>2.3322527898303188E-2</v>
      </c>
      <c r="P141" s="843">
        <f t="shared" ca="1" si="69"/>
        <v>0.20617962261571299</v>
      </c>
      <c r="Q141" s="843">
        <f t="shared" ca="1" si="69"/>
        <v>8.3427811068748803E-2</v>
      </c>
      <c r="R141" s="843">
        <f t="shared" ca="1" si="69"/>
        <v>1.6359437779649533E-2</v>
      </c>
      <c r="S141" s="843">
        <f t="shared" ca="1" si="69"/>
        <v>3.7477676170523879E-3</v>
      </c>
      <c r="T141" s="827"/>
      <c r="U141" s="827"/>
      <c r="V141" s="827"/>
      <c r="W141" s="827"/>
      <c r="X141" s="827"/>
      <c r="Y141" s="827"/>
      <c r="Z141" s="827"/>
      <c r="AA141" s="827"/>
      <c r="AB141" s="827"/>
      <c r="AC141" s="827"/>
      <c r="AD141" s="827"/>
      <c r="AE141" s="827"/>
      <c r="AF141" s="827"/>
      <c r="AG141" s="827"/>
      <c r="AH141" s="827"/>
      <c r="AI141" s="827"/>
      <c r="AJ141" s="827"/>
      <c r="AK141" s="827"/>
      <c r="AL141" s="827"/>
      <c r="AM141" s="827"/>
      <c r="AN141" s="827"/>
      <c r="AO141" s="827"/>
      <c r="AP141" s="827"/>
      <c r="AQ141" s="827"/>
      <c r="AR141" s="827"/>
      <c r="AS141" s="827"/>
      <c r="AT141" s="827"/>
      <c r="AU141" s="827"/>
      <c r="AV141" s="827"/>
      <c r="AW141" s="827"/>
      <c r="AX141" s="827"/>
      <c r="AY141" s="827"/>
      <c r="AZ141" s="827"/>
      <c r="BA141" s="827"/>
      <c r="BB141" s="827"/>
      <c r="BC141" s="827"/>
      <c r="BD141" s="827"/>
      <c r="BE141" s="827"/>
      <c r="BF141" s="827"/>
      <c r="BG141" s="827"/>
      <c r="BH141" s="827"/>
      <c r="BI141" s="827"/>
      <c r="BJ141" s="827"/>
      <c r="BK141" s="827"/>
      <c r="BL141" s="827"/>
      <c r="BM141" s="827"/>
      <c r="BN141" s="827"/>
      <c r="BO141" s="827"/>
      <c r="BP141" s="827"/>
      <c r="BQ141" s="827"/>
      <c r="BR141" s="827"/>
      <c r="BS141" s="827"/>
      <c r="BT141" s="827"/>
      <c r="BU141" s="827"/>
    </row>
    <row r="142" spans="1:73" x14ac:dyDescent="0.25">
      <c r="A142" s="827"/>
      <c r="B142" s="827"/>
      <c r="C142" s="850">
        <v>6</v>
      </c>
      <c r="D142" s="831" t="str">
        <f t="shared" ref="D142:G142" ca="1" si="70">OFFSET(D$76,MATCH($C142,$N$101:$N$107,0)*3,0)</f>
        <v>Feedstock Consumption (% of baseline) = 105%</v>
      </c>
      <c r="E142" s="843">
        <f t="shared" ca="1" si="70"/>
        <v>1.7365211887771219</v>
      </c>
      <c r="F142" s="843">
        <f t="shared" ca="1" si="70"/>
        <v>0</v>
      </c>
      <c r="G142" s="843">
        <f t="shared" ca="1" si="70"/>
        <v>1.385542706505071E-3</v>
      </c>
      <c r="H142" s="843"/>
      <c r="I142" s="843"/>
      <c r="J142" s="843"/>
      <c r="K142" s="843"/>
      <c r="L142" s="843"/>
      <c r="M142" s="843"/>
      <c r="N142" s="843"/>
      <c r="O142" s="843"/>
      <c r="P142" s="843"/>
      <c r="Q142" s="843"/>
      <c r="R142" s="843"/>
      <c r="S142" s="843"/>
      <c r="T142" s="827"/>
      <c r="U142" s="827"/>
      <c r="V142" s="827"/>
      <c r="W142" s="827"/>
      <c r="X142" s="827"/>
      <c r="Y142" s="827"/>
      <c r="Z142" s="827"/>
      <c r="AA142" s="827"/>
      <c r="AB142" s="827"/>
      <c r="AC142" s="827"/>
      <c r="AD142" s="827"/>
      <c r="AE142" s="827"/>
      <c r="AF142" s="827"/>
      <c r="AG142" s="827"/>
      <c r="AH142" s="827"/>
      <c r="AI142" s="827"/>
      <c r="AJ142" s="827"/>
      <c r="AK142" s="827"/>
      <c r="AL142" s="827"/>
      <c r="AM142" s="827"/>
      <c r="AN142" s="827"/>
      <c r="AO142" s="827"/>
      <c r="AP142" s="827"/>
      <c r="AQ142" s="827"/>
      <c r="AR142" s="827"/>
      <c r="AS142" s="827"/>
      <c r="AT142" s="827"/>
      <c r="AU142" s="827"/>
      <c r="AV142" s="827"/>
      <c r="AW142" s="827"/>
      <c r="AX142" s="827"/>
      <c r="AY142" s="827"/>
      <c r="AZ142" s="827"/>
      <c r="BA142" s="827"/>
      <c r="BB142" s="827"/>
      <c r="BC142" s="827"/>
      <c r="BD142" s="827"/>
      <c r="BE142" s="827"/>
      <c r="BF142" s="827"/>
      <c r="BG142" s="827"/>
      <c r="BH142" s="827"/>
      <c r="BI142" s="827"/>
      <c r="BJ142" s="827"/>
      <c r="BK142" s="827"/>
      <c r="BL142" s="827"/>
      <c r="BM142" s="827"/>
      <c r="BN142" s="827"/>
      <c r="BO142" s="827"/>
      <c r="BP142" s="827"/>
      <c r="BQ142" s="827"/>
      <c r="BR142" s="827"/>
      <c r="BS142" s="827"/>
      <c r="BT142" s="827"/>
      <c r="BU142" s="827"/>
    </row>
    <row r="143" spans="1:73" x14ac:dyDescent="0.25">
      <c r="A143" s="827"/>
      <c r="B143" s="827"/>
      <c r="C143" s="850"/>
      <c r="D143" s="831"/>
      <c r="E143" s="843"/>
      <c r="F143" s="843"/>
      <c r="G143" s="843"/>
      <c r="H143" s="843">
        <f t="shared" ref="H143:S143" ca="1" si="71">OFFSET(H$76,MATCH($C142,$N$101:$N$107,0)*3,0)</f>
        <v>0.13957089196592026</v>
      </c>
      <c r="I143" s="843">
        <f t="shared" ca="1" si="71"/>
        <v>1.783617240376029E-2</v>
      </c>
      <c r="J143" s="843">
        <f t="shared" ca="1" si="71"/>
        <v>1.982439028379392E-2</v>
      </c>
      <c r="K143" s="843">
        <f t="shared" ca="1" si="71"/>
        <v>2.1621130547425983E-3</v>
      </c>
      <c r="L143" s="843">
        <f t="shared" ca="1" si="71"/>
        <v>1.3770101206159633E-3</v>
      </c>
      <c r="M143" s="843">
        <f t="shared" ca="1" si="71"/>
        <v>0.15273691382688664</v>
      </c>
      <c r="N143" s="843">
        <f t="shared" ca="1" si="71"/>
        <v>1.0713620728484385</v>
      </c>
      <c r="O143" s="843">
        <f t="shared" ca="1" si="71"/>
        <v>2.3322527898303188E-2</v>
      </c>
      <c r="P143" s="843">
        <f t="shared" ca="1" si="71"/>
        <v>0.20617962261571299</v>
      </c>
      <c r="Q143" s="843">
        <f t="shared" ca="1" si="71"/>
        <v>8.3427811068748803E-2</v>
      </c>
      <c r="R143" s="843">
        <f t="shared" ca="1" si="71"/>
        <v>1.6359437779649533E-2</v>
      </c>
      <c r="S143" s="843">
        <f t="shared" ca="1" si="71"/>
        <v>3.7477676170523879E-3</v>
      </c>
      <c r="T143" s="827"/>
      <c r="U143" s="827"/>
      <c r="V143" s="827"/>
      <c r="W143" s="827"/>
      <c r="X143" s="827"/>
      <c r="Y143" s="827"/>
      <c r="Z143" s="827"/>
      <c r="AA143" s="827"/>
      <c r="AB143" s="827"/>
      <c r="AC143" s="827"/>
      <c r="AD143" s="827"/>
      <c r="AE143" s="827"/>
      <c r="AF143" s="827"/>
      <c r="AG143" s="827"/>
      <c r="AH143" s="827"/>
      <c r="AI143" s="827"/>
      <c r="AJ143" s="827"/>
      <c r="AK143" s="827"/>
      <c r="AL143" s="827"/>
      <c r="AM143" s="827"/>
      <c r="AN143" s="827"/>
      <c r="AO143" s="827"/>
      <c r="AP143" s="827"/>
      <c r="AQ143" s="827"/>
      <c r="AR143" s="827"/>
      <c r="AS143" s="827"/>
      <c r="AT143" s="827"/>
      <c r="AU143" s="827"/>
      <c r="AV143" s="827"/>
      <c r="AW143" s="827"/>
      <c r="AX143" s="827"/>
      <c r="AY143" s="827"/>
      <c r="AZ143" s="827"/>
      <c r="BA143" s="827"/>
      <c r="BB143" s="827"/>
      <c r="BC143" s="827"/>
      <c r="BD143" s="827"/>
      <c r="BE143" s="827"/>
      <c r="BF143" s="827"/>
      <c r="BG143" s="827"/>
      <c r="BH143" s="827"/>
      <c r="BI143" s="827"/>
      <c r="BJ143" s="827"/>
      <c r="BK143" s="827"/>
      <c r="BL143" s="827"/>
      <c r="BM143" s="827"/>
      <c r="BN143" s="827"/>
      <c r="BO143" s="827"/>
      <c r="BP143" s="827"/>
      <c r="BQ143" s="827"/>
      <c r="BR143" s="827"/>
      <c r="BS143" s="827"/>
      <c r="BT143" s="827"/>
      <c r="BU143" s="827"/>
    </row>
    <row r="144" spans="1:73" x14ac:dyDescent="0.25">
      <c r="A144" s="827"/>
      <c r="B144" s="827"/>
      <c r="C144" s="850"/>
      <c r="D144" s="831"/>
      <c r="E144" s="843"/>
      <c r="F144" s="843"/>
      <c r="G144" s="843"/>
      <c r="H144" s="843"/>
      <c r="I144" s="843"/>
      <c r="J144" s="843"/>
      <c r="K144" s="843"/>
      <c r="L144" s="843"/>
      <c r="M144" s="843"/>
      <c r="N144" s="843"/>
      <c r="O144" s="843"/>
      <c r="P144" s="843"/>
      <c r="Q144" s="843"/>
      <c r="R144" s="843"/>
      <c r="S144" s="843"/>
      <c r="T144" s="827"/>
      <c r="U144" s="827"/>
      <c r="V144" s="827"/>
      <c r="W144" s="827"/>
      <c r="X144" s="827"/>
      <c r="Y144" s="827"/>
      <c r="Z144" s="827"/>
      <c r="AA144" s="827"/>
      <c r="AB144" s="827"/>
      <c r="AC144" s="827"/>
      <c r="AD144" s="827"/>
      <c r="AE144" s="827"/>
      <c r="AF144" s="827"/>
      <c r="AG144" s="827"/>
      <c r="AH144" s="827"/>
      <c r="AI144" s="827"/>
      <c r="AJ144" s="827"/>
      <c r="AK144" s="827"/>
      <c r="AL144" s="827"/>
      <c r="AM144" s="827"/>
      <c r="AN144" s="827"/>
      <c r="AO144" s="827"/>
      <c r="AP144" s="827"/>
      <c r="AQ144" s="827"/>
      <c r="AR144" s="827"/>
      <c r="AS144" s="827"/>
      <c r="AT144" s="827"/>
      <c r="AU144" s="827"/>
      <c r="AV144" s="827"/>
      <c r="AW144" s="827"/>
      <c r="AX144" s="827"/>
      <c r="AY144" s="827"/>
      <c r="AZ144" s="827"/>
      <c r="BA144" s="827"/>
      <c r="BB144" s="827"/>
      <c r="BC144" s="827"/>
      <c r="BD144" s="827"/>
      <c r="BE144" s="827"/>
      <c r="BF144" s="827"/>
      <c r="BG144" s="827"/>
      <c r="BH144" s="827"/>
      <c r="BI144" s="827"/>
      <c r="BJ144" s="827"/>
      <c r="BK144" s="827"/>
      <c r="BL144" s="827"/>
      <c r="BM144" s="827"/>
      <c r="BN144" s="827"/>
      <c r="BO144" s="827"/>
      <c r="BP144" s="827"/>
      <c r="BQ144" s="827"/>
      <c r="BR144" s="827"/>
      <c r="BS144" s="827"/>
      <c r="BT144" s="827"/>
      <c r="BU144" s="827"/>
    </row>
    <row r="145" spans="1:73" x14ac:dyDescent="0.25">
      <c r="A145" s="827"/>
      <c r="B145" s="827"/>
      <c r="C145" s="850">
        <v>7</v>
      </c>
      <c r="D145" s="831" t="e">
        <f t="shared" ref="D145:G145" ca="1" si="72">OFFSET(D$76,MATCH($C145,$N$101:$N$107,0)*3-2,0)</f>
        <v>#N/A</v>
      </c>
      <c r="E145" s="843" t="e">
        <f t="shared" ca="1" si="72"/>
        <v>#N/A</v>
      </c>
      <c r="F145" s="843" t="e">
        <f t="shared" ca="1" si="72"/>
        <v>#N/A</v>
      </c>
      <c r="G145" s="843" t="e">
        <f t="shared" ca="1" si="72"/>
        <v>#N/A</v>
      </c>
      <c r="H145" s="843"/>
      <c r="I145" s="843"/>
      <c r="J145" s="843"/>
      <c r="K145" s="843"/>
      <c r="L145" s="843"/>
      <c r="M145" s="843"/>
      <c r="N145" s="843"/>
      <c r="O145" s="843"/>
      <c r="P145" s="843"/>
      <c r="Q145" s="843"/>
      <c r="R145" s="843"/>
      <c r="S145" s="843"/>
      <c r="T145" s="827"/>
      <c r="U145" s="827"/>
      <c r="V145" s="827"/>
      <c r="W145" s="827"/>
      <c r="X145" s="827"/>
      <c r="Y145" s="827"/>
      <c r="Z145" s="827"/>
      <c r="AA145" s="827"/>
      <c r="AB145" s="827"/>
      <c r="AC145" s="827"/>
      <c r="AD145" s="827"/>
      <c r="AE145" s="827"/>
      <c r="AF145" s="827"/>
      <c r="AG145" s="827"/>
      <c r="AH145" s="827"/>
      <c r="AI145" s="827"/>
      <c r="AJ145" s="827"/>
      <c r="AK145" s="827"/>
      <c r="AL145" s="827"/>
      <c r="AM145" s="827"/>
      <c r="AN145" s="827"/>
      <c r="AO145" s="827"/>
      <c r="AP145" s="827"/>
      <c r="AQ145" s="827"/>
      <c r="AR145" s="827"/>
      <c r="AS145" s="827"/>
      <c r="AT145" s="827"/>
      <c r="AU145" s="827"/>
      <c r="AV145" s="827"/>
      <c r="AW145" s="827"/>
      <c r="AX145" s="827"/>
      <c r="AY145" s="827"/>
      <c r="AZ145" s="827"/>
      <c r="BA145" s="827"/>
      <c r="BB145" s="827"/>
      <c r="BC145" s="827"/>
      <c r="BD145" s="827"/>
      <c r="BE145" s="827"/>
      <c r="BF145" s="827"/>
      <c r="BG145" s="827"/>
      <c r="BH145" s="827"/>
      <c r="BI145" s="827"/>
      <c r="BJ145" s="827"/>
      <c r="BK145" s="827"/>
      <c r="BL145" s="827"/>
      <c r="BM145" s="827"/>
      <c r="BN145" s="827"/>
      <c r="BO145" s="827"/>
      <c r="BP145" s="827"/>
      <c r="BQ145" s="827"/>
      <c r="BR145" s="827"/>
      <c r="BS145" s="827"/>
      <c r="BT145" s="827"/>
      <c r="BU145" s="827"/>
    </row>
    <row r="146" spans="1:73" x14ac:dyDescent="0.25">
      <c r="A146" s="827"/>
      <c r="B146" s="827"/>
      <c r="C146" s="850"/>
      <c r="D146" s="831"/>
      <c r="E146" s="843"/>
      <c r="F146" s="843"/>
      <c r="G146" s="843"/>
      <c r="H146" s="843" t="e">
        <f t="shared" ref="H146:S146" ca="1" si="73">OFFSET(H$76,MATCH($C145,$N$101:$N$107,0)*3-2,0)</f>
        <v>#N/A</v>
      </c>
      <c r="I146" s="843" t="e">
        <f t="shared" ca="1" si="73"/>
        <v>#N/A</v>
      </c>
      <c r="J146" s="843" t="e">
        <f t="shared" ca="1" si="73"/>
        <v>#N/A</v>
      </c>
      <c r="K146" s="843" t="e">
        <f t="shared" ca="1" si="73"/>
        <v>#N/A</v>
      </c>
      <c r="L146" s="843" t="e">
        <f t="shared" ca="1" si="73"/>
        <v>#N/A</v>
      </c>
      <c r="M146" s="843" t="e">
        <f t="shared" ca="1" si="73"/>
        <v>#N/A</v>
      </c>
      <c r="N146" s="843" t="e">
        <f t="shared" ca="1" si="73"/>
        <v>#N/A</v>
      </c>
      <c r="O146" s="843" t="e">
        <f t="shared" ca="1" si="73"/>
        <v>#N/A</v>
      </c>
      <c r="P146" s="843" t="e">
        <f t="shared" ca="1" si="73"/>
        <v>#N/A</v>
      </c>
      <c r="Q146" s="843" t="e">
        <f t="shared" ca="1" si="73"/>
        <v>#N/A</v>
      </c>
      <c r="R146" s="843" t="e">
        <f t="shared" ca="1" si="73"/>
        <v>#N/A</v>
      </c>
      <c r="S146" s="843" t="e">
        <f t="shared" ca="1" si="73"/>
        <v>#N/A</v>
      </c>
      <c r="T146" s="827"/>
      <c r="U146" s="827"/>
      <c r="V146" s="827"/>
      <c r="W146" s="827"/>
      <c r="X146" s="827"/>
      <c r="Y146" s="827"/>
      <c r="Z146" s="827"/>
      <c r="AA146" s="827"/>
      <c r="AB146" s="827"/>
      <c r="AC146" s="827"/>
      <c r="AD146" s="827"/>
      <c r="AE146" s="827"/>
      <c r="AF146" s="827"/>
      <c r="AG146" s="827"/>
      <c r="AH146" s="827"/>
      <c r="AI146" s="827"/>
      <c r="AJ146" s="827"/>
      <c r="AK146" s="827"/>
      <c r="AL146" s="827"/>
      <c r="AM146" s="827"/>
      <c r="AN146" s="827"/>
      <c r="AO146" s="827"/>
      <c r="AP146" s="827"/>
      <c r="AQ146" s="827"/>
      <c r="AR146" s="827"/>
      <c r="AS146" s="827"/>
      <c r="AT146" s="827"/>
      <c r="AU146" s="827"/>
      <c r="AV146" s="827"/>
      <c r="AW146" s="827"/>
      <c r="AX146" s="827"/>
      <c r="AY146" s="827"/>
      <c r="AZ146" s="827"/>
      <c r="BA146" s="827"/>
      <c r="BB146" s="827"/>
      <c r="BC146" s="827"/>
      <c r="BD146" s="827"/>
      <c r="BE146" s="827"/>
      <c r="BF146" s="827"/>
      <c r="BG146" s="827"/>
      <c r="BH146" s="827"/>
      <c r="BI146" s="827"/>
      <c r="BJ146" s="827"/>
      <c r="BK146" s="827"/>
      <c r="BL146" s="827"/>
      <c r="BM146" s="827"/>
      <c r="BN146" s="827"/>
      <c r="BO146" s="827"/>
      <c r="BP146" s="827"/>
      <c r="BQ146" s="827"/>
      <c r="BR146" s="827"/>
      <c r="BS146" s="827"/>
      <c r="BT146" s="827"/>
      <c r="BU146" s="827"/>
    </row>
    <row r="147" spans="1:73" x14ac:dyDescent="0.25">
      <c r="A147" s="827"/>
      <c r="B147" s="827"/>
      <c r="C147" s="850">
        <v>7</v>
      </c>
      <c r="D147" s="831" t="e">
        <f t="shared" ref="D147:G147" ca="1" si="74">OFFSET(D$76,MATCH($C147,$N$101:$N$107,0)*3,0)</f>
        <v>#N/A</v>
      </c>
      <c r="E147" s="843" t="e">
        <f t="shared" ca="1" si="74"/>
        <v>#N/A</v>
      </c>
      <c r="F147" s="843" t="e">
        <f t="shared" ca="1" si="74"/>
        <v>#N/A</v>
      </c>
      <c r="G147" s="843" t="e">
        <f t="shared" ca="1" si="74"/>
        <v>#N/A</v>
      </c>
      <c r="H147" s="843"/>
      <c r="I147" s="843"/>
      <c r="J147" s="843"/>
      <c r="K147" s="843"/>
      <c r="L147" s="843"/>
      <c r="M147" s="843"/>
      <c r="N147" s="843"/>
      <c r="O147" s="843"/>
      <c r="P147" s="843"/>
      <c r="Q147" s="843"/>
      <c r="R147" s="843"/>
      <c r="S147" s="843"/>
      <c r="T147" s="827"/>
      <c r="U147" s="827"/>
      <c r="V147" s="827"/>
      <c r="W147" s="827"/>
      <c r="X147" s="827"/>
      <c r="Y147" s="827"/>
      <c r="Z147" s="827"/>
      <c r="AA147" s="827"/>
      <c r="AB147" s="827"/>
      <c r="AC147" s="827"/>
      <c r="AD147" s="827"/>
      <c r="AE147" s="827"/>
      <c r="AF147" s="827"/>
      <c r="AG147" s="827"/>
      <c r="AH147" s="827"/>
      <c r="AI147" s="827"/>
      <c r="AJ147" s="827"/>
      <c r="AK147" s="827"/>
      <c r="AL147" s="827"/>
      <c r="AM147" s="827"/>
      <c r="AN147" s="827"/>
      <c r="AO147" s="827"/>
      <c r="AP147" s="827"/>
      <c r="AQ147" s="827"/>
      <c r="AR147" s="827"/>
      <c r="AS147" s="827"/>
      <c r="AT147" s="827"/>
      <c r="AU147" s="827"/>
      <c r="AV147" s="827"/>
      <c r="AW147" s="827"/>
      <c r="AX147" s="827"/>
      <c r="AY147" s="827"/>
      <c r="AZ147" s="827"/>
      <c r="BA147" s="827"/>
      <c r="BB147" s="827"/>
      <c r="BC147" s="827"/>
      <c r="BD147" s="827"/>
      <c r="BE147" s="827"/>
      <c r="BF147" s="827"/>
      <c r="BG147" s="827"/>
      <c r="BH147" s="827"/>
      <c r="BI147" s="827"/>
      <c r="BJ147" s="827"/>
      <c r="BK147" s="827"/>
      <c r="BL147" s="827"/>
      <c r="BM147" s="827"/>
      <c r="BN147" s="827"/>
      <c r="BO147" s="827"/>
      <c r="BP147" s="827"/>
      <c r="BQ147" s="827"/>
      <c r="BR147" s="827"/>
      <c r="BS147" s="827"/>
      <c r="BT147" s="827"/>
      <c r="BU147" s="827"/>
    </row>
    <row r="148" spans="1:73" x14ac:dyDescent="0.25">
      <c r="A148" s="827"/>
      <c r="B148" s="827"/>
      <c r="C148" s="831"/>
      <c r="D148" s="831"/>
      <c r="E148" s="831"/>
      <c r="F148" s="831"/>
      <c r="G148" s="831"/>
      <c r="H148" s="843" t="e">
        <f t="shared" ref="H148:S148" ca="1" si="75">OFFSET(H$76,MATCH($C147,$N$101:$N$107,0)*3,0)</f>
        <v>#N/A</v>
      </c>
      <c r="I148" s="843" t="e">
        <f t="shared" ca="1" si="75"/>
        <v>#N/A</v>
      </c>
      <c r="J148" s="843" t="e">
        <f t="shared" ca="1" si="75"/>
        <v>#N/A</v>
      </c>
      <c r="K148" s="843" t="e">
        <f t="shared" ca="1" si="75"/>
        <v>#N/A</v>
      </c>
      <c r="L148" s="843" t="e">
        <f t="shared" ca="1" si="75"/>
        <v>#N/A</v>
      </c>
      <c r="M148" s="843" t="e">
        <f t="shared" ca="1" si="75"/>
        <v>#N/A</v>
      </c>
      <c r="N148" s="843" t="e">
        <f t="shared" ca="1" si="75"/>
        <v>#N/A</v>
      </c>
      <c r="O148" s="843" t="e">
        <f t="shared" ca="1" si="75"/>
        <v>#N/A</v>
      </c>
      <c r="P148" s="843" t="e">
        <f t="shared" ca="1" si="75"/>
        <v>#N/A</v>
      </c>
      <c r="Q148" s="843" t="e">
        <f t="shared" ca="1" si="75"/>
        <v>#N/A</v>
      </c>
      <c r="R148" s="843" t="e">
        <f t="shared" ca="1" si="75"/>
        <v>#N/A</v>
      </c>
      <c r="S148" s="843" t="e">
        <f t="shared" ca="1" si="75"/>
        <v>#N/A</v>
      </c>
      <c r="T148" s="827"/>
      <c r="U148" s="827"/>
      <c r="V148" s="827"/>
      <c r="W148" s="827"/>
      <c r="X148" s="827"/>
      <c r="Y148" s="827"/>
      <c r="Z148" s="827"/>
      <c r="AA148" s="827"/>
      <c r="AB148" s="827"/>
      <c r="AC148" s="827"/>
      <c r="AD148" s="827"/>
      <c r="AE148" s="827"/>
      <c r="AF148" s="827"/>
      <c r="AG148" s="827"/>
      <c r="AH148" s="827"/>
      <c r="AI148" s="827"/>
      <c r="AJ148" s="827"/>
      <c r="AK148" s="827"/>
      <c r="AL148" s="827"/>
      <c r="AM148" s="827"/>
      <c r="AN148" s="827"/>
      <c r="AO148" s="827"/>
      <c r="AP148" s="827"/>
      <c r="AQ148" s="827"/>
      <c r="AR148" s="827"/>
      <c r="AS148" s="827"/>
      <c r="AT148" s="827"/>
      <c r="AU148" s="827"/>
      <c r="AV148" s="827"/>
      <c r="AW148" s="827"/>
      <c r="AX148" s="827"/>
      <c r="AY148" s="827"/>
      <c r="AZ148" s="827"/>
      <c r="BA148" s="827"/>
      <c r="BB148" s="827"/>
      <c r="BC148" s="827"/>
      <c r="BD148" s="827"/>
      <c r="BE148" s="827"/>
      <c r="BF148" s="827"/>
      <c r="BG148" s="827"/>
      <c r="BH148" s="827"/>
      <c r="BI148" s="827"/>
      <c r="BJ148" s="827"/>
      <c r="BK148" s="827"/>
      <c r="BL148" s="827"/>
      <c r="BM148" s="827"/>
      <c r="BN148" s="827"/>
      <c r="BO148" s="827"/>
      <c r="BP148" s="827"/>
      <c r="BQ148" s="827"/>
      <c r="BR148" s="827"/>
      <c r="BS148" s="827"/>
      <c r="BT148" s="827"/>
      <c r="BU148" s="827"/>
    </row>
    <row r="149" spans="1:73" x14ac:dyDescent="0.25">
      <c r="A149" s="827"/>
      <c r="B149" s="827"/>
      <c r="C149" s="827"/>
      <c r="D149" s="827"/>
      <c r="E149" s="827"/>
      <c r="F149" s="827"/>
      <c r="G149" s="827"/>
      <c r="H149" s="827"/>
      <c r="I149" s="827"/>
      <c r="J149" s="827"/>
      <c r="K149" s="827"/>
      <c r="L149" s="827"/>
      <c r="M149" s="827"/>
      <c r="N149" s="827"/>
      <c r="O149" s="827"/>
      <c r="P149" s="827"/>
      <c r="Q149" s="827"/>
      <c r="R149" s="827"/>
      <c r="S149" s="827"/>
      <c r="T149" s="827"/>
      <c r="U149" s="827"/>
      <c r="V149" s="827"/>
      <c r="W149" s="827"/>
      <c r="X149" s="827"/>
      <c r="Y149" s="827"/>
      <c r="Z149" s="827"/>
      <c r="AA149" s="827"/>
      <c r="AB149" s="827"/>
      <c r="AC149" s="827"/>
      <c r="AD149" s="827"/>
      <c r="AE149" s="827"/>
      <c r="AF149" s="827"/>
      <c r="AG149" s="827"/>
      <c r="AH149" s="827"/>
      <c r="AI149" s="827"/>
      <c r="AJ149" s="827"/>
      <c r="AK149" s="827"/>
      <c r="AL149" s="827"/>
      <c r="AM149" s="827"/>
      <c r="AN149" s="827"/>
      <c r="AO149" s="827"/>
      <c r="AP149" s="827"/>
      <c r="AQ149" s="827"/>
      <c r="AR149" s="827"/>
      <c r="AS149" s="827"/>
      <c r="AT149" s="827"/>
      <c r="AU149" s="827"/>
      <c r="AV149" s="827"/>
      <c r="AW149" s="827"/>
      <c r="AX149" s="827"/>
      <c r="AY149" s="827"/>
      <c r="AZ149" s="827"/>
      <c r="BA149" s="827"/>
      <c r="BB149" s="827"/>
      <c r="BC149" s="827"/>
      <c r="BD149" s="827"/>
      <c r="BE149" s="827"/>
      <c r="BF149" s="827"/>
      <c r="BG149" s="827"/>
      <c r="BH149" s="827"/>
      <c r="BI149" s="827"/>
      <c r="BJ149" s="827"/>
      <c r="BK149" s="827"/>
      <c r="BL149" s="827"/>
      <c r="BM149" s="827"/>
      <c r="BN149" s="827"/>
      <c r="BO149" s="827"/>
      <c r="BP149" s="827"/>
      <c r="BQ149" s="827"/>
      <c r="BR149" s="827"/>
      <c r="BS149" s="827"/>
      <c r="BT149" s="827"/>
      <c r="BU149" s="827"/>
    </row>
    <row r="150" spans="1:73" x14ac:dyDescent="0.25">
      <c r="A150" s="827"/>
      <c r="B150" s="827"/>
      <c r="C150" s="827"/>
      <c r="D150" s="827"/>
      <c r="E150" s="827"/>
      <c r="F150" s="827"/>
      <c r="G150" s="827"/>
      <c r="H150" s="827"/>
      <c r="I150" s="827"/>
      <c r="J150" s="827"/>
      <c r="K150" s="827"/>
      <c r="L150" s="827"/>
      <c r="M150" s="827"/>
      <c r="N150" s="827"/>
      <c r="O150" s="827"/>
      <c r="P150" s="827"/>
      <c r="Q150" s="827"/>
      <c r="R150" s="827"/>
      <c r="S150" s="827"/>
      <c r="T150" s="827"/>
      <c r="U150" s="827"/>
      <c r="V150" s="827"/>
      <c r="W150" s="827"/>
      <c r="X150" s="827"/>
      <c r="Y150" s="827"/>
      <c r="Z150" s="827"/>
      <c r="AA150" s="827"/>
      <c r="AB150" s="827"/>
      <c r="AC150" s="827"/>
      <c r="AD150" s="827"/>
      <c r="AE150" s="827"/>
      <c r="AF150" s="827"/>
      <c r="AG150" s="827"/>
      <c r="AH150" s="827"/>
      <c r="AI150" s="827"/>
      <c r="AJ150" s="827"/>
      <c r="AK150" s="827"/>
      <c r="AL150" s="827"/>
      <c r="AM150" s="827"/>
      <c r="AN150" s="827"/>
      <c r="AO150" s="827"/>
      <c r="AP150" s="827"/>
      <c r="AQ150" s="827"/>
      <c r="AR150" s="827"/>
      <c r="AS150" s="827"/>
      <c r="AT150" s="827"/>
      <c r="AU150" s="827"/>
      <c r="AV150" s="827"/>
      <c r="AW150" s="827"/>
      <c r="AX150" s="827"/>
      <c r="AY150" s="827"/>
      <c r="AZ150" s="827"/>
      <c r="BA150" s="827"/>
      <c r="BB150" s="827"/>
      <c r="BC150" s="827"/>
      <c r="BD150" s="827"/>
      <c r="BE150" s="827"/>
      <c r="BF150" s="827"/>
      <c r="BG150" s="827"/>
      <c r="BH150" s="827"/>
      <c r="BI150" s="827"/>
      <c r="BJ150" s="827"/>
      <c r="BK150" s="827"/>
      <c r="BL150" s="827"/>
      <c r="BM150" s="827"/>
      <c r="BN150" s="827"/>
      <c r="BO150" s="827"/>
      <c r="BP150" s="827"/>
      <c r="BQ150" s="827"/>
      <c r="BR150" s="827"/>
      <c r="BS150" s="827"/>
      <c r="BT150" s="827"/>
      <c r="BU150" s="827"/>
    </row>
    <row r="151" spans="1:73" x14ac:dyDescent="0.25">
      <c r="A151" s="827"/>
      <c r="B151" s="827"/>
      <c r="C151" s="827"/>
      <c r="D151" s="827"/>
      <c r="E151" s="827"/>
      <c r="F151" s="827"/>
      <c r="G151" s="827"/>
      <c r="H151" s="827"/>
      <c r="I151" s="827"/>
      <c r="J151" s="827"/>
      <c r="K151" s="827"/>
      <c r="L151" s="827"/>
      <c r="M151" s="827"/>
      <c r="N151" s="827"/>
      <c r="O151" s="827"/>
      <c r="P151" s="827"/>
      <c r="Q151" s="827"/>
      <c r="R151" s="827"/>
      <c r="S151" s="827"/>
      <c r="T151" s="827"/>
      <c r="U151" s="827"/>
      <c r="V151" s="827"/>
      <c r="W151" s="827"/>
      <c r="X151" s="827"/>
      <c r="Y151" s="827"/>
      <c r="Z151" s="827"/>
      <c r="AA151" s="827"/>
      <c r="AB151" s="827"/>
      <c r="AC151" s="827"/>
      <c r="AD151" s="827"/>
      <c r="AE151" s="827"/>
      <c r="AF151" s="827"/>
      <c r="AG151" s="827"/>
      <c r="AH151" s="827"/>
      <c r="AI151" s="827"/>
      <c r="AJ151" s="827"/>
      <c r="AK151" s="827"/>
      <c r="AL151" s="827"/>
      <c r="AM151" s="827"/>
      <c r="AN151" s="827"/>
      <c r="AO151" s="827"/>
      <c r="AP151" s="827"/>
      <c r="AQ151" s="827"/>
      <c r="AR151" s="827"/>
      <c r="AS151" s="827"/>
    </row>
    <row r="152" spans="1:73" x14ac:dyDescent="0.25">
      <c r="A152" s="827"/>
      <c r="B152" s="829" t="s">
        <v>1133</v>
      </c>
      <c r="C152" s="827"/>
      <c r="D152" s="827"/>
      <c r="E152" s="827"/>
      <c r="F152" s="827"/>
      <c r="G152" s="827"/>
      <c r="H152" s="827"/>
      <c r="I152" s="827"/>
      <c r="J152" s="827"/>
      <c r="K152" s="827"/>
      <c r="L152" s="827"/>
      <c r="M152" s="827"/>
      <c r="N152" s="827"/>
      <c r="O152" s="827"/>
      <c r="P152" s="827"/>
      <c r="Q152" s="827"/>
      <c r="R152" s="827"/>
      <c r="S152" s="827"/>
      <c r="T152" s="827"/>
      <c r="U152" s="827"/>
      <c r="V152" s="827"/>
      <c r="W152" s="827"/>
      <c r="X152" s="827"/>
      <c r="Y152" s="827"/>
      <c r="Z152" s="827"/>
      <c r="AA152" s="827"/>
      <c r="AB152" s="827"/>
      <c r="AC152" s="827"/>
      <c r="AD152" s="827"/>
      <c r="AE152" s="827"/>
      <c r="AF152" s="827"/>
      <c r="AG152" s="827"/>
      <c r="AH152" s="827"/>
      <c r="AI152" s="827"/>
      <c r="AJ152" s="827"/>
      <c r="AK152" s="827"/>
      <c r="AL152" s="827"/>
      <c r="AM152" s="827"/>
      <c r="AN152" s="827"/>
      <c r="AO152" s="827"/>
      <c r="AP152" s="827"/>
      <c r="AQ152" s="827"/>
      <c r="AR152" s="827"/>
      <c r="AS152" s="827"/>
    </row>
    <row r="153" spans="1:73" x14ac:dyDescent="0.25">
      <c r="A153" s="827"/>
      <c r="B153" s="827"/>
      <c r="C153" s="827"/>
      <c r="D153" s="838" t="s">
        <v>1137</v>
      </c>
      <c r="E153" s="838"/>
      <c r="F153" s="838"/>
      <c r="G153" s="838"/>
      <c r="H153" s="838"/>
      <c r="I153" s="838"/>
      <c r="J153" s="827"/>
      <c r="K153" s="827"/>
      <c r="L153" s="827"/>
      <c r="M153" s="827"/>
      <c r="N153" s="827"/>
      <c r="O153" s="827"/>
      <c r="P153" s="827"/>
      <c r="Q153" s="827"/>
      <c r="R153" s="827"/>
      <c r="S153" s="827"/>
      <c r="T153" s="827"/>
      <c r="U153" s="827"/>
      <c r="V153" s="827"/>
      <c r="W153" s="827"/>
      <c r="X153" s="827"/>
      <c r="Y153" s="827"/>
      <c r="Z153" s="827"/>
      <c r="AA153" s="827"/>
      <c r="AB153" s="827"/>
      <c r="AC153" s="827"/>
      <c r="AD153" s="827"/>
      <c r="AE153" s="827"/>
      <c r="AF153" s="827"/>
      <c r="AG153" s="827"/>
      <c r="AH153" s="827"/>
      <c r="AI153" s="827"/>
      <c r="AJ153" s="827"/>
      <c r="AK153" s="827"/>
      <c r="AL153" s="827"/>
      <c r="AM153" s="827"/>
      <c r="AN153" s="827"/>
      <c r="AO153" s="827"/>
      <c r="AP153" s="827"/>
      <c r="AQ153" s="827"/>
      <c r="AR153" s="827"/>
      <c r="AS153" s="827"/>
    </row>
    <row r="154" spans="1:73" ht="26.4" x14ac:dyDescent="0.25">
      <c r="A154" s="827"/>
      <c r="B154" s="829"/>
      <c r="C154" s="827"/>
      <c r="D154" s="838" t="s">
        <v>1136</v>
      </c>
      <c r="E154" s="838" t="s">
        <v>1142</v>
      </c>
      <c r="F154" s="838" t="s">
        <v>1138</v>
      </c>
      <c r="G154" s="838" t="s">
        <v>1139</v>
      </c>
      <c r="H154" s="838" t="s">
        <v>1140</v>
      </c>
      <c r="I154" s="838" t="s">
        <v>1141</v>
      </c>
      <c r="J154" s="827"/>
      <c r="K154" s="838" t="s">
        <v>1171</v>
      </c>
      <c r="L154" s="838" t="s">
        <v>1169</v>
      </c>
      <c r="M154" s="838" t="s">
        <v>1170</v>
      </c>
      <c r="N154" s="838" t="s">
        <v>1172</v>
      </c>
      <c r="O154" s="827"/>
      <c r="P154" s="827"/>
      <c r="Q154" s="827"/>
      <c r="R154" s="827"/>
      <c r="S154" s="827"/>
      <c r="T154" s="827"/>
      <c r="U154" s="827"/>
      <c r="V154" s="827"/>
      <c r="W154" s="827"/>
      <c r="X154" s="827"/>
      <c r="Y154" s="827"/>
      <c r="Z154" s="827"/>
      <c r="AA154" s="827"/>
      <c r="AB154" s="827"/>
      <c r="AC154" s="827"/>
      <c r="AD154" s="827"/>
      <c r="AE154" s="827"/>
      <c r="AF154" s="827"/>
      <c r="AG154" s="827"/>
      <c r="AH154" s="827"/>
      <c r="AI154" s="827"/>
      <c r="AJ154" s="827"/>
      <c r="AK154" s="827"/>
      <c r="AL154" s="827"/>
      <c r="AM154" s="827"/>
      <c r="AN154" s="827"/>
      <c r="AO154" s="827"/>
      <c r="AP154" s="827"/>
      <c r="AQ154" s="827"/>
      <c r="AR154" s="827"/>
      <c r="AS154" s="827"/>
    </row>
    <row r="155" spans="1:73" x14ac:dyDescent="0.25">
      <c r="A155" s="827"/>
      <c r="B155" s="829" t="s">
        <v>1135</v>
      </c>
      <c r="C155" s="827">
        <v>1</v>
      </c>
      <c r="D155" s="830" t="s">
        <v>1150</v>
      </c>
      <c r="E155" s="843">
        <f ca="1">+K48+C155/10000000000</f>
        <v>1.7362347672368916</v>
      </c>
      <c r="F155" s="831">
        <f ca="1">+RANK(E155,$E$155:$E$157)</f>
        <v>1</v>
      </c>
      <c r="G155" s="836">
        <v>1</v>
      </c>
      <c r="H155" s="831" t="str">
        <f ca="1">OFFSET($D$154,MATCH($G155,$F$155:$F$157,0),0)</f>
        <v>Cost of Hydrogen</v>
      </c>
      <c r="I155" s="845">
        <f ca="1">OFFSET($E$154,MATCH($G155,$F$155:$F$157,0),0)-OFFSET($C$154,MATCH($G155,$F$155:$F$157,0),0)/10000000000</f>
        <v>1.7362347671368916</v>
      </c>
      <c r="J155" s="827"/>
      <c r="K155" s="831" t="str">
        <f ca="1">+H155</f>
        <v>Cost of Hydrogen</v>
      </c>
      <c r="L155" s="843">
        <f ca="1">+I155</f>
        <v>1.7362347671368916</v>
      </c>
      <c r="M155" s="831"/>
      <c r="N155" s="831" t="str">
        <f ca="1">+IF(L155&gt;0,K155,"")</f>
        <v>Cost of Hydrogen</v>
      </c>
      <c r="O155" s="827"/>
      <c r="P155" s="827"/>
      <c r="Q155" s="827"/>
      <c r="R155" s="827"/>
      <c r="S155" s="827"/>
      <c r="T155" s="827"/>
      <c r="U155" s="827"/>
      <c r="V155" s="827"/>
      <c r="W155" s="827"/>
      <c r="X155" s="827"/>
      <c r="Y155" s="827"/>
      <c r="Z155" s="827"/>
      <c r="AA155" s="827"/>
      <c r="AB155" s="827"/>
      <c r="AC155" s="827"/>
      <c r="AD155" s="827"/>
      <c r="AE155" s="827"/>
      <c r="AF155" s="827"/>
      <c r="AG155" s="827"/>
      <c r="AH155" s="827"/>
      <c r="AI155" s="827"/>
      <c r="AJ155" s="827"/>
    </row>
    <row r="156" spans="1:73" x14ac:dyDescent="0.25">
      <c r="A156" s="827"/>
      <c r="B156" s="829"/>
      <c r="C156" s="827">
        <v>2</v>
      </c>
      <c r="D156" s="831" t="str">
        <f>+F110</f>
        <v>Byproduct Sales</v>
      </c>
      <c r="E156" s="843">
        <f ca="1">+L48+C156/10000000000</f>
        <v>2.0000000000000001E-10</v>
      </c>
      <c r="F156" s="831">
        <f ca="1">+RANK(E156,$E$155:$E$157)</f>
        <v>3</v>
      </c>
      <c r="G156" s="836">
        <v>2</v>
      </c>
      <c r="H156" s="831" t="str">
        <f ca="1">OFFSET($D$154,MATCH($G156,$F$155:$F$157,0),0)</f>
        <v>Salvage Value</v>
      </c>
      <c r="I156" s="845">
        <f ca="1">OFFSET($E$154,MATCH($G156,$F$155:$F$157,0),0)-OFFSET($C$154,MATCH($G156,$F$155:$F$157,0),0)/10000000000</f>
        <v>1.385542706505071E-3</v>
      </c>
      <c r="J156" s="827"/>
      <c r="K156" s="831" t="str">
        <f t="shared" ref="K156:K170" ca="1" si="76">+H156</f>
        <v>Salvage Value</v>
      </c>
      <c r="L156" s="843">
        <f t="shared" ref="L156:L157" ca="1" si="77">+I156</f>
        <v>1.385542706505071E-3</v>
      </c>
      <c r="M156" s="831"/>
      <c r="N156" s="831" t="str">
        <f t="shared" ref="N156:N157" ca="1" si="78">+IF(L156&gt;0,K156,"")</f>
        <v>Salvage Value</v>
      </c>
      <c r="O156" s="827"/>
      <c r="P156" s="827"/>
      <c r="Q156" s="827"/>
      <c r="R156" s="827"/>
      <c r="S156" s="827"/>
      <c r="T156" s="827"/>
      <c r="U156" s="827"/>
      <c r="V156" s="827"/>
      <c r="W156" s="827"/>
      <c r="X156" s="827"/>
      <c r="Y156" s="827"/>
      <c r="Z156" s="827"/>
      <c r="AA156" s="827"/>
      <c r="AB156" s="827"/>
      <c r="AC156" s="827"/>
      <c r="AD156" s="827"/>
      <c r="AE156" s="827"/>
      <c r="AF156" s="827"/>
      <c r="AG156" s="827"/>
      <c r="AH156" s="827"/>
      <c r="AI156" s="827"/>
      <c r="AJ156" s="827"/>
    </row>
    <row r="157" spans="1:73" x14ac:dyDescent="0.25">
      <c r="A157" s="827"/>
      <c r="B157" s="829"/>
      <c r="C157" s="827">
        <v>3</v>
      </c>
      <c r="D157" s="831" t="str">
        <f>+G110</f>
        <v>Salvage Value</v>
      </c>
      <c r="E157" s="843">
        <f ca="1">+M48+C157/10000000000</f>
        <v>1.3855430065050712E-3</v>
      </c>
      <c r="F157" s="831">
        <f ca="1">+RANK(E157,$E$155:$E$157)</f>
        <v>2</v>
      </c>
      <c r="G157" s="836">
        <v>3</v>
      </c>
      <c r="H157" s="831" t="str">
        <f ca="1">OFFSET($D$154,MATCH($G157,$F$155:$F$157,0),0)</f>
        <v>Byproduct Sales</v>
      </c>
      <c r="I157" s="845">
        <f ca="1">OFFSET($E$154,MATCH($G157,$F$155:$F$157,0),0)-OFFSET($C$154,MATCH($G157,$F$155:$F$157,0),0)/10000000000</f>
        <v>0</v>
      </c>
      <c r="J157" s="827"/>
      <c r="K157" s="831" t="str">
        <f t="shared" ca="1" si="76"/>
        <v>Byproduct Sales</v>
      </c>
      <c r="L157" s="843">
        <f t="shared" ca="1" si="77"/>
        <v>0</v>
      </c>
      <c r="M157" s="831"/>
      <c r="N157" s="831" t="str">
        <f t="shared" ca="1" si="78"/>
        <v/>
      </c>
      <c r="O157" s="827"/>
      <c r="P157" s="827"/>
      <c r="Q157" s="827"/>
      <c r="R157" s="827"/>
      <c r="S157" s="827"/>
      <c r="T157" s="827"/>
      <c r="U157" s="827"/>
      <c r="V157" s="827"/>
      <c r="W157" s="827"/>
      <c r="X157" s="827"/>
      <c r="Y157" s="827"/>
      <c r="Z157" s="827"/>
      <c r="AA157" s="827"/>
      <c r="AB157" s="827"/>
      <c r="AC157" s="827"/>
      <c r="AD157" s="827"/>
      <c r="AE157" s="827"/>
      <c r="AF157" s="827"/>
      <c r="AG157" s="827"/>
      <c r="AH157" s="827"/>
      <c r="AI157" s="827"/>
      <c r="AJ157" s="827"/>
    </row>
    <row r="158" spans="1:73" x14ac:dyDescent="0.25">
      <c r="A158" s="827"/>
      <c r="B158" s="829"/>
      <c r="C158" s="827"/>
      <c r="D158" s="829"/>
      <c r="E158" s="829"/>
      <c r="F158" s="829"/>
      <c r="G158" s="829"/>
      <c r="H158" s="829"/>
      <c r="I158" s="855"/>
      <c r="J158" s="827"/>
      <c r="K158" s="831"/>
      <c r="L158" s="831"/>
      <c r="M158" s="843"/>
      <c r="N158" s="831" t="str">
        <f t="shared" ref="N158" si="79">+IF(L158&gt;0.01,K158,"")</f>
        <v/>
      </c>
      <c r="O158" s="827"/>
      <c r="P158" s="827"/>
      <c r="Q158" s="827"/>
      <c r="R158" s="827"/>
      <c r="S158" s="827"/>
      <c r="T158" s="827"/>
      <c r="U158" s="827"/>
      <c r="V158" s="827"/>
      <c r="W158" s="827"/>
      <c r="X158" s="827"/>
      <c r="Y158" s="827"/>
      <c r="Z158" s="827"/>
      <c r="AA158" s="827"/>
      <c r="AB158" s="827"/>
      <c r="AC158" s="827"/>
      <c r="AD158" s="827"/>
      <c r="AE158" s="827"/>
      <c r="AF158" s="827"/>
      <c r="AG158" s="827"/>
      <c r="AH158" s="827"/>
      <c r="AI158" s="827"/>
      <c r="AJ158" s="827"/>
    </row>
    <row r="159" spans="1:73" x14ac:dyDescent="0.25">
      <c r="A159" s="827"/>
      <c r="B159" s="829" t="s">
        <v>1134</v>
      </c>
      <c r="C159" s="827">
        <v>1</v>
      </c>
      <c r="D159" s="831" t="str">
        <f>+H110</f>
        <v>Initial Equity Depreciable Capital</v>
      </c>
      <c r="E159" s="843">
        <f ca="1">+N48+C159/10000000000</f>
        <v>0.13957089206592027</v>
      </c>
      <c r="F159" s="831">
        <f t="shared" ref="F159:F170" ca="1" si="80">+RANK(E159,$E$159:$E$170)</f>
        <v>4</v>
      </c>
      <c r="G159" s="836">
        <v>1</v>
      </c>
      <c r="H159" s="831" t="str">
        <f t="shared" ref="H159:H170" ca="1" si="81">OFFSET($D$158,MATCH($G159,$F$159:$F$170,0),0)</f>
        <v>Feedstock Cost</v>
      </c>
      <c r="I159" s="845">
        <f t="shared" ref="I159:I170" ca="1" si="82">OFFSET($E$158,MATCH($G159,$F$159:$F$170,0),0)-OFFSET($C$158,MATCH($G159,$F$159:$F$170,0),0)/10000000000</f>
        <v>1.0713620728484385</v>
      </c>
      <c r="J159" s="827"/>
      <c r="K159" s="831" t="str">
        <f t="shared" ca="1" si="76"/>
        <v>Feedstock Cost</v>
      </c>
      <c r="L159" s="831"/>
      <c r="M159" s="843">
        <f ca="1">+I159</f>
        <v>1.0713620728484385</v>
      </c>
      <c r="N159" s="831" t="str">
        <f ca="1">+IF(M159&gt;0,K159,"")</f>
        <v>Feedstock Cost</v>
      </c>
      <c r="O159" s="827"/>
      <c r="P159" s="827"/>
      <c r="Q159" s="827"/>
      <c r="R159" s="827"/>
      <c r="S159" s="827"/>
      <c r="T159" s="827"/>
      <c r="U159" s="827"/>
      <c r="V159" s="827"/>
      <c r="W159" s="827"/>
      <c r="X159" s="827"/>
      <c r="Y159" s="827"/>
      <c r="Z159" s="827"/>
      <c r="AA159" s="827"/>
      <c r="AB159" s="827"/>
      <c r="AC159" s="827"/>
      <c r="AD159" s="827"/>
      <c r="AE159" s="827"/>
      <c r="AF159" s="827"/>
      <c r="AG159" s="827"/>
      <c r="AH159" s="827"/>
      <c r="AI159" s="827"/>
      <c r="AJ159" s="827"/>
    </row>
    <row r="160" spans="1:73" x14ac:dyDescent="0.25">
      <c r="A160" s="827"/>
      <c r="B160" s="827"/>
      <c r="C160" s="827">
        <f>+C159+1</f>
        <v>2</v>
      </c>
      <c r="D160" s="831" t="str">
        <f>+I110</f>
        <v>Yearly Replacement Costs</v>
      </c>
      <c r="E160" s="843">
        <f ca="1">+O48+C160/10000000000</f>
        <v>1.7836172603760289E-2</v>
      </c>
      <c r="F160" s="831">
        <f t="shared" ca="1" si="80"/>
        <v>8</v>
      </c>
      <c r="G160" s="836">
        <v>2</v>
      </c>
      <c r="H160" s="831" t="str">
        <f t="shared" ca="1" si="81"/>
        <v>Other Variable Operating Costs</v>
      </c>
      <c r="I160" s="845">
        <f t="shared" ca="1" si="82"/>
        <v>0.20589836998997063</v>
      </c>
      <c r="J160" s="827"/>
      <c r="K160" s="831" t="str">
        <f t="shared" ca="1" si="76"/>
        <v>Other Variable Operating Costs</v>
      </c>
      <c r="L160" s="831"/>
      <c r="M160" s="843">
        <f t="shared" ref="M160:M170" ca="1" si="83">+I160</f>
        <v>0.20589836998997063</v>
      </c>
      <c r="N160" s="831" t="str">
        <f t="shared" ref="N160:N170" ca="1" si="84">+IF(M160&gt;0,K160,"")</f>
        <v>Other Variable Operating Costs</v>
      </c>
      <c r="O160" s="827"/>
      <c r="P160" s="827"/>
      <c r="Q160" s="827"/>
      <c r="R160" s="827"/>
      <c r="S160" s="827"/>
      <c r="T160" s="827"/>
      <c r="U160" s="827"/>
      <c r="V160" s="827"/>
      <c r="W160" s="827"/>
      <c r="X160" s="827"/>
      <c r="Y160" s="827"/>
      <c r="Z160" s="827"/>
      <c r="AA160" s="827"/>
      <c r="AB160" s="827"/>
      <c r="AC160" s="827"/>
      <c r="AD160" s="827"/>
      <c r="AE160" s="827"/>
      <c r="AF160" s="827"/>
      <c r="AG160" s="827"/>
      <c r="AH160" s="827"/>
      <c r="AI160" s="827"/>
      <c r="AJ160" s="827"/>
    </row>
    <row r="161" spans="1:36" x14ac:dyDescent="0.25">
      <c r="A161" s="827"/>
      <c r="B161" s="827"/>
      <c r="C161" s="827">
        <f t="shared" ref="C161:C170" si="85">+C160+1</f>
        <v>3</v>
      </c>
      <c r="D161" s="831" t="str">
        <f>+J110</f>
        <v>Cash for Working Capital Reserve</v>
      </c>
      <c r="E161" s="843">
        <f ca="1">+P48+C161/10000000000</f>
        <v>1.982055207363554E-2</v>
      </c>
      <c r="F161" s="831">
        <f t="shared" ca="1" si="80"/>
        <v>7</v>
      </c>
      <c r="G161" s="836">
        <v>3</v>
      </c>
      <c r="H161" s="831" t="str">
        <f t="shared" ca="1" si="81"/>
        <v>Fixed Operating Cost</v>
      </c>
      <c r="I161" s="845">
        <f t="shared" ca="1" si="82"/>
        <v>0.15273691382688664</v>
      </c>
      <c r="J161" s="827"/>
      <c r="K161" s="831" t="str">
        <f t="shared" ca="1" si="76"/>
        <v>Fixed Operating Cost</v>
      </c>
      <c r="L161" s="831"/>
      <c r="M161" s="843">
        <f t="shared" ca="1" si="83"/>
        <v>0.15273691382688664</v>
      </c>
      <c r="N161" s="831" t="str">
        <f t="shared" ca="1" si="84"/>
        <v>Fixed Operating Cost</v>
      </c>
      <c r="O161" s="827"/>
      <c r="P161" s="827"/>
      <c r="Q161" s="827"/>
      <c r="R161" s="827"/>
      <c r="S161" s="827"/>
      <c r="T161" s="827"/>
      <c r="U161" s="827"/>
      <c r="V161" s="827"/>
      <c r="W161" s="827"/>
      <c r="X161" s="827"/>
      <c r="Y161" s="827"/>
      <c r="Z161" s="827"/>
      <c r="AA161" s="827"/>
      <c r="AB161" s="827"/>
      <c r="AC161" s="827"/>
      <c r="AD161" s="827"/>
      <c r="AE161" s="827"/>
      <c r="AF161" s="827"/>
      <c r="AG161" s="827"/>
      <c r="AH161" s="827"/>
      <c r="AI161" s="827"/>
      <c r="AJ161" s="827"/>
    </row>
    <row r="162" spans="1:36" x14ac:dyDescent="0.25">
      <c r="A162" s="827"/>
      <c r="B162" s="827"/>
      <c r="C162" s="827">
        <f t="shared" si="85"/>
        <v>4</v>
      </c>
      <c r="D162" s="831" t="str">
        <f>+K110</f>
        <v>Other Non-Depreciable Capital Costs</v>
      </c>
      <c r="E162" s="843">
        <f ca="1">+Q48+C162/10000000000</f>
        <v>2.1621134547425984E-3</v>
      </c>
      <c r="F162" s="831">
        <f t="shared" ca="1" si="80"/>
        <v>11</v>
      </c>
      <c r="G162" s="836">
        <v>4</v>
      </c>
      <c r="H162" s="831" t="str">
        <f t="shared" ca="1" si="81"/>
        <v>Initial Equity Depreciable Capital</v>
      </c>
      <c r="I162" s="845">
        <f t="shared" ca="1" si="82"/>
        <v>0.13957089196592026</v>
      </c>
      <c r="J162" s="827"/>
      <c r="K162" s="831" t="str">
        <f t="shared" ca="1" si="76"/>
        <v>Initial Equity Depreciable Capital</v>
      </c>
      <c r="L162" s="831"/>
      <c r="M162" s="843">
        <f t="shared" ca="1" si="83"/>
        <v>0.13957089196592026</v>
      </c>
      <c r="N162" s="831" t="str">
        <f t="shared" ca="1" si="84"/>
        <v>Initial Equity Depreciable Capital</v>
      </c>
      <c r="O162" s="827"/>
      <c r="P162" s="827"/>
      <c r="Q162" s="827"/>
      <c r="R162" s="827"/>
      <c r="S162" s="827"/>
      <c r="T162" s="827"/>
      <c r="U162" s="827"/>
      <c r="V162" s="827"/>
      <c r="W162" s="827"/>
      <c r="X162" s="827"/>
      <c r="Y162" s="827"/>
      <c r="Z162" s="827"/>
      <c r="AA162" s="827"/>
      <c r="AB162" s="827"/>
      <c r="AC162" s="827"/>
      <c r="AD162" s="827"/>
      <c r="AE162" s="827"/>
      <c r="AF162" s="827"/>
      <c r="AG162" s="827"/>
      <c r="AH162" s="827"/>
      <c r="AI162" s="827"/>
      <c r="AJ162" s="827"/>
    </row>
    <row r="163" spans="1:36" x14ac:dyDescent="0.25">
      <c r="A163" s="827"/>
      <c r="B163" s="827"/>
      <c r="C163" s="827">
        <f t="shared" si="85"/>
        <v>5</v>
      </c>
      <c r="D163" s="831" t="str">
        <f>+L110</f>
        <v>Decommissioning Costs</v>
      </c>
      <c r="E163" s="843">
        <f ca="1">+R48+C163/10000000000</f>
        <v>1.3770106206159633E-3</v>
      </c>
      <c r="F163" s="831">
        <f t="shared" ca="1" si="80"/>
        <v>12</v>
      </c>
      <c r="G163" s="836">
        <v>5</v>
      </c>
      <c r="H163" s="831" t="str">
        <f t="shared" ca="1" si="81"/>
        <v>Debt Interest</v>
      </c>
      <c r="I163" s="845">
        <f t="shared" ca="1" si="82"/>
        <v>8.3427811068748803E-2</v>
      </c>
      <c r="J163" s="827"/>
      <c r="K163" s="831" t="str">
        <f t="shared" ca="1" si="76"/>
        <v>Debt Interest</v>
      </c>
      <c r="L163" s="831"/>
      <c r="M163" s="843">
        <f t="shared" ca="1" si="83"/>
        <v>8.3427811068748803E-2</v>
      </c>
      <c r="N163" s="831" t="str">
        <f t="shared" ca="1" si="84"/>
        <v>Debt Interest</v>
      </c>
      <c r="O163" s="827"/>
      <c r="P163" s="827"/>
      <c r="Q163" s="827"/>
      <c r="R163" s="827"/>
      <c r="S163" s="827"/>
      <c r="T163" s="827"/>
      <c r="U163" s="827"/>
      <c r="V163" s="827"/>
      <c r="W163" s="827"/>
      <c r="X163" s="827"/>
      <c r="Y163" s="827"/>
      <c r="Z163" s="827"/>
      <c r="AA163" s="827"/>
      <c r="AB163" s="827"/>
      <c r="AC163" s="827"/>
      <c r="AD163" s="827"/>
      <c r="AE163" s="827"/>
      <c r="AF163" s="827"/>
      <c r="AG163" s="827"/>
      <c r="AH163" s="827"/>
      <c r="AI163" s="827"/>
      <c r="AJ163" s="827"/>
    </row>
    <row r="164" spans="1:36" x14ac:dyDescent="0.25">
      <c r="A164" s="827"/>
      <c r="B164" s="827"/>
      <c r="C164" s="827">
        <f t="shared" si="85"/>
        <v>6</v>
      </c>
      <c r="D164" s="831" t="str">
        <f>+M110</f>
        <v>Fixed Operating Cost</v>
      </c>
      <c r="E164" s="843">
        <f ca="1">+S48+C164/10000000000</f>
        <v>0.15273691442688664</v>
      </c>
      <c r="F164" s="831">
        <f t="shared" ca="1" si="80"/>
        <v>3</v>
      </c>
      <c r="G164" s="836">
        <v>6</v>
      </c>
      <c r="H164" s="831" t="str">
        <f t="shared" ca="1" si="81"/>
        <v>Other Raw Material Cost</v>
      </c>
      <c r="I164" s="845">
        <f t="shared" ca="1" si="82"/>
        <v>2.3322527898303188E-2</v>
      </c>
      <c r="J164" s="827"/>
      <c r="K164" s="831" t="str">
        <f t="shared" ca="1" si="76"/>
        <v>Other Raw Material Cost</v>
      </c>
      <c r="L164" s="831"/>
      <c r="M164" s="843">
        <f t="shared" ca="1" si="83"/>
        <v>2.3322527898303188E-2</v>
      </c>
      <c r="N164" s="831" t="str">
        <f t="shared" ca="1" si="84"/>
        <v>Other Raw Material Cost</v>
      </c>
      <c r="O164" s="827"/>
      <c r="P164" s="827"/>
      <c r="Q164" s="827"/>
      <c r="R164" s="827"/>
      <c r="S164" s="827"/>
      <c r="T164" s="827"/>
      <c r="U164" s="827"/>
      <c r="V164" s="827"/>
      <c r="W164" s="827"/>
      <c r="X164" s="827"/>
      <c r="Y164" s="827"/>
      <c r="Z164" s="827"/>
      <c r="AA164" s="827"/>
      <c r="AB164" s="827"/>
      <c r="AC164" s="827"/>
      <c r="AD164" s="827"/>
      <c r="AE164" s="827"/>
      <c r="AF164" s="827"/>
      <c r="AG164" s="827"/>
      <c r="AH164" s="827"/>
      <c r="AI164" s="827"/>
      <c r="AJ164" s="827"/>
    </row>
    <row r="165" spans="1:36" x14ac:dyDescent="0.25">
      <c r="A165" s="827"/>
      <c r="B165" s="827"/>
      <c r="C165" s="827">
        <f t="shared" si="85"/>
        <v>7</v>
      </c>
      <c r="D165" s="831" t="str">
        <f>+N110</f>
        <v>Feedstock Cost</v>
      </c>
      <c r="E165" s="843">
        <f ca="1">+T48+C165/10000000000</f>
        <v>1.0713620735484386</v>
      </c>
      <c r="F165" s="831">
        <f t="shared" ca="1" si="80"/>
        <v>1</v>
      </c>
      <c r="G165" s="836">
        <v>7</v>
      </c>
      <c r="H165" s="831" t="str">
        <f t="shared" ca="1" si="81"/>
        <v>Cash for Working Capital Reserve</v>
      </c>
      <c r="I165" s="845">
        <f t="shared" ca="1" si="82"/>
        <v>1.982055177363554E-2</v>
      </c>
      <c r="J165" s="827"/>
      <c r="K165" s="831" t="str">
        <f t="shared" ca="1" si="76"/>
        <v>Cash for Working Capital Reserve</v>
      </c>
      <c r="L165" s="831"/>
      <c r="M165" s="843">
        <f t="shared" ca="1" si="83"/>
        <v>1.982055177363554E-2</v>
      </c>
      <c r="N165" s="831" t="str">
        <f t="shared" ca="1" si="84"/>
        <v>Cash for Working Capital Reserve</v>
      </c>
      <c r="O165" s="827"/>
      <c r="P165" s="827"/>
      <c r="Q165" s="827"/>
      <c r="R165" s="827"/>
      <c r="S165" s="827"/>
      <c r="T165" s="827"/>
      <c r="U165" s="827"/>
      <c r="V165" s="827"/>
      <c r="W165" s="827"/>
      <c r="X165" s="827"/>
      <c r="Y165" s="827"/>
      <c r="Z165" s="827"/>
      <c r="AA165" s="827"/>
      <c r="AB165" s="827"/>
      <c r="AC165" s="827"/>
      <c r="AD165" s="827"/>
      <c r="AE165" s="827"/>
      <c r="AF165" s="827"/>
      <c r="AG165" s="827"/>
      <c r="AH165" s="827"/>
      <c r="AI165" s="827"/>
      <c r="AJ165" s="827"/>
    </row>
    <row r="166" spans="1:36" x14ac:dyDescent="0.25">
      <c r="A166" s="827"/>
      <c r="B166" s="827"/>
      <c r="C166" s="827">
        <f t="shared" si="85"/>
        <v>8</v>
      </c>
      <c r="D166" s="831" t="str">
        <f>+O110</f>
        <v>Other Raw Material Cost</v>
      </c>
      <c r="E166" s="843">
        <f ca="1">+U48+C166/10000000000</f>
        <v>2.3322528698303188E-2</v>
      </c>
      <c r="F166" s="831">
        <f t="shared" ca="1" si="80"/>
        <v>6</v>
      </c>
      <c r="G166" s="836">
        <v>8</v>
      </c>
      <c r="H166" s="831" t="str">
        <f t="shared" ca="1" si="81"/>
        <v>Yearly Replacement Costs</v>
      </c>
      <c r="I166" s="845">
        <f t="shared" ca="1" si="82"/>
        <v>1.783617240376029E-2</v>
      </c>
      <c r="J166" s="827"/>
      <c r="K166" s="831" t="str">
        <f t="shared" ca="1" si="76"/>
        <v>Yearly Replacement Costs</v>
      </c>
      <c r="L166" s="831"/>
      <c r="M166" s="843">
        <f t="shared" ca="1" si="83"/>
        <v>1.783617240376029E-2</v>
      </c>
      <c r="N166" s="831" t="str">
        <f t="shared" ca="1" si="84"/>
        <v>Yearly Replacement Costs</v>
      </c>
      <c r="O166" s="827"/>
      <c r="P166" s="827"/>
      <c r="Q166" s="827"/>
      <c r="R166" s="827"/>
      <c r="S166" s="827"/>
      <c r="T166" s="827"/>
      <c r="U166" s="827"/>
      <c r="V166" s="827"/>
      <c r="W166" s="827"/>
      <c r="X166" s="827"/>
      <c r="Y166" s="827"/>
      <c r="Z166" s="827"/>
      <c r="AA166" s="827"/>
      <c r="AB166" s="827"/>
      <c r="AC166" s="827"/>
      <c r="AD166" s="827"/>
      <c r="AE166" s="827"/>
      <c r="AF166" s="827"/>
      <c r="AG166" s="827"/>
      <c r="AH166" s="827"/>
      <c r="AI166" s="827"/>
      <c r="AJ166" s="827"/>
    </row>
    <row r="167" spans="1:36" x14ac:dyDescent="0.25">
      <c r="A167" s="827"/>
      <c r="B167" s="827"/>
      <c r="C167" s="827">
        <f t="shared" si="85"/>
        <v>9</v>
      </c>
      <c r="D167" s="831" t="str">
        <f>+P110</f>
        <v>Other Variable Operating Costs</v>
      </c>
      <c r="E167" s="843">
        <f ca="1">+V48+C167/10000000000</f>
        <v>0.20589837088997062</v>
      </c>
      <c r="F167" s="831">
        <f t="shared" ca="1" si="80"/>
        <v>2</v>
      </c>
      <c r="G167" s="836">
        <v>9</v>
      </c>
      <c r="H167" s="831" t="str">
        <f t="shared" ca="1" si="81"/>
        <v>Taxes</v>
      </c>
      <c r="I167" s="845">
        <f t="shared" ca="1" si="82"/>
        <v>1.6358107275320492E-2</v>
      </c>
      <c r="J167" s="827"/>
      <c r="K167" s="831" t="str">
        <f t="shared" ca="1" si="76"/>
        <v>Taxes</v>
      </c>
      <c r="L167" s="831"/>
      <c r="M167" s="843">
        <f t="shared" ca="1" si="83"/>
        <v>1.6358107275320492E-2</v>
      </c>
      <c r="N167" s="831" t="str">
        <f t="shared" ca="1" si="84"/>
        <v>Taxes</v>
      </c>
      <c r="O167" s="827"/>
      <c r="P167" s="827"/>
      <c r="Q167" s="827"/>
      <c r="R167" s="827"/>
      <c r="S167" s="827"/>
      <c r="T167" s="827"/>
      <c r="U167" s="827"/>
      <c r="V167" s="827"/>
      <c r="W167" s="827"/>
      <c r="X167" s="827"/>
      <c r="Y167" s="827"/>
      <c r="Z167" s="827"/>
      <c r="AA167" s="827"/>
      <c r="AB167" s="827"/>
      <c r="AC167" s="827"/>
      <c r="AD167" s="827"/>
      <c r="AE167" s="827"/>
      <c r="AF167" s="827"/>
      <c r="AG167" s="827"/>
      <c r="AH167" s="827"/>
      <c r="AI167" s="827"/>
      <c r="AJ167" s="827"/>
    </row>
    <row r="168" spans="1:36" x14ac:dyDescent="0.25">
      <c r="A168" s="827"/>
      <c r="B168" s="827"/>
      <c r="C168" s="827">
        <f t="shared" si="85"/>
        <v>10</v>
      </c>
      <c r="D168" s="831" t="str">
        <f>+Q110</f>
        <v>Debt Interest</v>
      </c>
      <c r="E168" s="843">
        <f ca="1">+W48+C168/10000000000</f>
        <v>8.3427812068748802E-2</v>
      </c>
      <c r="F168" s="831">
        <f t="shared" ca="1" si="80"/>
        <v>5</v>
      </c>
      <c r="G168" s="836">
        <v>10</v>
      </c>
      <c r="H168" s="831" t="str">
        <f t="shared" ca="1" si="81"/>
        <v>Principal Payment</v>
      </c>
      <c r="I168" s="845">
        <f t="shared" ca="1" si="82"/>
        <v>3.7477676170523879E-3</v>
      </c>
      <c r="J168" s="827"/>
      <c r="K168" s="831" t="str">
        <f t="shared" ca="1" si="76"/>
        <v>Principal Payment</v>
      </c>
      <c r="L168" s="831"/>
      <c r="M168" s="843">
        <f t="shared" ca="1" si="83"/>
        <v>3.7477676170523879E-3</v>
      </c>
      <c r="N168" s="831" t="str">
        <f t="shared" ca="1" si="84"/>
        <v>Principal Payment</v>
      </c>
      <c r="O168" s="827"/>
      <c r="P168" s="827"/>
      <c r="Q168" s="827"/>
      <c r="R168" s="827"/>
      <c r="S168" s="827"/>
      <c r="T168" s="827"/>
      <c r="U168" s="827"/>
      <c r="V168" s="827"/>
      <c r="W168" s="827"/>
      <c r="X168" s="827"/>
      <c r="Y168" s="827"/>
      <c r="Z168" s="827"/>
      <c r="AA168" s="827"/>
      <c r="AB168" s="827"/>
      <c r="AC168" s="827"/>
      <c r="AD168" s="827"/>
      <c r="AE168" s="827"/>
      <c r="AF168" s="827"/>
      <c r="AG168" s="827"/>
      <c r="AH168" s="827"/>
      <c r="AI168" s="827"/>
      <c r="AJ168" s="827"/>
    </row>
    <row r="169" spans="1:36" x14ac:dyDescent="0.25">
      <c r="A169" s="827"/>
      <c r="B169" s="827"/>
      <c r="C169" s="827">
        <f t="shared" si="85"/>
        <v>11</v>
      </c>
      <c r="D169" s="831" t="str">
        <f>+R110</f>
        <v>Taxes</v>
      </c>
      <c r="E169" s="843">
        <f ca="1">+X48+C169/10000000000</f>
        <v>1.6358108375320493E-2</v>
      </c>
      <c r="F169" s="831">
        <f t="shared" ca="1" si="80"/>
        <v>9</v>
      </c>
      <c r="G169" s="836">
        <v>11</v>
      </c>
      <c r="H169" s="831" t="str">
        <f t="shared" ca="1" si="81"/>
        <v>Other Non-Depreciable Capital Costs</v>
      </c>
      <c r="I169" s="845">
        <f t="shared" ca="1" si="82"/>
        <v>2.1621130547425983E-3</v>
      </c>
      <c r="J169" s="827"/>
      <c r="K169" s="831" t="str">
        <f t="shared" ca="1" si="76"/>
        <v>Other Non-Depreciable Capital Costs</v>
      </c>
      <c r="L169" s="831"/>
      <c r="M169" s="843">
        <f t="shared" ca="1" si="83"/>
        <v>2.1621130547425983E-3</v>
      </c>
      <c r="N169" s="831" t="str">
        <f t="shared" ca="1" si="84"/>
        <v>Other Non-Depreciable Capital Costs</v>
      </c>
      <c r="O169" s="827"/>
      <c r="P169" s="827"/>
      <c r="Q169" s="827"/>
      <c r="R169" s="827"/>
      <c r="S169" s="827"/>
      <c r="T169" s="827"/>
      <c r="U169" s="827"/>
      <c r="V169" s="827"/>
      <c r="W169" s="827"/>
      <c r="X169" s="827"/>
      <c r="Y169" s="827"/>
      <c r="Z169" s="827"/>
      <c r="AA169" s="827"/>
      <c r="AB169" s="827"/>
      <c r="AC169" s="827"/>
      <c r="AD169" s="827"/>
      <c r="AE169" s="827"/>
      <c r="AF169" s="827"/>
      <c r="AG169" s="827"/>
      <c r="AH169" s="827"/>
      <c r="AI169" s="827"/>
      <c r="AJ169" s="827"/>
    </row>
    <row r="170" spans="1:36" x14ac:dyDescent="0.25">
      <c r="A170" s="827"/>
      <c r="B170" s="827"/>
      <c r="C170" s="827">
        <f t="shared" si="85"/>
        <v>12</v>
      </c>
      <c r="D170" s="831" t="str">
        <f>+S110</f>
        <v>Principal Payment</v>
      </c>
      <c r="E170" s="843">
        <f ca="1">+Y48+C170/10000000000</f>
        <v>3.7477688170523878E-3</v>
      </c>
      <c r="F170" s="831">
        <f t="shared" ca="1" si="80"/>
        <v>10</v>
      </c>
      <c r="G170" s="836">
        <v>12</v>
      </c>
      <c r="H170" s="831" t="str">
        <f t="shared" ca="1" si="81"/>
        <v>Decommissioning Costs</v>
      </c>
      <c r="I170" s="845">
        <f t="shared" ca="1" si="82"/>
        <v>1.3770101206159633E-3</v>
      </c>
      <c r="J170" s="827"/>
      <c r="K170" s="831" t="str">
        <f t="shared" ca="1" si="76"/>
        <v>Decommissioning Costs</v>
      </c>
      <c r="L170" s="831"/>
      <c r="M170" s="843">
        <f t="shared" ca="1" si="83"/>
        <v>1.3770101206159633E-3</v>
      </c>
      <c r="N170" s="831" t="str">
        <f t="shared" ca="1" si="84"/>
        <v>Decommissioning Costs</v>
      </c>
      <c r="O170" s="827"/>
      <c r="P170" s="827"/>
      <c r="Q170" s="827"/>
      <c r="R170" s="827"/>
      <c r="S170" s="827"/>
      <c r="T170" s="827"/>
      <c r="U170" s="827"/>
      <c r="V170" s="827"/>
      <c r="W170" s="827"/>
      <c r="X170" s="827"/>
      <c r="Y170" s="827"/>
      <c r="Z170" s="827"/>
      <c r="AA170" s="827"/>
      <c r="AB170" s="827"/>
      <c r="AC170" s="827"/>
      <c r="AD170" s="827"/>
      <c r="AE170" s="827"/>
      <c r="AF170" s="827"/>
      <c r="AG170" s="827"/>
      <c r="AH170" s="827"/>
      <c r="AI170" s="827"/>
      <c r="AJ170" s="827"/>
    </row>
    <row r="171" spans="1:36" x14ac:dyDescent="0.25">
      <c r="A171" s="827"/>
      <c r="B171" s="827"/>
      <c r="C171" s="827"/>
      <c r="D171" s="827"/>
      <c r="E171" s="827"/>
      <c r="F171" s="827"/>
      <c r="G171" s="827"/>
      <c r="H171" s="829"/>
      <c r="I171" s="827"/>
      <c r="J171" s="827"/>
      <c r="K171" s="830" t="s">
        <v>55</v>
      </c>
      <c r="L171" s="843">
        <f ca="1">+SUM(L155:L170)</f>
        <v>1.7376203098433967</v>
      </c>
      <c r="M171" s="843">
        <f ca="1">+SUM(M155:M170)</f>
        <v>1.7376203098433951</v>
      </c>
      <c r="N171" s="831" t="str">
        <f t="shared" ref="N171" ca="1" si="86">+IF(M171&lt;0.01,K171,"")</f>
        <v/>
      </c>
      <c r="O171" s="827"/>
      <c r="P171" s="827"/>
      <c r="Q171" s="827"/>
      <c r="R171" s="827"/>
      <c r="S171" s="827"/>
      <c r="T171" s="827"/>
      <c r="U171" s="827"/>
      <c r="V171" s="827"/>
      <c r="W171" s="827"/>
      <c r="X171" s="827"/>
      <c r="Y171" s="827"/>
      <c r="Z171" s="827"/>
      <c r="AA171" s="827"/>
      <c r="AB171" s="827"/>
      <c r="AC171" s="827"/>
      <c r="AD171" s="827"/>
      <c r="AE171" s="827"/>
      <c r="AF171" s="827"/>
      <c r="AG171" s="827"/>
      <c r="AH171" s="827"/>
      <c r="AI171" s="827"/>
      <c r="AJ171" s="827"/>
    </row>
    <row r="172" spans="1:36" x14ac:dyDescent="0.25">
      <c r="A172" s="827"/>
      <c r="B172" s="827"/>
      <c r="C172" s="827"/>
      <c r="E172" s="827"/>
      <c r="F172" s="827"/>
      <c r="G172" s="827"/>
      <c r="H172" s="827"/>
      <c r="I172" s="827"/>
      <c r="J172" s="827"/>
      <c r="K172" s="827"/>
      <c r="L172" s="827"/>
      <c r="M172" s="827"/>
      <c r="N172" s="827"/>
      <c r="O172" s="827"/>
      <c r="P172" s="827"/>
      <c r="Q172" s="827"/>
      <c r="R172" s="827"/>
      <c r="S172" s="827"/>
      <c r="T172" s="827"/>
      <c r="U172" s="827"/>
      <c r="V172" s="827"/>
      <c r="W172" s="827"/>
      <c r="X172" s="827"/>
      <c r="Y172" s="827"/>
      <c r="Z172" s="827"/>
      <c r="AA172" s="827"/>
      <c r="AB172" s="827"/>
      <c r="AC172" s="827"/>
      <c r="AD172" s="827"/>
      <c r="AE172" s="827"/>
      <c r="AF172" s="827"/>
      <c r="AG172" s="827"/>
      <c r="AH172" s="827"/>
      <c r="AI172" s="827"/>
      <c r="AJ172" s="827"/>
    </row>
    <row r="173" spans="1:36" x14ac:dyDescent="0.25">
      <c r="A173" s="827"/>
      <c r="B173" s="827"/>
      <c r="C173" s="827"/>
      <c r="D173" s="827"/>
      <c r="E173" s="827"/>
      <c r="F173" s="827"/>
      <c r="G173" s="827"/>
      <c r="H173" s="827"/>
      <c r="I173" s="827"/>
      <c r="J173" s="827"/>
      <c r="K173" s="827"/>
      <c r="L173" s="827"/>
      <c r="M173" s="827"/>
      <c r="N173" s="827"/>
      <c r="O173" s="827"/>
      <c r="P173" s="827"/>
      <c r="Q173" s="827"/>
      <c r="R173" s="827"/>
      <c r="S173" s="827"/>
      <c r="T173" s="827"/>
      <c r="U173" s="827"/>
      <c r="V173" s="827"/>
      <c r="W173" s="827"/>
      <c r="X173" s="827"/>
      <c r="Y173" s="827"/>
      <c r="Z173" s="827"/>
      <c r="AA173" s="827"/>
      <c r="AB173" s="827"/>
      <c r="AC173" s="827"/>
      <c r="AD173" s="827"/>
      <c r="AE173" s="827"/>
      <c r="AF173" s="827"/>
      <c r="AG173" s="827"/>
      <c r="AH173" s="827"/>
      <c r="AI173" s="827"/>
      <c r="AJ173" s="827"/>
    </row>
    <row r="174" spans="1:36" x14ac:dyDescent="0.25">
      <c r="A174" s="827"/>
      <c r="B174" s="829" t="s">
        <v>1155</v>
      </c>
      <c r="C174" s="827"/>
      <c r="D174" s="828" t="s">
        <v>1167</v>
      </c>
      <c r="E174" s="828" t="s">
        <v>1165</v>
      </c>
      <c r="F174" s="828" t="s">
        <v>1168</v>
      </c>
      <c r="G174" s="828" t="s">
        <v>1166</v>
      </c>
      <c r="H174" s="827"/>
      <c r="I174" s="827"/>
      <c r="J174" s="827"/>
      <c r="K174" s="827"/>
      <c r="L174" s="827"/>
      <c r="M174" s="828"/>
      <c r="N174" s="828"/>
      <c r="O174" s="827"/>
      <c r="P174" s="827"/>
      <c r="Q174" s="827"/>
      <c r="R174" s="827"/>
      <c r="S174" s="827"/>
      <c r="T174" s="827"/>
      <c r="U174" s="827"/>
      <c r="V174" s="827"/>
      <c r="W174" s="827"/>
      <c r="X174" s="827"/>
      <c r="Y174" s="827"/>
      <c r="Z174" s="827"/>
      <c r="AA174" s="827"/>
      <c r="AB174" s="827"/>
      <c r="AC174" s="827"/>
      <c r="AD174" s="827"/>
      <c r="AE174" s="827"/>
      <c r="AF174" s="827"/>
      <c r="AG174" s="827"/>
      <c r="AH174" s="827"/>
      <c r="AI174" s="827"/>
      <c r="AJ174" s="827"/>
    </row>
    <row r="175" spans="1:36" x14ac:dyDescent="0.25">
      <c r="A175" s="827"/>
      <c r="B175">
        <v>0</v>
      </c>
      <c r="C175" s="830" t="s">
        <v>1156</v>
      </c>
      <c r="D175" s="843">
        <f>+K51</f>
        <v>1.7365211887771219</v>
      </c>
      <c r="E175" s="843">
        <f>+D175</f>
        <v>1.7365211887771219</v>
      </c>
      <c r="F175" s="843"/>
      <c r="G175" s="843"/>
      <c r="H175" s="827"/>
      <c r="I175" s="827"/>
      <c r="J175" s="827"/>
      <c r="K175" s="827"/>
      <c r="L175" s="827"/>
      <c r="M175" s="954"/>
      <c r="N175" s="954"/>
      <c r="O175" s="827"/>
      <c r="P175" s="827"/>
      <c r="Q175" s="827"/>
      <c r="R175" s="827"/>
      <c r="S175" s="827"/>
      <c r="T175" s="827"/>
      <c r="U175" s="827"/>
      <c r="V175" s="827"/>
      <c r="W175" s="827"/>
      <c r="X175" s="827"/>
      <c r="Y175" s="827"/>
      <c r="Z175" s="827"/>
      <c r="AA175" s="827"/>
      <c r="AB175" s="827"/>
      <c r="AC175" s="827"/>
      <c r="AD175" s="827"/>
      <c r="AE175" s="827"/>
      <c r="AF175" s="827"/>
      <c r="AG175" s="827"/>
      <c r="AH175" s="827"/>
      <c r="AI175" s="827"/>
      <c r="AJ175" s="827"/>
    </row>
    <row r="176" spans="1:36" x14ac:dyDescent="0.25">
      <c r="A176" s="827"/>
      <c r="B176" s="827">
        <v>1</v>
      </c>
      <c r="C176" s="831" t="str">
        <f ca="1">OFFSET($B$50,0,MATCH($B176,$C$72:$I$72,0))&amp;
IF(OFFSET($F$2,MATCH($B176,$C$72:$I$72,0),0)&lt;1,
"
= "&amp;OFFSET($F$2,MATCH($B176,$C$72:$I$72,0),0)*100-100,
"
= +"&amp;OFFSET($F$2,MATCH($B176,$C$72:$I$72,0),0)*100-100)
&amp;"%"</f>
        <v>Operating capacity factor
= +5%</v>
      </c>
      <c r="D176" s="843">
        <f>+K66</f>
        <v>1.7105620579941494</v>
      </c>
      <c r="E176" s="843">
        <f t="shared" ref="E176:E181" si="87">+E175+G175-F176</f>
        <v>1.7105620579941494</v>
      </c>
      <c r="F176" s="843">
        <f>+MAX(D175-D176,0)</f>
        <v>2.5959130782972517E-2</v>
      </c>
      <c r="G176" s="843">
        <f>+MAX(D176-D175,0)</f>
        <v>0</v>
      </c>
      <c r="H176" s="827"/>
      <c r="I176" s="827"/>
      <c r="J176" s="827"/>
      <c r="K176" s="827"/>
      <c r="L176" s="827"/>
      <c r="M176" s="954"/>
      <c r="N176" s="954"/>
      <c r="O176" s="827"/>
      <c r="P176" s="827"/>
      <c r="Q176" s="827"/>
      <c r="R176" s="827"/>
      <c r="S176" s="827"/>
      <c r="T176" s="827"/>
      <c r="U176" s="827"/>
      <c r="V176" s="827"/>
      <c r="W176" s="827"/>
      <c r="X176" s="827"/>
      <c r="Y176" s="827"/>
      <c r="Z176" s="827"/>
      <c r="AA176" s="827"/>
      <c r="AB176" s="827"/>
      <c r="AC176" s="827"/>
      <c r="AD176" s="827"/>
      <c r="AE176" s="827"/>
      <c r="AF176" s="827"/>
      <c r="AG176" s="827"/>
      <c r="AH176" s="827"/>
      <c r="AI176" s="827"/>
      <c r="AJ176" s="827"/>
    </row>
    <row r="177" spans="1:36" x14ac:dyDescent="0.25">
      <c r="A177" s="827"/>
      <c r="B177" s="827">
        <v>2</v>
      </c>
      <c r="C177" s="831" t="str">
        <f ca="1">OFFSET($B$50,0,MATCH($B177,$C$72:$I$72,0))&amp;
IF(OFFSET($F$2,MATCH($B177,$C$72:$I$72,0),0)&lt;1,
"
= "&amp;OFFSET($F$2,MATCH($B177,$C$72:$I$72,0),0)*100-100,
"
= +"&amp;OFFSET($F$2,MATCH($B177,$C$72:$I$72,0),0)*100-100)
&amp;"%"</f>
        <v>Total capital investment ($)
= -5%</v>
      </c>
      <c r="D177" s="843">
        <f>+K67</f>
        <v>1.6959460133626425</v>
      </c>
      <c r="E177" s="843">
        <f t="shared" si="87"/>
        <v>1.6959460133626425</v>
      </c>
      <c r="F177" s="843">
        <f>+MAX(D176-D177,0)</f>
        <v>1.4616044631506897E-2</v>
      </c>
      <c r="G177" s="843">
        <f>+MAX(D177-D176,0)</f>
        <v>0</v>
      </c>
      <c r="H177" s="827"/>
      <c r="I177" s="827"/>
      <c r="J177" s="827"/>
      <c r="K177" s="827"/>
      <c r="L177" s="827"/>
      <c r="M177" s="954"/>
      <c r="N177" s="954"/>
      <c r="O177" s="827"/>
      <c r="P177" s="827"/>
      <c r="Q177" s="827"/>
      <c r="R177" s="827"/>
      <c r="S177" s="827"/>
      <c r="T177" s="827"/>
      <c r="U177" s="827"/>
      <c r="V177" s="827"/>
      <c r="W177" s="827"/>
      <c r="X177" s="827"/>
      <c r="Y177" s="827"/>
      <c r="Z177" s="827"/>
      <c r="AA177" s="827"/>
      <c r="AB177" s="827"/>
      <c r="AC177" s="827"/>
      <c r="AD177" s="827"/>
      <c r="AE177" s="827"/>
      <c r="AF177" s="827"/>
      <c r="AG177" s="827"/>
      <c r="AH177" s="827"/>
      <c r="AI177" s="827"/>
      <c r="AJ177" s="827"/>
    </row>
    <row r="178" spans="1:36" x14ac:dyDescent="0.25">
      <c r="A178" s="827"/>
      <c r="B178" s="827">
        <v>3</v>
      </c>
      <c r="C178" s="831" t="str">
        <f ca="1">OFFSET($B$50,0,MATCH($B178,$C$72:$I$72,0))&amp;
IF(OFFSET($F$2,MATCH($B178,$C$72:$I$72,0),0)&lt;1,
"
= "&amp;OFFSET($F$2,MATCH($B178,$C$72:$I$72,0),0)*100-100,
"
= +"&amp;OFFSET($F$2,MATCH($B178,$C$72:$I$72,0),0)*100-100)
&amp;"%"</f>
        <v>Total fixed operating cost ($/year)
= -5%</v>
      </c>
      <c r="D178" s="843">
        <f>+K68</f>
        <v>1.6887132185633427</v>
      </c>
      <c r="E178" s="843">
        <f t="shared" si="87"/>
        <v>1.6887132185633427</v>
      </c>
      <c r="F178" s="843">
        <f>+MAX(D177-D178,0)</f>
        <v>7.2327947992998354E-3</v>
      </c>
      <c r="G178" s="843">
        <f>+MAX(D178-D177,0)</f>
        <v>0</v>
      </c>
      <c r="H178" s="827"/>
      <c r="I178" s="827"/>
      <c r="J178" s="827"/>
      <c r="K178" s="827"/>
      <c r="L178" s="827"/>
      <c r="M178" s="954"/>
      <c r="N178" s="954"/>
      <c r="O178" s="827"/>
      <c r="P178" s="827"/>
      <c r="Q178" s="827"/>
      <c r="R178" s="827"/>
      <c r="S178" s="827"/>
      <c r="T178" s="827"/>
      <c r="U178" s="827"/>
      <c r="V178" s="827"/>
      <c r="W178" s="827"/>
      <c r="X178" s="827"/>
      <c r="Y178" s="827"/>
      <c r="Z178" s="827"/>
      <c r="AA178" s="827"/>
      <c r="AB178" s="827"/>
      <c r="AC178" s="827"/>
      <c r="AD178" s="827"/>
      <c r="AE178" s="827"/>
      <c r="AF178" s="827"/>
      <c r="AG178" s="827"/>
      <c r="AH178" s="827"/>
      <c r="AI178" s="827"/>
      <c r="AJ178" s="827"/>
    </row>
    <row r="179" spans="1:36" x14ac:dyDescent="0.25">
      <c r="A179" s="827"/>
      <c r="B179" s="827">
        <v>4</v>
      </c>
      <c r="C179" s="831" t="e">
        <f ca="1">OFFSET($B$50,0,MATCH($B179,$C$72:$I$72,0))&amp;
IF(OFFSET($F$2,MATCH($B179,$C$72:$I$72,0),0)&lt;1,
"
= "&amp;OFFSET($F$2,MATCH($B179,$C$72:$I$72,0),0)*100-100,
"
= +"&amp;OFFSET($F$2,MATCH($B179,$C$72:$I$72,0),0)*100-100)
&amp;"%"</f>
        <v>#N/A</v>
      </c>
      <c r="D179" s="843">
        <f>+K69</f>
        <v>1.6887132185633427</v>
      </c>
      <c r="E179" s="843">
        <f t="shared" si="87"/>
        <v>1.6887132185633427</v>
      </c>
      <c r="F179" s="843">
        <f>+MAX(D178-D179,0)</f>
        <v>0</v>
      </c>
      <c r="G179" s="843">
        <f>+MAX(D179-D178,0)</f>
        <v>0</v>
      </c>
      <c r="H179" s="827"/>
      <c r="I179" s="827"/>
      <c r="J179" s="827"/>
      <c r="K179" s="827"/>
      <c r="L179" s="827"/>
      <c r="M179" s="954"/>
      <c r="N179" s="954"/>
      <c r="O179" s="827"/>
      <c r="P179" s="827"/>
      <c r="Q179" s="827"/>
      <c r="R179" s="827"/>
      <c r="S179" s="827"/>
      <c r="T179" s="827"/>
      <c r="U179" s="827"/>
      <c r="V179" s="827"/>
      <c r="W179" s="827"/>
      <c r="X179" s="827"/>
      <c r="Y179" s="827"/>
      <c r="Z179" s="827"/>
      <c r="AA179" s="827"/>
      <c r="AB179" s="827"/>
      <c r="AC179" s="827"/>
      <c r="AD179" s="827"/>
      <c r="AE179" s="827"/>
      <c r="AF179" s="827"/>
      <c r="AG179" s="827"/>
      <c r="AH179" s="827"/>
      <c r="AI179" s="827"/>
      <c r="AJ179" s="827"/>
    </row>
    <row r="180" spans="1:36" x14ac:dyDescent="0.25">
      <c r="A180" s="827"/>
      <c r="B180" s="827">
        <v>5</v>
      </c>
      <c r="C180" s="831" t="str">
        <f ca="1">OFFSET($B$50,0,MATCH($B180,$C$72:$I$72,0))&amp;
IF(OFFSET($F$2,MATCH($B180,$C$72:$I$72,0),0)&lt;1,
"
= "&amp;OFFSET($F$2,MATCH($B180,$C$72:$I$72,0),0)*100-100,
"
= +"&amp;OFFSET($F$2,MATCH($B180,$C$72:$I$72,0),0)*100-100)
&amp;"%"</f>
        <v>Feedstock consumption (% of most likely value)
= -5%</v>
      </c>
      <c r="D180" s="843">
        <f>+K70</f>
        <v>1.6887132185633427</v>
      </c>
      <c r="E180" s="843">
        <f t="shared" si="87"/>
        <v>1.6887132185633427</v>
      </c>
      <c r="F180" s="843">
        <f>+MAX(D179-D180,0)</f>
        <v>0</v>
      </c>
      <c r="G180" s="843">
        <f>+MAX(D180-D179,0)</f>
        <v>0</v>
      </c>
      <c r="H180" s="827"/>
      <c r="I180" s="827"/>
      <c r="J180" s="827"/>
      <c r="K180" s="827"/>
      <c r="L180" s="827"/>
      <c r="M180" s="954"/>
      <c r="N180" s="954"/>
      <c r="O180" s="827"/>
      <c r="P180" s="827"/>
      <c r="Q180" s="827"/>
      <c r="R180" s="827"/>
      <c r="S180" s="827"/>
      <c r="T180" s="827"/>
      <c r="U180" s="827"/>
      <c r="V180" s="827"/>
      <c r="W180" s="827"/>
      <c r="X180" s="827"/>
      <c r="Y180" s="827"/>
      <c r="Z180" s="827"/>
      <c r="AA180" s="827"/>
      <c r="AB180" s="827"/>
      <c r="AC180" s="827"/>
      <c r="AD180" s="827"/>
      <c r="AE180" s="827"/>
      <c r="AF180" s="827"/>
      <c r="AG180" s="827"/>
      <c r="AH180" s="827"/>
      <c r="AI180" s="827"/>
      <c r="AJ180" s="827"/>
    </row>
    <row r="181" spans="1:36" x14ac:dyDescent="0.25">
      <c r="A181" s="827"/>
      <c r="B181" s="827">
        <v>6</v>
      </c>
      <c r="C181" s="830" t="s">
        <v>1163</v>
      </c>
      <c r="D181" s="843">
        <f>+K70</f>
        <v>1.6887132185633427</v>
      </c>
      <c r="E181" s="843">
        <f t="shared" si="87"/>
        <v>1.6887132185633427</v>
      </c>
      <c r="F181" s="843"/>
      <c r="G181" s="843"/>
      <c r="H181" s="827"/>
      <c r="I181" s="827"/>
      <c r="J181" s="827"/>
      <c r="K181" s="827"/>
      <c r="L181" s="827"/>
      <c r="M181" s="954"/>
      <c r="N181" s="954"/>
      <c r="O181" s="827"/>
      <c r="P181" s="827"/>
      <c r="Q181" s="827"/>
      <c r="R181" s="827"/>
      <c r="S181" s="827"/>
      <c r="T181" s="827"/>
      <c r="U181" s="827"/>
      <c r="V181" s="827"/>
      <c r="W181" s="827"/>
      <c r="X181" s="827"/>
      <c r="Y181" s="827"/>
      <c r="Z181" s="827"/>
      <c r="AA181" s="827"/>
      <c r="AB181" s="827"/>
      <c r="AC181" s="827"/>
      <c r="AD181" s="827"/>
      <c r="AE181" s="827"/>
      <c r="AF181" s="827"/>
      <c r="AG181" s="827"/>
      <c r="AH181" s="827"/>
      <c r="AI181" s="827"/>
      <c r="AJ181" s="827"/>
    </row>
    <row r="182" spans="1:36" x14ac:dyDescent="0.25">
      <c r="A182" s="827"/>
      <c r="B182" s="827"/>
      <c r="C182" s="827"/>
      <c r="D182" s="827"/>
      <c r="E182" s="827"/>
      <c r="F182" s="827"/>
      <c r="G182" s="827"/>
      <c r="H182" s="827"/>
      <c r="I182" s="827"/>
      <c r="J182" s="827"/>
      <c r="K182" s="827"/>
      <c r="L182" s="827"/>
      <c r="M182" s="827"/>
      <c r="N182" s="827"/>
      <c r="O182" s="827"/>
      <c r="P182" s="827"/>
      <c r="Q182" s="827"/>
      <c r="R182" s="827"/>
      <c r="S182" s="827"/>
      <c r="T182" s="827"/>
      <c r="U182" s="827"/>
      <c r="V182" s="827"/>
      <c r="W182" s="827"/>
      <c r="X182" s="827"/>
      <c r="Y182" s="827"/>
      <c r="Z182" s="827"/>
      <c r="AA182" s="827"/>
      <c r="AB182" s="827"/>
      <c r="AC182" s="827"/>
      <c r="AD182" s="827"/>
      <c r="AE182" s="827"/>
      <c r="AF182" s="827"/>
      <c r="AG182" s="827"/>
      <c r="AH182" s="827"/>
      <c r="AI182" s="827"/>
      <c r="AJ182" s="827"/>
    </row>
    <row r="183" spans="1:36" x14ac:dyDescent="0.25">
      <c r="A183" s="827"/>
      <c r="B183" s="827"/>
      <c r="C183" s="827"/>
      <c r="D183" s="827"/>
      <c r="E183" s="827"/>
      <c r="F183" s="827"/>
      <c r="G183" s="827"/>
      <c r="H183" s="827"/>
      <c r="I183" s="827"/>
      <c r="J183" s="827"/>
      <c r="K183" s="827"/>
      <c r="L183" s="827"/>
      <c r="M183" s="827"/>
      <c r="N183" s="827"/>
      <c r="O183" s="827"/>
      <c r="P183" s="827"/>
      <c r="Q183" s="827"/>
      <c r="R183" s="827"/>
      <c r="S183" s="827"/>
      <c r="T183" s="827"/>
      <c r="U183" s="827"/>
      <c r="V183" s="827"/>
      <c r="W183" s="827"/>
      <c r="X183" s="827"/>
      <c r="Y183" s="827"/>
      <c r="Z183" s="827"/>
      <c r="AA183" s="827"/>
      <c r="AB183" s="827"/>
      <c r="AC183" s="827"/>
      <c r="AD183" s="827"/>
      <c r="AE183" s="827"/>
      <c r="AF183" s="827"/>
      <c r="AG183" s="827"/>
      <c r="AH183" s="827"/>
      <c r="AI183" s="827"/>
      <c r="AJ183" s="827"/>
    </row>
    <row r="184" spans="1:36" x14ac:dyDescent="0.25">
      <c r="A184" s="827"/>
      <c r="B184" s="827"/>
      <c r="C184" s="827"/>
      <c r="D184" s="827"/>
      <c r="E184" s="827"/>
      <c r="F184" s="827"/>
      <c r="G184" s="827"/>
      <c r="H184" s="827"/>
      <c r="I184" s="827"/>
      <c r="J184" s="827"/>
      <c r="K184" s="827"/>
      <c r="L184" s="827"/>
      <c r="M184" s="827"/>
      <c r="N184" s="827"/>
      <c r="O184" s="827"/>
      <c r="P184" s="827"/>
      <c r="Q184" s="827"/>
      <c r="R184" s="827"/>
      <c r="S184" s="827"/>
      <c r="T184" s="827"/>
      <c r="U184" s="827"/>
      <c r="V184" s="827"/>
      <c r="W184" s="827"/>
      <c r="X184" s="827"/>
      <c r="Y184" s="827"/>
      <c r="Z184" s="827"/>
      <c r="AA184" s="827"/>
      <c r="AB184" s="827"/>
      <c r="AC184" s="827"/>
      <c r="AD184" s="827"/>
      <c r="AE184" s="827"/>
      <c r="AF184" s="827"/>
      <c r="AG184" s="827"/>
      <c r="AH184" s="827"/>
      <c r="AI184" s="827"/>
      <c r="AJ184" s="827"/>
    </row>
    <row r="185" spans="1:36" x14ac:dyDescent="0.25">
      <c r="A185" s="827"/>
      <c r="B185" s="827"/>
      <c r="C185" s="827"/>
      <c r="D185" s="827"/>
      <c r="E185" s="827"/>
      <c r="F185" s="827"/>
      <c r="G185" s="827"/>
      <c r="H185" s="827"/>
      <c r="I185" s="827"/>
      <c r="J185" s="827"/>
      <c r="K185" s="827"/>
      <c r="L185" s="827"/>
      <c r="M185" s="827"/>
      <c r="N185" s="827"/>
      <c r="O185" s="827"/>
      <c r="P185" s="827"/>
      <c r="Q185" s="827"/>
      <c r="R185" s="827"/>
      <c r="S185" s="827"/>
      <c r="T185" s="827"/>
      <c r="U185" s="827"/>
      <c r="V185" s="827"/>
      <c r="W185" s="827"/>
      <c r="X185" s="827"/>
      <c r="Y185" s="827"/>
      <c r="Z185" s="827"/>
      <c r="AA185" s="827"/>
      <c r="AB185" s="827"/>
      <c r="AC185" s="827"/>
      <c r="AD185" s="827"/>
      <c r="AE185" s="827"/>
      <c r="AF185" s="827"/>
      <c r="AG185" s="827"/>
      <c r="AH185" s="827"/>
      <c r="AI185" s="827"/>
      <c r="AJ185" s="827"/>
    </row>
    <row r="186" spans="1:36" x14ac:dyDescent="0.25">
      <c r="A186" s="827"/>
      <c r="B186" s="827"/>
      <c r="C186" s="827"/>
      <c r="D186" s="827"/>
      <c r="E186" s="827"/>
      <c r="F186" s="827"/>
      <c r="G186" s="827"/>
      <c r="H186" s="827"/>
      <c r="I186" s="827"/>
      <c r="J186" s="827"/>
      <c r="K186" s="827"/>
      <c r="L186" s="827"/>
      <c r="M186" s="827"/>
      <c r="N186" s="827"/>
      <c r="O186" s="827"/>
      <c r="P186" s="827"/>
      <c r="Q186" s="827"/>
      <c r="R186" s="827"/>
      <c r="S186" s="827"/>
      <c r="T186" s="827"/>
      <c r="U186" s="827"/>
      <c r="V186" s="827"/>
      <c r="W186" s="827"/>
      <c r="X186" s="827"/>
      <c r="Y186" s="827"/>
      <c r="Z186" s="827"/>
      <c r="AA186" s="827"/>
      <c r="AB186" s="827"/>
      <c r="AC186" s="827"/>
      <c r="AD186" s="827"/>
      <c r="AE186" s="827"/>
      <c r="AF186" s="827"/>
      <c r="AG186" s="827"/>
      <c r="AH186" s="827"/>
      <c r="AI186" s="827"/>
      <c r="AJ186" s="827"/>
    </row>
    <row r="187" spans="1:36" x14ac:dyDescent="0.25">
      <c r="A187" s="827"/>
      <c r="B187" s="827"/>
      <c r="C187" s="827"/>
      <c r="D187" s="827"/>
      <c r="E187" s="827"/>
      <c r="F187" s="827"/>
      <c r="G187" s="827"/>
      <c r="H187" s="827"/>
      <c r="I187" s="827"/>
      <c r="J187" s="827"/>
      <c r="K187" s="827"/>
      <c r="L187" s="827"/>
      <c r="M187" s="827"/>
      <c r="N187" s="827"/>
      <c r="O187" s="827"/>
      <c r="P187" s="827"/>
      <c r="Q187" s="827"/>
      <c r="R187" s="827"/>
      <c r="S187" s="827"/>
      <c r="T187" s="827"/>
      <c r="U187" s="827"/>
      <c r="V187" s="827"/>
      <c r="W187" s="827"/>
      <c r="X187" s="827"/>
      <c r="Y187" s="827"/>
      <c r="Z187" s="827"/>
      <c r="AA187" s="827"/>
      <c r="AB187" s="827"/>
      <c r="AC187" s="827"/>
      <c r="AD187" s="827"/>
      <c r="AE187" s="827"/>
      <c r="AF187" s="827"/>
      <c r="AG187" s="827"/>
      <c r="AH187" s="827"/>
      <c r="AI187" s="827"/>
      <c r="AJ187" s="827"/>
    </row>
    <row r="188" spans="1:36" x14ac:dyDescent="0.25">
      <c r="A188" s="827"/>
      <c r="B188" s="827"/>
      <c r="C188" s="827"/>
      <c r="D188" s="827"/>
      <c r="E188" s="827"/>
      <c r="F188" s="827"/>
      <c r="G188" s="827"/>
      <c r="H188" s="827"/>
      <c r="I188" s="827"/>
      <c r="J188" s="827"/>
      <c r="K188" s="827"/>
      <c r="L188" s="827"/>
      <c r="M188" s="827"/>
      <c r="N188" s="827"/>
      <c r="O188" s="827"/>
      <c r="P188" s="827"/>
      <c r="Q188" s="827"/>
      <c r="R188" s="827"/>
      <c r="S188" s="827"/>
      <c r="T188" s="827"/>
      <c r="U188" s="827"/>
      <c r="V188" s="827"/>
      <c r="W188" s="827"/>
      <c r="X188" s="827"/>
      <c r="Y188" s="827"/>
      <c r="Z188" s="827"/>
      <c r="AA188" s="827"/>
      <c r="AB188" s="827"/>
      <c r="AC188" s="827"/>
      <c r="AD188" s="827"/>
      <c r="AE188" s="827"/>
      <c r="AF188" s="827"/>
      <c r="AG188" s="827"/>
      <c r="AH188" s="827"/>
      <c r="AI188" s="827"/>
      <c r="AJ188" s="827"/>
    </row>
    <row r="189" spans="1:36" x14ac:dyDescent="0.25">
      <c r="A189" s="827"/>
      <c r="B189" s="1062" t="s">
        <v>1198</v>
      </c>
      <c r="C189" s="1063">
        <f>+MIN(F3:G3)</f>
        <v>0.95</v>
      </c>
      <c r="D189" s="1063">
        <f>+MIN(F4:G4)</f>
        <v>0.95</v>
      </c>
      <c r="E189" s="1063">
        <f>+MIN(F5:G5)</f>
        <v>0.95</v>
      </c>
      <c r="F189" s="1063">
        <f>+MIN(F6:G6)</f>
        <v>0.95</v>
      </c>
      <c r="G189" s="1063">
        <f>+MIN(F7:G7)</f>
        <v>0.95</v>
      </c>
      <c r="H189" s="1063">
        <f>+MIN(F8:G8)</f>
        <v>0.95</v>
      </c>
      <c r="I189" s="1063">
        <f>+MIN(F9:G9)</f>
        <v>0.95</v>
      </c>
      <c r="J189" s="827"/>
      <c r="K189" s="827"/>
      <c r="L189" s="827"/>
      <c r="M189" s="827"/>
      <c r="N189" s="827"/>
      <c r="O189" s="827"/>
      <c r="P189" s="827"/>
      <c r="Q189" s="827"/>
      <c r="R189" s="827"/>
      <c r="S189" s="827"/>
      <c r="T189" s="827"/>
      <c r="U189" s="827"/>
      <c r="V189" s="827"/>
      <c r="W189" s="827"/>
      <c r="X189" s="827"/>
      <c r="Y189" s="827"/>
      <c r="Z189" s="827"/>
      <c r="AA189" s="827"/>
      <c r="AB189" s="827"/>
      <c r="AC189" s="827"/>
      <c r="AD189" s="827"/>
      <c r="AE189" s="827"/>
      <c r="AF189" s="827"/>
      <c r="AG189" s="827"/>
      <c r="AH189" s="827"/>
      <c r="AI189" s="827"/>
      <c r="AJ189" s="827"/>
    </row>
    <row r="190" spans="1:36" x14ac:dyDescent="0.25">
      <c r="A190" s="827"/>
      <c r="B190" s="1062" t="s">
        <v>1200</v>
      </c>
      <c r="C190" s="1064">
        <v>1</v>
      </c>
      <c r="D190" s="1064">
        <v>1</v>
      </c>
      <c r="E190" s="1064">
        <v>1</v>
      </c>
      <c r="F190" s="1064">
        <v>1</v>
      </c>
      <c r="G190" s="1064">
        <v>1</v>
      </c>
      <c r="H190" s="1064">
        <v>1</v>
      </c>
      <c r="I190" s="1064">
        <v>1</v>
      </c>
      <c r="J190" s="827"/>
      <c r="K190" s="827"/>
      <c r="L190" s="827"/>
      <c r="M190" s="827"/>
      <c r="N190" s="827"/>
      <c r="O190" s="827"/>
      <c r="P190" s="827"/>
      <c r="Q190" s="827"/>
      <c r="R190" s="827"/>
      <c r="S190" s="827"/>
      <c r="T190" s="827"/>
      <c r="U190" s="827"/>
      <c r="V190" s="827"/>
      <c r="W190" s="827"/>
      <c r="X190" s="827"/>
      <c r="Y190" s="827"/>
      <c r="Z190" s="827"/>
      <c r="AA190" s="827"/>
      <c r="AB190" s="827"/>
      <c r="AC190" s="827"/>
      <c r="AD190" s="827"/>
      <c r="AE190" s="827"/>
      <c r="AF190" s="827"/>
      <c r="AG190" s="827"/>
      <c r="AH190" s="827"/>
      <c r="AI190" s="827"/>
      <c r="AJ190" s="827"/>
    </row>
    <row r="191" spans="1:36" x14ac:dyDescent="0.25">
      <c r="A191" s="827"/>
      <c r="B191" s="1062" t="s">
        <v>1199</v>
      </c>
      <c r="C191" s="1063">
        <f>+MAX(F3:G3)</f>
        <v>1.05</v>
      </c>
      <c r="D191" s="1063">
        <f>+MAX(F4:G4)</f>
        <v>1.05</v>
      </c>
      <c r="E191" s="1063">
        <f>+MAX(F5:G5)</f>
        <v>1.05</v>
      </c>
      <c r="F191" s="1063">
        <f>+MAX(F6:G6)</f>
        <v>1.05</v>
      </c>
      <c r="G191" s="1063">
        <f>+MAX(F7:G7)</f>
        <v>1.05</v>
      </c>
      <c r="H191" s="1063">
        <f>+MAX(F8:G8)</f>
        <v>1.05</v>
      </c>
      <c r="I191" s="1063">
        <f>+MAX(F9:G9)</f>
        <v>1.05</v>
      </c>
      <c r="J191" s="827"/>
      <c r="K191" s="827"/>
      <c r="L191" s="827"/>
      <c r="M191" s="827"/>
      <c r="N191" s="827"/>
      <c r="O191" s="827"/>
      <c r="P191" s="827"/>
      <c r="Q191" s="827"/>
      <c r="R191" s="827"/>
      <c r="S191" s="827"/>
      <c r="T191" s="827"/>
      <c r="U191" s="827"/>
      <c r="V191" s="827"/>
      <c r="W191" s="827"/>
      <c r="X191" s="827"/>
      <c r="Y191" s="827"/>
      <c r="Z191" s="827"/>
      <c r="AA191" s="827"/>
      <c r="AB191" s="827"/>
      <c r="AC191" s="827"/>
      <c r="AD191" s="827"/>
      <c r="AE191" s="827"/>
      <c r="AF191" s="827"/>
      <c r="AG191" s="827"/>
      <c r="AH191" s="827"/>
      <c r="AI191" s="827"/>
      <c r="AJ191" s="827"/>
    </row>
    <row r="192" spans="1:36" x14ac:dyDescent="0.25">
      <c r="A192" s="827"/>
      <c r="B192" s="827"/>
      <c r="C192" s="827"/>
      <c r="D192" s="827"/>
      <c r="E192" s="827"/>
      <c r="F192" s="827"/>
      <c r="G192" s="827"/>
      <c r="H192" s="827"/>
      <c r="I192" s="827"/>
      <c r="J192" s="827"/>
      <c r="K192" s="827"/>
      <c r="L192" s="827"/>
      <c r="M192" s="827"/>
      <c r="N192" s="827"/>
      <c r="O192" s="827"/>
      <c r="P192" s="827"/>
      <c r="Q192" s="827"/>
      <c r="R192" s="827"/>
      <c r="S192" s="827"/>
      <c r="T192" s="827"/>
      <c r="U192" s="827"/>
      <c r="V192" s="827"/>
      <c r="W192" s="827"/>
      <c r="X192" s="827"/>
      <c r="Y192" s="827"/>
      <c r="Z192" s="827"/>
      <c r="AA192" s="827"/>
      <c r="AB192" s="827"/>
      <c r="AC192" s="827"/>
      <c r="AD192" s="827"/>
      <c r="AE192" s="827"/>
      <c r="AF192" s="827"/>
      <c r="AG192" s="827"/>
      <c r="AH192" s="827"/>
      <c r="AI192" s="827"/>
      <c r="AJ192" s="827"/>
    </row>
    <row r="193" spans="1:36" x14ac:dyDescent="0.25">
      <c r="A193" s="827"/>
      <c r="B193" s="827"/>
      <c r="C193" s="827"/>
      <c r="D193" s="827"/>
      <c r="E193" s="827"/>
      <c r="F193" s="827"/>
      <c r="G193" s="827"/>
      <c r="H193" s="827"/>
      <c r="I193" s="827"/>
      <c r="J193" s="827"/>
      <c r="K193" s="827"/>
      <c r="L193" s="827"/>
      <c r="M193" s="827"/>
      <c r="N193" s="827"/>
      <c r="O193" s="827"/>
      <c r="P193" s="827"/>
      <c r="Q193" s="827"/>
      <c r="R193" s="827"/>
      <c r="S193" s="827"/>
      <c r="T193" s="827"/>
      <c r="U193" s="827"/>
      <c r="V193" s="827"/>
      <c r="W193" s="827"/>
      <c r="X193" s="827"/>
      <c r="Y193" s="827"/>
      <c r="Z193" s="827"/>
      <c r="AA193" s="827"/>
      <c r="AB193" s="827"/>
      <c r="AC193" s="827"/>
      <c r="AD193" s="827"/>
      <c r="AE193" s="827"/>
      <c r="AF193" s="827"/>
      <c r="AG193" s="827"/>
      <c r="AH193" s="827"/>
      <c r="AI193" s="827"/>
      <c r="AJ193" s="827"/>
    </row>
    <row r="194" spans="1:36" x14ac:dyDescent="0.25">
      <c r="A194" s="827"/>
      <c r="B194" s="828" t="s">
        <v>1206</v>
      </c>
      <c r="C194" s="827">
        <f>+MATCH(R12,C50:Y50,0)</f>
        <v>9</v>
      </c>
      <c r="D194" s="827"/>
      <c r="E194" s="827"/>
      <c r="F194" s="827"/>
      <c r="G194" s="827"/>
      <c r="H194" s="827"/>
      <c r="I194" s="827"/>
      <c r="J194" s="827"/>
      <c r="K194" s="827"/>
      <c r="L194" s="827"/>
      <c r="M194" s="827"/>
      <c r="N194" s="827"/>
      <c r="O194" s="827"/>
      <c r="P194" s="827"/>
      <c r="Q194" s="827"/>
      <c r="R194" s="827"/>
      <c r="S194" s="827"/>
      <c r="T194" s="827"/>
      <c r="U194" s="827"/>
      <c r="V194" s="827"/>
      <c r="W194" s="827"/>
      <c r="X194" s="827"/>
      <c r="Y194" s="827"/>
      <c r="Z194" s="827"/>
      <c r="AA194" s="827"/>
      <c r="AB194" s="827"/>
      <c r="AC194" s="827"/>
      <c r="AD194" s="827"/>
      <c r="AE194" s="827"/>
      <c r="AF194" s="827"/>
      <c r="AG194" s="827"/>
      <c r="AH194" s="827"/>
      <c r="AI194" s="827"/>
      <c r="AJ194" s="827"/>
    </row>
    <row r="195" spans="1:36" x14ac:dyDescent="0.25">
      <c r="A195" s="827"/>
      <c r="B195" s="828" t="s">
        <v>1202</v>
      </c>
      <c r="C195" s="827">
        <f ca="1">+MIN(OFFSET($B$251:$B$2250,0,C194))</f>
        <v>1.6952405926418359</v>
      </c>
      <c r="D195" s="827"/>
      <c r="E195" s="827"/>
      <c r="F195" s="827"/>
      <c r="G195" s="827"/>
      <c r="H195" s="827"/>
      <c r="I195" s="827"/>
      <c r="J195" s="827"/>
      <c r="K195" s="827"/>
      <c r="L195" s="827"/>
      <c r="M195" s="827"/>
      <c r="N195" s="827"/>
      <c r="O195" s="827"/>
      <c r="P195" s="827"/>
      <c r="Q195" s="827"/>
      <c r="R195" s="827"/>
      <c r="S195" s="827"/>
      <c r="T195" s="827"/>
      <c r="U195" s="827"/>
      <c r="V195" s="827"/>
      <c r="W195" s="827"/>
      <c r="X195" s="827"/>
      <c r="Y195" s="827"/>
      <c r="Z195" s="827"/>
      <c r="AA195" s="827"/>
      <c r="AB195" s="827"/>
      <c r="AC195" s="827"/>
      <c r="AD195" s="827"/>
      <c r="AE195" s="827"/>
      <c r="AF195" s="827"/>
      <c r="AG195" s="827"/>
      <c r="AH195" s="827"/>
      <c r="AI195" s="827"/>
      <c r="AJ195" s="827"/>
    </row>
    <row r="196" spans="1:36" x14ac:dyDescent="0.25">
      <c r="A196" s="827"/>
      <c r="B196" s="828" t="s">
        <v>1207</v>
      </c>
      <c r="C196" s="827">
        <f ca="1">+MAX(OFFSET($B$251:$B$2250,0,C194))</f>
        <v>1.7887762870839352</v>
      </c>
      <c r="D196" s="827"/>
      <c r="E196" s="827"/>
      <c r="F196" s="827"/>
      <c r="G196" s="827"/>
      <c r="H196" s="827"/>
      <c r="I196" s="827"/>
      <c r="J196" s="827"/>
      <c r="K196" s="827"/>
      <c r="L196" s="827"/>
      <c r="M196" s="827"/>
      <c r="N196" s="827"/>
      <c r="O196" s="827"/>
      <c r="P196" s="827"/>
      <c r="Q196" s="827"/>
      <c r="R196" s="827"/>
      <c r="S196" s="827"/>
      <c r="T196" s="827"/>
      <c r="U196" s="827"/>
      <c r="V196" s="827"/>
      <c r="W196" s="827"/>
      <c r="X196" s="827"/>
      <c r="Y196" s="827"/>
      <c r="Z196" s="827"/>
      <c r="AA196" s="827"/>
      <c r="AB196" s="827"/>
      <c r="AC196" s="827"/>
      <c r="AD196" s="827"/>
      <c r="AE196" s="827"/>
      <c r="AF196" s="827"/>
      <c r="AG196" s="827"/>
      <c r="AH196" s="827"/>
      <c r="AI196" s="827"/>
      <c r="AJ196" s="827"/>
    </row>
    <row r="197" spans="1:36" x14ac:dyDescent="0.25">
      <c r="A197" s="827"/>
      <c r="B197" s="828" t="s">
        <v>1209</v>
      </c>
      <c r="C197" s="827">
        <f ca="1">+C196-C195</f>
        <v>9.3535694442099304E-2</v>
      </c>
      <c r="D197" s="827"/>
      <c r="E197" s="827"/>
      <c r="F197" s="827"/>
      <c r="G197" s="827"/>
      <c r="H197" s="827"/>
      <c r="I197" s="827"/>
      <c r="J197" s="827"/>
      <c r="K197" s="827"/>
      <c r="L197" s="827"/>
      <c r="M197" s="827"/>
      <c r="N197" s="827"/>
      <c r="O197" s="827"/>
      <c r="P197" s="827"/>
      <c r="Q197" s="827"/>
      <c r="R197" s="827"/>
      <c r="S197" s="827"/>
      <c r="T197" s="827"/>
      <c r="U197" s="827"/>
      <c r="V197" s="827"/>
      <c r="W197" s="827"/>
      <c r="X197" s="827"/>
      <c r="Y197" s="827"/>
      <c r="Z197" s="827"/>
      <c r="AA197" s="827"/>
      <c r="AB197" s="827"/>
      <c r="AC197" s="827"/>
      <c r="AD197" s="827"/>
      <c r="AE197" s="827"/>
      <c r="AF197" s="827"/>
      <c r="AG197" s="827"/>
      <c r="AH197" s="827"/>
      <c r="AI197" s="827"/>
      <c r="AJ197" s="827"/>
    </row>
    <row r="198" spans="1:36" x14ac:dyDescent="0.25">
      <c r="A198" s="827"/>
      <c r="B198" s="828" t="s">
        <v>1208</v>
      </c>
      <c r="C198" s="827">
        <f ca="1">+OFFSET(B199,0,C194)</f>
        <v>1</v>
      </c>
      <c r="D198" s="827"/>
      <c r="E198" s="827"/>
      <c r="F198" s="827"/>
      <c r="G198" s="827"/>
      <c r="H198" s="827"/>
      <c r="I198" s="827"/>
      <c r="J198" s="827"/>
      <c r="K198" s="827"/>
      <c r="L198" s="827"/>
      <c r="M198" s="827"/>
      <c r="N198" s="827"/>
      <c r="O198" s="827"/>
      <c r="P198" s="827"/>
      <c r="Q198" s="827"/>
      <c r="R198" s="827"/>
      <c r="S198" s="827"/>
      <c r="T198" s="827"/>
      <c r="U198" s="827"/>
      <c r="V198" s="827"/>
      <c r="W198" s="827"/>
      <c r="X198" s="827"/>
      <c r="Y198" s="827"/>
      <c r="Z198" s="827"/>
      <c r="AA198" s="827"/>
      <c r="AB198" s="827"/>
      <c r="AC198" s="827"/>
      <c r="AD198" s="827"/>
      <c r="AE198" s="827"/>
      <c r="AF198" s="827"/>
      <c r="AG198" s="827"/>
      <c r="AH198" s="827"/>
      <c r="AI198" s="827"/>
      <c r="AJ198" s="827"/>
    </row>
    <row r="199" spans="1:36" x14ac:dyDescent="0.25">
      <c r="A199" s="827"/>
      <c r="B199" s="828" t="s">
        <v>1208</v>
      </c>
      <c r="C199" s="1060">
        <f ca="1">+C3</f>
        <v>0.9</v>
      </c>
      <c r="D199" s="1067">
        <f ca="1">+C4</f>
        <v>660000</v>
      </c>
      <c r="E199" s="1060">
        <f ca="1">+C5</f>
        <v>0.08</v>
      </c>
      <c r="F199" s="1060">
        <f>+C6</f>
        <v>1</v>
      </c>
      <c r="G199" s="1060">
        <f>+C7</f>
        <v>1</v>
      </c>
      <c r="H199" s="1067">
        <f ca="1">+C8</f>
        <v>778204523.70143759</v>
      </c>
      <c r="I199" s="1067">
        <f ca="1">+C9</f>
        <v>33114890.286807273</v>
      </c>
      <c r="J199" s="827"/>
      <c r="K199" s="827">
        <v>1</v>
      </c>
      <c r="L199" s="827">
        <v>1</v>
      </c>
      <c r="M199" s="827">
        <v>1</v>
      </c>
      <c r="N199" s="827">
        <v>1</v>
      </c>
      <c r="O199" s="827">
        <v>1</v>
      </c>
      <c r="P199" s="827">
        <v>1</v>
      </c>
      <c r="Q199" s="827">
        <v>1</v>
      </c>
      <c r="R199" s="827">
        <v>1</v>
      </c>
      <c r="S199" s="827">
        <v>1</v>
      </c>
      <c r="T199" s="827">
        <v>1</v>
      </c>
      <c r="U199" s="827">
        <v>1</v>
      </c>
      <c r="V199" s="827">
        <v>1</v>
      </c>
      <c r="W199" s="827">
        <v>1</v>
      </c>
      <c r="X199" s="827">
        <v>1</v>
      </c>
      <c r="Y199" s="827"/>
      <c r="Z199" s="827"/>
      <c r="AA199" s="827"/>
      <c r="AB199" s="827"/>
      <c r="AC199" s="827"/>
      <c r="AD199" s="827"/>
      <c r="AE199" s="827"/>
      <c r="AF199" s="827"/>
      <c r="AG199" s="827"/>
      <c r="AH199" s="827"/>
      <c r="AI199" s="827"/>
      <c r="AJ199" s="827"/>
    </row>
    <row r="200" spans="1:36" x14ac:dyDescent="0.25">
      <c r="A200" s="827"/>
      <c r="B200" s="828" t="s">
        <v>1205</v>
      </c>
      <c r="C200" s="827"/>
      <c r="D200" s="827"/>
      <c r="E200" s="827"/>
      <c r="F200" s="827"/>
      <c r="G200" s="827"/>
      <c r="H200" s="827"/>
      <c r="I200" s="827"/>
      <c r="J200" s="827"/>
      <c r="K200" s="827"/>
      <c r="L200" s="827"/>
      <c r="M200" s="827"/>
      <c r="N200" s="827"/>
      <c r="O200" s="827"/>
      <c r="P200" s="827"/>
      <c r="Q200" s="827"/>
      <c r="R200" s="827"/>
      <c r="S200" s="827"/>
      <c r="T200" s="827"/>
      <c r="U200" s="827"/>
      <c r="V200" s="827"/>
      <c r="W200" s="827"/>
      <c r="X200" s="827"/>
      <c r="Y200" s="827"/>
      <c r="Z200" s="827"/>
      <c r="AA200" s="827"/>
      <c r="AB200" s="827"/>
      <c r="AC200" s="827"/>
      <c r="AD200" s="827"/>
      <c r="AE200" s="827"/>
      <c r="AF200" s="827"/>
      <c r="AG200" s="827"/>
      <c r="AH200" s="827"/>
      <c r="AI200" s="827"/>
      <c r="AJ200" s="827"/>
    </row>
    <row r="201" spans="1:36" x14ac:dyDescent="0.25">
      <c r="A201" s="827"/>
      <c r="B201" s="828" t="s">
        <v>1202</v>
      </c>
      <c r="C201" s="828" t="s">
        <v>1203</v>
      </c>
      <c r="D201" s="827"/>
      <c r="E201" s="828" t="s">
        <v>1210</v>
      </c>
      <c r="F201" s="828" t="s">
        <v>1211</v>
      </c>
      <c r="G201" s="828" t="s">
        <v>1212</v>
      </c>
      <c r="H201" s="828" t="s">
        <v>1213</v>
      </c>
      <c r="I201" s="828" t="s">
        <v>1214</v>
      </c>
      <c r="J201" s="827"/>
      <c r="K201" s="827"/>
      <c r="L201" s="827"/>
      <c r="M201" s="827"/>
      <c r="N201" s="827"/>
      <c r="O201" s="827"/>
      <c r="P201" s="827"/>
      <c r="Q201" s="827"/>
      <c r="R201" s="827"/>
      <c r="S201" s="827"/>
      <c r="T201" s="827"/>
      <c r="U201" s="827"/>
      <c r="V201" s="827"/>
      <c r="W201" s="827"/>
      <c r="X201" s="827"/>
      <c r="Y201" s="827"/>
      <c r="Z201" s="827"/>
      <c r="AA201" s="827"/>
      <c r="AB201" s="827"/>
      <c r="AC201" s="827"/>
      <c r="AD201" s="827"/>
      <c r="AE201" s="827"/>
      <c r="AF201" s="827"/>
      <c r="AG201" s="827"/>
      <c r="AH201" s="827"/>
      <c r="AI201" s="827"/>
      <c r="AJ201" s="827"/>
    </row>
    <row r="202" spans="1:36" x14ac:dyDescent="0.25">
      <c r="A202" s="827"/>
      <c r="B202" s="832">
        <f ca="1">+C195</f>
        <v>1.6952405926418359</v>
      </c>
      <c r="C202" s="1065">
        <f ca="1">+B202+($C$197/20)</f>
        <v>1.6999173773639409</v>
      </c>
      <c r="D202" s="827">
        <f t="shared" ref="D202:D221" ca="1" si="88">+COUNTIFS(OFFSET(B$251:B$2250,0,$C$194),"&gt;="&amp;$B202,
OFFSET(B$251:B$2250,0,$C$194),"&lt;="&amp;$C202)</f>
        <v>4</v>
      </c>
      <c r="E202" s="1068">
        <f ca="1">+B202*$C$198</f>
        <v>1.6952405926418359</v>
      </c>
      <c r="F202" s="1068">
        <f ca="1">+C202*$C$198</f>
        <v>1.6999173773639409</v>
      </c>
      <c r="G202" s="1067">
        <f ca="1">+AVERAGE(E202:F202)</f>
        <v>1.6975789850028884</v>
      </c>
      <c r="H202" s="827">
        <f ca="1">+D202/$D$223</f>
        <v>2E-3</v>
      </c>
      <c r="I202" s="827">
        <f ca="1">+H202</f>
        <v>2E-3</v>
      </c>
      <c r="J202" s="827"/>
      <c r="K202" s="827"/>
      <c r="L202" s="827"/>
      <c r="M202" s="827"/>
      <c r="N202" s="827"/>
      <c r="O202" s="827"/>
      <c r="P202" s="827"/>
      <c r="Q202" s="827"/>
      <c r="R202" s="827"/>
      <c r="S202" s="827"/>
      <c r="T202" s="827"/>
      <c r="U202" s="827"/>
      <c r="V202" s="827"/>
      <c r="W202" s="827"/>
      <c r="X202" s="827"/>
      <c r="Y202" s="827"/>
      <c r="Z202" s="827"/>
      <c r="AA202" s="827"/>
      <c r="AB202" s="827"/>
      <c r="AC202" s="827"/>
      <c r="AD202" s="827"/>
      <c r="AE202" s="827"/>
      <c r="AF202" s="827"/>
      <c r="AG202" s="827"/>
      <c r="AH202" s="827"/>
      <c r="AI202" s="827"/>
      <c r="AJ202" s="827"/>
    </row>
    <row r="203" spans="1:36" x14ac:dyDescent="0.25">
      <c r="A203" s="827"/>
      <c r="B203" s="832">
        <f ca="1">+C202</f>
        <v>1.6999173773639409</v>
      </c>
      <c r="C203" s="1065">
        <f t="shared" ref="C203:C220" ca="1" si="89">+B203+($C$197/20)</f>
        <v>1.7045941620860459</v>
      </c>
      <c r="D203" s="827">
        <f t="shared" ca="1" si="88"/>
        <v>15</v>
      </c>
      <c r="E203" s="1068">
        <f t="shared" ref="E203:E221" ca="1" si="90">+B203*$C$198</f>
        <v>1.6999173773639409</v>
      </c>
      <c r="F203" s="1068">
        <f t="shared" ref="F203:F222" ca="1" si="91">+C203*$C$198</f>
        <v>1.7045941620860459</v>
      </c>
      <c r="G203" s="1067">
        <f t="shared" ref="G203:G222" ca="1" si="92">+AVERAGE(E203:F203)</f>
        <v>1.7022557697249934</v>
      </c>
      <c r="H203" s="827">
        <f t="shared" ref="H203:H221" ca="1" si="93">+D203/$D$223</f>
        <v>7.4999999999999997E-3</v>
      </c>
      <c r="I203" s="827">
        <f ca="1">+I202+H203</f>
        <v>9.4999999999999998E-3</v>
      </c>
      <c r="J203" s="827"/>
      <c r="K203" s="827"/>
      <c r="L203" s="827"/>
      <c r="M203" s="827"/>
      <c r="N203" s="827"/>
      <c r="O203" s="827"/>
      <c r="P203" s="827"/>
      <c r="Q203" s="827"/>
      <c r="R203" s="827"/>
      <c r="S203" s="827"/>
      <c r="T203" s="827"/>
      <c r="U203" s="827"/>
      <c r="V203" s="827"/>
      <c r="W203" s="827"/>
      <c r="X203" s="827"/>
      <c r="Y203" s="827"/>
      <c r="Z203" s="827"/>
      <c r="AA203" s="827"/>
      <c r="AB203" s="827"/>
      <c r="AC203" s="827"/>
      <c r="AD203" s="827"/>
      <c r="AE203" s="827"/>
      <c r="AF203" s="827"/>
      <c r="AG203" s="827"/>
      <c r="AH203" s="827"/>
      <c r="AI203" s="827"/>
      <c r="AJ203" s="827"/>
    </row>
    <row r="204" spans="1:36" x14ac:dyDescent="0.25">
      <c r="A204" s="827"/>
      <c r="B204" s="832">
        <f t="shared" ref="B204:B221" ca="1" si="94">+C203</f>
        <v>1.7045941620860459</v>
      </c>
      <c r="C204" s="1065">
        <f t="shared" ca="1" si="89"/>
        <v>1.7092709468081508</v>
      </c>
      <c r="D204" s="827">
        <f t="shared" ca="1" si="88"/>
        <v>35</v>
      </c>
      <c r="E204" s="1068">
        <f t="shared" ca="1" si="90"/>
        <v>1.7045941620860459</v>
      </c>
      <c r="F204" s="1068">
        <f t="shared" ca="1" si="91"/>
        <v>1.7092709468081508</v>
      </c>
      <c r="G204" s="1067">
        <f t="shared" ca="1" si="92"/>
        <v>1.7069325544470983</v>
      </c>
      <c r="H204" s="827">
        <f t="shared" ca="1" si="93"/>
        <v>1.7500000000000002E-2</v>
      </c>
      <c r="I204" s="827">
        <f t="shared" ref="I204:I221" ca="1" si="95">+I203+H204</f>
        <v>2.7000000000000003E-2</v>
      </c>
      <c r="J204" s="827"/>
      <c r="K204" s="827"/>
      <c r="L204" s="827"/>
      <c r="M204" s="827"/>
      <c r="N204" s="827"/>
      <c r="O204" s="827"/>
      <c r="P204" s="827"/>
      <c r="Q204" s="827"/>
      <c r="R204" s="827"/>
      <c r="S204" s="827"/>
      <c r="T204" s="827"/>
      <c r="U204" s="827"/>
      <c r="V204" s="827"/>
      <c r="W204" s="827"/>
      <c r="X204" s="827"/>
      <c r="Y204" s="827"/>
      <c r="Z204" s="827"/>
      <c r="AA204" s="827"/>
      <c r="AB204" s="827"/>
      <c r="AC204" s="827"/>
      <c r="AD204" s="827"/>
      <c r="AE204" s="827"/>
      <c r="AF204" s="827"/>
      <c r="AG204" s="827"/>
      <c r="AH204" s="827"/>
      <c r="AI204" s="827"/>
      <c r="AJ204" s="827"/>
    </row>
    <row r="205" spans="1:36" x14ac:dyDescent="0.25">
      <c r="A205" s="827"/>
      <c r="B205" s="832">
        <f t="shared" ca="1" si="94"/>
        <v>1.7092709468081508</v>
      </c>
      <c r="C205" s="1065">
        <f t="shared" ca="1" si="89"/>
        <v>1.7139477315302558</v>
      </c>
      <c r="D205" s="827">
        <f t="shared" ca="1" si="88"/>
        <v>66</v>
      </c>
      <c r="E205" s="1068">
        <f t="shared" ca="1" si="90"/>
        <v>1.7092709468081508</v>
      </c>
      <c r="F205" s="1068">
        <f t="shared" ca="1" si="91"/>
        <v>1.7139477315302558</v>
      </c>
      <c r="G205" s="1067">
        <f t="shared" ca="1" si="92"/>
        <v>1.7116093391692033</v>
      </c>
      <c r="H205" s="827">
        <f t="shared" ca="1" si="93"/>
        <v>3.3000000000000002E-2</v>
      </c>
      <c r="I205" s="827">
        <f t="shared" ca="1" si="95"/>
        <v>6.0000000000000005E-2</v>
      </c>
      <c r="J205" s="827"/>
      <c r="K205" s="827"/>
      <c r="L205" s="827"/>
      <c r="M205" s="827"/>
      <c r="N205" s="827"/>
      <c r="O205" s="827"/>
      <c r="P205" s="827"/>
      <c r="Q205" s="827"/>
      <c r="R205" s="827"/>
      <c r="S205" s="827"/>
      <c r="T205" s="827"/>
      <c r="U205" s="827"/>
      <c r="V205" s="827"/>
      <c r="W205" s="827"/>
      <c r="X205" s="827"/>
      <c r="Y205" s="827"/>
      <c r="Z205" s="827"/>
      <c r="AA205" s="827"/>
      <c r="AB205" s="827"/>
      <c r="AC205" s="827"/>
      <c r="AD205" s="827"/>
      <c r="AE205" s="827"/>
      <c r="AF205" s="827"/>
      <c r="AG205" s="827"/>
      <c r="AH205" s="827"/>
      <c r="AI205" s="827"/>
      <c r="AJ205" s="827"/>
    </row>
    <row r="206" spans="1:36" x14ac:dyDescent="0.25">
      <c r="A206" s="827"/>
      <c r="B206" s="832">
        <f t="shared" ca="1" si="94"/>
        <v>1.7139477315302558</v>
      </c>
      <c r="C206" s="1065">
        <f t="shared" ca="1" si="89"/>
        <v>1.7186245162523608</v>
      </c>
      <c r="D206" s="827">
        <f t="shared" ca="1" si="88"/>
        <v>107</v>
      </c>
      <c r="E206" s="1068">
        <f t="shared" ca="1" si="90"/>
        <v>1.7139477315302558</v>
      </c>
      <c r="F206" s="1068">
        <f t="shared" ca="1" si="91"/>
        <v>1.7186245162523608</v>
      </c>
      <c r="G206" s="1067">
        <f t="shared" ca="1" si="92"/>
        <v>1.7162861238913083</v>
      </c>
      <c r="H206" s="827">
        <f t="shared" ca="1" si="93"/>
        <v>5.3499999999999999E-2</v>
      </c>
      <c r="I206" s="827">
        <f t="shared" ca="1" si="95"/>
        <v>0.1135</v>
      </c>
      <c r="J206" s="827"/>
      <c r="K206" s="827"/>
      <c r="L206" s="827"/>
      <c r="M206" s="827"/>
      <c r="N206" s="827"/>
      <c r="O206" s="827"/>
      <c r="P206" s="827"/>
      <c r="Q206" s="827"/>
      <c r="R206" s="827"/>
      <c r="S206" s="827"/>
      <c r="T206" s="827"/>
      <c r="U206" s="827"/>
      <c r="V206" s="827"/>
      <c r="W206" s="827"/>
      <c r="X206" s="827"/>
      <c r="Y206" s="827"/>
      <c r="Z206" s="827"/>
      <c r="AA206" s="827"/>
      <c r="AB206" s="827"/>
      <c r="AC206" s="827"/>
      <c r="AD206" s="827"/>
      <c r="AE206" s="827"/>
      <c r="AF206" s="827"/>
      <c r="AG206" s="827"/>
      <c r="AH206" s="827"/>
      <c r="AI206" s="827"/>
      <c r="AJ206" s="827"/>
    </row>
    <row r="207" spans="1:36" x14ac:dyDescent="0.25">
      <c r="A207" s="827"/>
      <c r="B207" s="832">
        <f t="shared" ca="1" si="94"/>
        <v>1.7186245162523608</v>
      </c>
      <c r="C207" s="1065">
        <f t="shared" ca="1" si="89"/>
        <v>1.7233013009744658</v>
      </c>
      <c r="D207" s="827">
        <f t="shared" ca="1" si="88"/>
        <v>138</v>
      </c>
      <c r="E207" s="1068">
        <f t="shared" ca="1" si="90"/>
        <v>1.7186245162523608</v>
      </c>
      <c r="F207" s="1068">
        <f t="shared" ca="1" si="91"/>
        <v>1.7233013009744658</v>
      </c>
      <c r="G207" s="1067">
        <f t="shared" ca="1" si="92"/>
        <v>1.7209629086134133</v>
      </c>
      <c r="H207" s="827">
        <f t="shared" ca="1" si="93"/>
        <v>6.9000000000000006E-2</v>
      </c>
      <c r="I207" s="827">
        <f t="shared" ca="1" si="95"/>
        <v>0.1825</v>
      </c>
      <c r="J207" s="827"/>
      <c r="K207" s="827"/>
      <c r="L207" s="827"/>
      <c r="M207" s="827"/>
      <c r="N207" s="827"/>
      <c r="O207" s="827"/>
      <c r="P207" s="827"/>
      <c r="Q207" s="827"/>
      <c r="R207" s="827"/>
      <c r="S207" s="827"/>
      <c r="T207" s="827"/>
      <c r="U207" s="827"/>
      <c r="V207" s="827"/>
      <c r="W207" s="827"/>
      <c r="X207" s="827"/>
      <c r="Y207" s="827"/>
      <c r="Z207" s="827"/>
      <c r="AA207" s="827"/>
      <c r="AB207" s="827"/>
      <c r="AC207" s="827"/>
      <c r="AD207" s="827"/>
      <c r="AE207" s="827"/>
      <c r="AF207" s="827"/>
      <c r="AG207" s="827"/>
      <c r="AH207" s="827"/>
      <c r="AI207" s="827"/>
      <c r="AJ207" s="827"/>
    </row>
    <row r="208" spans="1:36" x14ac:dyDescent="0.25">
      <c r="A208" s="827"/>
      <c r="B208" s="832">
        <f t="shared" ca="1" si="94"/>
        <v>1.7233013009744658</v>
      </c>
      <c r="C208" s="1065">
        <f t="shared" ca="1" si="89"/>
        <v>1.7279780856965707</v>
      </c>
      <c r="D208" s="827">
        <f t="shared" ca="1" si="88"/>
        <v>195</v>
      </c>
      <c r="E208" s="1068">
        <f t="shared" ca="1" si="90"/>
        <v>1.7233013009744658</v>
      </c>
      <c r="F208" s="1068">
        <f t="shared" ca="1" si="91"/>
        <v>1.7279780856965707</v>
      </c>
      <c r="G208" s="1067">
        <f t="shared" ca="1" si="92"/>
        <v>1.7256396933355183</v>
      </c>
      <c r="H208" s="827">
        <f t="shared" ca="1" si="93"/>
        <v>9.7500000000000003E-2</v>
      </c>
      <c r="I208" s="827">
        <f t="shared" ca="1" si="95"/>
        <v>0.28000000000000003</v>
      </c>
      <c r="J208" s="827"/>
      <c r="K208" s="827"/>
      <c r="L208" s="827"/>
      <c r="M208" s="827"/>
      <c r="N208" s="827"/>
      <c r="O208" s="827"/>
      <c r="P208" s="827"/>
      <c r="Q208" s="827"/>
      <c r="R208" s="827"/>
      <c r="S208" s="827"/>
      <c r="T208" s="827"/>
      <c r="U208" s="827"/>
      <c r="V208" s="827"/>
      <c r="W208" s="827"/>
      <c r="X208" s="827"/>
      <c r="Y208" s="827"/>
      <c r="Z208" s="827"/>
      <c r="AA208" s="827"/>
      <c r="AB208" s="827"/>
      <c r="AC208" s="827"/>
      <c r="AD208" s="827"/>
      <c r="AE208" s="827"/>
      <c r="AF208" s="827"/>
      <c r="AG208" s="827"/>
      <c r="AH208" s="827"/>
      <c r="AI208" s="827"/>
      <c r="AJ208" s="827"/>
    </row>
    <row r="209" spans="1:36" x14ac:dyDescent="0.25">
      <c r="A209" s="827"/>
      <c r="B209" s="832">
        <f t="shared" ca="1" si="94"/>
        <v>1.7279780856965707</v>
      </c>
      <c r="C209" s="1065">
        <f t="shared" ca="1" si="89"/>
        <v>1.7326548704186757</v>
      </c>
      <c r="D209" s="827">
        <f t="shared" ca="1" si="88"/>
        <v>227</v>
      </c>
      <c r="E209" s="1068">
        <f t="shared" ca="1" si="90"/>
        <v>1.7279780856965707</v>
      </c>
      <c r="F209" s="1068">
        <f t="shared" ca="1" si="91"/>
        <v>1.7326548704186757</v>
      </c>
      <c r="G209" s="1067">
        <f t="shared" ca="1" si="92"/>
        <v>1.7303164780576232</v>
      </c>
      <c r="H209" s="827">
        <f t="shared" ca="1" si="93"/>
        <v>0.1135</v>
      </c>
      <c r="I209" s="827">
        <f t="shared" ca="1" si="95"/>
        <v>0.39350000000000002</v>
      </c>
      <c r="J209" s="827"/>
      <c r="K209" s="827"/>
      <c r="L209" s="827"/>
      <c r="M209" s="827"/>
      <c r="N209" s="827"/>
      <c r="O209" s="827"/>
      <c r="P209" s="827"/>
      <c r="Q209" s="827"/>
      <c r="R209" s="827"/>
      <c r="S209" s="827"/>
      <c r="T209" s="827"/>
      <c r="U209" s="827"/>
      <c r="V209" s="827"/>
      <c r="W209" s="827"/>
      <c r="X209" s="827"/>
      <c r="Y209" s="827"/>
      <c r="Z209" s="827"/>
      <c r="AA209" s="827"/>
      <c r="AB209" s="827"/>
      <c r="AC209" s="827"/>
      <c r="AD209" s="827"/>
      <c r="AE209" s="827"/>
      <c r="AF209" s="827"/>
      <c r="AG209" s="827"/>
      <c r="AH209" s="827"/>
      <c r="AI209" s="827"/>
      <c r="AJ209" s="827"/>
    </row>
    <row r="210" spans="1:36" x14ac:dyDescent="0.25">
      <c r="A210" s="827"/>
      <c r="B210" s="832">
        <f t="shared" ca="1" si="94"/>
        <v>1.7326548704186757</v>
      </c>
      <c r="C210" s="1065">
        <f t="shared" ca="1" si="89"/>
        <v>1.7373316551407807</v>
      </c>
      <c r="D210" s="827">
        <f t="shared" ca="1" si="88"/>
        <v>270</v>
      </c>
      <c r="E210" s="1068">
        <f t="shared" ca="1" si="90"/>
        <v>1.7326548704186757</v>
      </c>
      <c r="F210" s="1068">
        <f t="shared" ca="1" si="91"/>
        <v>1.7373316551407807</v>
      </c>
      <c r="G210" s="1067">
        <f t="shared" ca="1" si="92"/>
        <v>1.7349932627797282</v>
      </c>
      <c r="H210" s="827">
        <f t="shared" ca="1" si="93"/>
        <v>0.13500000000000001</v>
      </c>
      <c r="I210" s="827">
        <f t="shared" ca="1" si="95"/>
        <v>0.52849999999999997</v>
      </c>
      <c r="J210" s="827"/>
      <c r="K210" s="827"/>
      <c r="L210" s="827"/>
      <c r="M210" s="827"/>
      <c r="N210" s="827"/>
      <c r="O210" s="827"/>
      <c r="P210" s="827"/>
      <c r="Q210" s="827"/>
      <c r="R210" s="827"/>
      <c r="S210" s="827"/>
      <c r="T210" s="827"/>
      <c r="U210" s="827"/>
      <c r="V210" s="827"/>
      <c r="W210" s="827"/>
      <c r="X210" s="827"/>
      <c r="Y210" s="827"/>
      <c r="Z210" s="827"/>
      <c r="AA210" s="827"/>
      <c r="AB210" s="827"/>
      <c r="AC210" s="827"/>
      <c r="AD210" s="827"/>
      <c r="AE210" s="827"/>
      <c r="AF210" s="827"/>
      <c r="AG210" s="827"/>
      <c r="AH210" s="827"/>
      <c r="AI210" s="827"/>
      <c r="AJ210" s="827"/>
    </row>
    <row r="211" spans="1:36" x14ac:dyDescent="0.25">
      <c r="A211" s="827"/>
      <c r="B211" s="832">
        <f t="shared" ca="1" si="94"/>
        <v>1.7373316551407807</v>
      </c>
      <c r="C211" s="1065">
        <f t="shared" ca="1" si="89"/>
        <v>1.7420084398628857</v>
      </c>
      <c r="D211" s="827">
        <f t="shared" ca="1" si="88"/>
        <v>252</v>
      </c>
      <c r="E211" s="1068">
        <f t="shared" ca="1" si="90"/>
        <v>1.7373316551407807</v>
      </c>
      <c r="F211" s="1068">
        <f t="shared" ca="1" si="91"/>
        <v>1.7420084398628857</v>
      </c>
      <c r="G211" s="1067">
        <f t="shared" ca="1" si="92"/>
        <v>1.7396700475018332</v>
      </c>
      <c r="H211" s="827">
        <f t="shared" ca="1" si="93"/>
        <v>0.126</v>
      </c>
      <c r="I211" s="827">
        <f t="shared" ca="1" si="95"/>
        <v>0.65449999999999997</v>
      </c>
      <c r="J211" s="827"/>
      <c r="K211" s="827"/>
      <c r="L211" s="827"/>
      <c r="M211" s="827"/>
      <c r="N211" s="827"/>
      <c r="O211" s="827"/>
      <c r="P211" s="827"/>
      <c r="Q211" s="827"/>
      <c r="R211" s="827"/>
      <c r="S211" s="827"/>
      <c r="T211" s="827"/>
      <c r="U211" s="827"/>
      <c r="V211" s="827"/>
      <c r="W211" s="827"/>
      <c r="X211" s="827"/>
      <c r="Y211" s="827"/>
      <c r="Z211" s="827"/>
      <c r="AA211" s="827"/>
      <c r="AB211" s="827"/>
      <c r="AC211" s="827"/>
      <c r="AD211" s="827"/>
      <c r="AE211" s="827"/>
      <c r="AF211" s="827"/>
      <c r="AG211" s="827"/>
      <c r="AH211" s="827"/>
      <c r="AI211" s="827"/>
      <c r="AJ211" s="827"/>
    </row>
    <row r="212" spans="1:36" x14ac:dyDescent="0.25">
      <c r="A212" s="827"/>
      <c r="B212" s="832">
        <f t="shared" ca="1" si="94"/>
        <v>1.7420084398628857</v>
      </c>
      <c r="C212" s="1065">
        <f t="shared" ca="1" si="89"/>
        <v>1.7466852245849906</v>
      </c>
      <c r="D212" s="827">
        <f t="shared" ca="1" si="88"/>
        <v>195</v>
      </c>
      <c r="E212" s="1068">
        <f t="shared" ca="1" si="90"/>
        <v>1.7420084398628857</v>
      </c>
      <c r="F212" s="1068">
        <f t="shared" ca="1" si="91"/>
        <v>1.7466852245849906</v>
      </c>
      <c r="G212" s="1067">
        <f t="shared" ca="1" si="92"/>
        <v>1.7443468322239382</v>
      </c>
      <c r="H212" s="827">
        <f t="shared" ca="1" si="93"/>
        <v>9.7500000000000003E-2</v>
      </c>
      <c r="I212" s="827">
        <f t="shared" ca="1" si="95"/>
        <v>0.752</v>
      </c>
      <c r="J212" s="827"/>
      <c r="K212" s="827"/>
      <c r="L212" s="827"/>
      <c r="M212" s="827"/>
      <c r="N212" s="827"/>
      <c r="O212" s="827"/>
      <c r="P212" s="827"/>
      <c r="Q212" s="827"/>
      <c r="R212" s="827"/>
      <c r="S212" s="827"/>
      <c r="T212" s="827"/>
      <c r="U212" s="827"/>
      <c r="V212" s="827"/>
      <c r="W212" s="827"/>
      <c r="X212" s="827"/>
      <c r="Y212" s="827"/>
      <c r="Z212" s="827"/>
      <c r="AA212" s="827"/>
      <c r="AB212" s="827"/>
      <c r="AC212" s="827"/>
      <c r="AD212" s="827"/>
      <c r="AE212" s="827"/>
      <c r="AF212" s="827"/>
      <c r="AG212" s="827"/>
      <c r="AH212" s="827"/>
      <c r="AI212" s="827"/>
      <c r="AJ212" s="827"/>
    </row>
    <row r="213" spans="1:36" x14ac:dyDescent="0.25">
      <c r="A213" s="827"/>
      <c r="B213" s="832">
        <f t="shared" ca="1" si="94"/>
        <v>1.7466852245849906</v>
      </c>
      <c r="C213" s="1065">
        <f t="shared" ca="1" si="89"/>
        <v>1.7513620093070956</v>
      </c>
      <c r="D213" s="827">
        <f t="shared" ca="1" si="88"/>
        <v>154</v>
      </c>
      <c r="E213" s="1068">
        <f t="shared" ca="1" si="90"/>
        <v>1.7466852245849906</v>
      </c>
      <c r="F213" s="1068">
        <f t="shared" ca="1" si="91"/>
        <v>1.7513620093070956</v>
      </c>
      <c r="G213" s="1067">
        <f t="shared" ca="1" si="92"/>
        <v>1.7490236169460431</v>
      </c>
      <c r="H213" s="827">
        <f t="shared" ca="1" si="93"/>
        <v>7.6999999999999999E-2</v>
      </c>
      <c r="I213" s="827">
        <f t="shared" ca="1" si="95"/>
        <v>0.82899999999999996</v>
      </c>
      <c r="J213" s="827"/>
      <c r="K213" s="827"/>
      <c r="L213" s="827"/>
      <c r="M213" s="827"/>
      <c r="N213" s="827"/>
      <c r="O213" s="827"/>
      <c r="P213" s="827"/>
      <c r="Q213" s="827"/>
      <c r="R213" s="827"/>
      <c r="S213" s="827"/>
      <c r="T213" s="827"/>
      <c r="U213" s="827"/>
      <c r="V213" s="827"/>
      <c r="W213" s="827"/>
      <c r="X213" s="827"/>
      <c r="Y213" s="827"/>
      <c r="Z213" s="827"/>
      <c r="AA213" s="827"/>
      <c r="AB213" s="827"/>
      <c r="AC213" s="827"/>
      <c r="AD213" s="827"/>
      <c r="AE213" s="827"/>
      <c r="AF213" s="827"/>
      <c r="AG213" s="827"/>
      <c r="AH213" s="827"/>
      <c r="AI213" s="827"/>
      <c r="AJ213" s="827"/>
    </row>
    <row r="214" spans="1:36" x14ac:dyDescent="0.25">
      <c r="A214" s="827"/>
      <c r="B214" s="832">
        <f t="shared" ca="1" si="94"/>
        <v>1.7513620093070956</v>
      </c>
      <c r="C214" s="1065">
        <f t="shared" ca="1" si="89"/>
        <v>1.7560387940292006</v>
      </c>
      <c r="D214" s="827">
        <f t="shared" ca="1" si="88"/>
        <v>146</v>
      </c>
      <c r="E214" s="1068">
        <f t="shared" ca="1" si="90"/>
        <v>1.7513620093070956</v>
      </c>
      <c r="F214" s="1068">
        <f t="shared" ca="1" si="91"/>
        <v>1.7560387940292006</v>
      </c>
      <c r="G214" s="1067">
        <f t="shared" ca="1" si="92"/>
        <v>1.7537004016681481</v>
      </c>
      <c r="H214" s="827">
        <f t="shared" ca="1" si="93"/>
        <v>7.2999999999999995E-2</v>
      </c>
      <c r="I214" s="827">
        <f t="shared" ca="1" si="95"/>
        <v>0.90199999999999991</v>
      </c>
      <c r="J214" s="827"/>
      <c r="K214" s="827"/>
      <c r="L214" s="827"/>
      <c r="M214" s="827"/>
      <c r="N214" s="827"/>
      <c r="O214" s="827"/>
      <c r="P214" s="827"/>
      <c r="Q214" s="827"/>
      <c r="R214" s="827"/>
      <c r="S214" s="827"/>
      <c r="T214" s="827"/>
      <c r="U214" s="827"/>
      <c r="V214" s="827"/>
      <c r="W214" s="827"/>
      <c r="X214" s="827"/>
      <c r="Y214" s="827"/>
      <c r="Z214" s="827"/>
      <c r="AA214" s="827"/>
      <c r="AB214" s="827"/>
      <c r="AC214" s="827"/>
      <c r="AD214" s="827"/>
      <c r="AE214" s="827"/>
      <c r="AF214" s="827"/>
      <c r="AG214" s="827"/>
      <c r="AH214" s="827"/>
      <c r="AI214" s="827"/>
      <c r="AJ214" s="827"/>
    </row>
    <row r="215" spans="1:36" x14ac:dyDescent="0.25">
      <c r="A215" s="827"/>
      <c r="B215" s="832">
        <f t="shared" ca="1" si="94"/>
        <v>1.7560387940292006</v>
      </c>
      <c r="C215" s="1065">
        <f t="shared" ca="1" si="89"/>
        <v>1.7607155787513056</v>
      </c>
      <c r="D215" s="827">
        <f t="shared" ca="1" si="88"/>
        <v>85</v>
      </c>
      <c r="E215" s="1068">
        <f t="shared" ca="1" si="90"/>
        <v>1.7560387940292006</v>
      </c>
      <c r="F215" s="1068">
        <f t="shared" ca="1" si="91"/>
        <v>1.7607155787513056</v>
      </c>
      <c r="G215" s="1067">
        <f t="shared" ca="1" si="92"/>
        <v>1.7583771863902531</v>
      </c>
      <c r="H215" s="827">
        <f t="shared" ca="1" si="93"/>
        <v>4.2500000000000003E-2</v>
      </c>
      <c r="I215" s="827">
        <f t="shared" ca="1" si="95"/>
        <v>0.9444999999999999</v>
      </c>
      <c r="J215" s="827"/>
      <c r="K215" s="827"/>
      <c r="L215" s="827"/>
      <c r="M215" s="827"/>
      <c r="N215" s="827"/>
      <c r="O215" s="827"/>
      <c r="P215" s="827"/>
      <c r="Q215" s="827"/>
      <c r="R215" s="827"/>
      <c r="S215" s="827"/>
      <c r="T215" s="827"/>
      <c r="U215" s="827"/>
      <c r="V215" s="827"/>
      <c r="W215" s="827"/>
      <c r="X215" s="827"/>
      <c r="Y215" s="827"/>
      <c r="Z215" s="827"/>
      <c r="AA215" s="827"/>
      <c r="AB215" s="827"/>
      <c r="AC215" s="827"/>
      <c r="AD215" s="827"/>
      <c r="AE215" s="827"/>
      <c r="AF215" s="827"/>
      <c r="AG215" s="827"/>
      <c r="AH215" s="827"/>
      <c r="AI215" s="827"/>
      <c r="AJ215" s="827"/>
    </row>
    <row r="216" spans="1:36" x14ac:dyDescent="0.25">
      <c r="A216" s="827"/>
      <c r="B216" s="832">
        <f t="shared" ca="1" si="94"/>
        <v>1.7607155787513056</v>
      </c>
      <c r="C216" s="1065">
        <f t="shared" ca="1" si="89"/>
        <v>1.7653923634734106</v>
      </c>
      <c r="D216" s="827">
        <f t="shared" ca="1" si="88"/>
        <v>51</v>
      </c>
      <c r="E216" s="1068">
        <f t="shared" ca="1" si="90"/>
        <v>1.7607155787513056</v>
      </c>
      <c r="F216" s="1068">
        <f t="shared" ca="1" si="91"/>
        <v>1.7653923634734106</v>
      </c>
      <c r="G216" s="1067">
        <f t="shared" ca="1" si="92"/>
        <v>1.7630539711123581</v>
      </c>
      <c r="H216" s="827">
        <f t="shared" ca="1" si="93"/>
        <v>2.5499999999999998E-2</v>
      </c>
      <c r="I216" s="827">
        <f t="shared" ca="1" si="95"/>
        <v>0.96999999999999986</v>
      </c>
      <c r="J216" s="827"/>
      <c r="K216" s="827"/>
      <c r="L216" s="827"/>
      <c r="M216" s="827"/>
      <c r="N216" s="827"/>
      <c r="O216" s="827"/>
      <c r="P216" s="827"/>
      <c r="Q216" s="827"/>
      <c r="R216" s="827"/>
      <c r="S216" s="827"/>
      <c r="T216" s="827"/>
      <c r="U216" s="827"/>
      <c r="V216" s="827"/>
      <c r="W216" s="827"/>
      <c r="X216" s="827"/>
      <c r="Y216" s="827"/>
      <c r="Z216" s="827"/>
      <c r="AA216" s="827"/>
      <c r="AB216" s="827"/>
      <c r="AC216" s="827"/>
      <c r="AD216" s="827"/>
      <c r="AE216" s="827"/>
      <c r="AF216" s="827"/>
      <c r="AG216" s="827"/>
      <c r="AH216" s="827"/>
      <c r="AI216" s="827"/>
      <c r="AJ216" s="827"/>
    </row>
    <row r="217" spans="1:36" x14ac:dyDescent="0.25">
      <c r="A217" s="827"/>
      <c r="B217" s="832">
        <f t="shared" ca="1" si="94"/>
        <v>1.7653923634734106</v>
      </c>
      <c r="C217" s="1065">
        <f t="shared" ca="1" si="89"/>
        <v>1.7700691481955155</v>
      </c>
      <c r="D217" s="827">
        <f t="shared" ca="1" si="88"/>
        <v>39</v>
      </c>
      <c r="E217" s="1068">
        <f t="shared" ca="1" si="90"/>
        <v>1.7653923634734106</v>
      </c>
      <c r="F217" s="1068">
        <f t="shared" ca="1" si="91"/>
        <v>1.7700691481955155</v>
      </c>
      <c r="G217" s="1067">
        <f t="shared" ca="1" si="92"/>
        <v>1.767730755834463</v>
      </c>
      <c r="H217" s="827">
        <f t="shared" ca="1" si="93"/>
        <v>1.95E-2</v>
      </c>
      <c r="I217" s="827">
        <f t="shared" ca="1" si="95"/>
        <v>0.98949999999999982</v>
      </c>
      <c r="J217" s="827"/>
      <c r="K217" s="827"/>
      <c r="L217" s="827"/>
      <c r="M217" s="827"/>
      <c r="N217" s="827"/>
      <c r="O217" s="827"/>
      <c r="P217" s="827"/>
      <c r="Q217" s="827"/>
      <c r="R217" s="827"/>
      <c r="S217" s="827"/>
      <c r="T217" s="827"/>
      <c r="U217" s="827"/>
      <c r="V217" s="827"/>
      <c r="W217" s="827"/>
      <c r="X217" s="827"/>
      <c r="Y217" s="827"/>
      <c r="Z217" s="827"/>
      <c r="AA217" s="827"/>
      <c r="AB217" s="827"/>
      <c r="AC217" s="827"/>
      <c r="AD217" s="827"/>
      <c r="AE217" s="827"/>
      <c r="AF217" s="827"/>
      <c r="AG217" s="827"/>
      <c r="AH217" s="827"/>
      <c r="AI217" s="827"/>
      <c r="AJ217" s="827"/>
    </row>
    <row r="218" spans="1:36" x14ac:dyDescent="0.25">
      <c r="A218" s="827"/>
      <c r="B218" s="832">
        <f t="shared" ca="1" si="94"/>
        <v>1.7700691481955155</v>
      </c>
      <c r="C218" s="1065">
        <f t="shared" ca="1" si="89"/>
        <v>1.7747459329176205</v>
      </c>
      <c r="D218" s="827">
        <f t="shared" ca="1" si="88"/>
        <v>14</v>
      </c>
      <c r="E218" s="1068">
        <f t="shared" ca="1" si="90"/>
        <v>1.7700691481955155</v>
      </c>
      <c r="F218" s="1068">
        <f t="shared" ca="1" si="91"/>
        <v>1.7747459329176205</v>
      </c>
      <c r="G218" s="1067">
        <f t="shared" ca="1" si="92"/>
        <v>1.772407540556568</v>
      </c>
      <c r="H218" s="827">
        <f t="shared" ca="1" si="93"/>
        <v>7.0000000000000001E-3</v>
      </c>
      <c r="I218" s="827">
        <f t="shared" ca="1" si="95"/>
        <v>0.99649999999999983</v>
      </c>
      <c r="J218" s="827"/>
      <c r="K218" s="827"/>
      <c r="L218" s="827"/>
      <c r="M218" s="827"/>
      <c r="N218" s="827"/>
      <c r="O218" s="827"/>
      <c r="P218" s="827"/>
      <c r="Q218" s="827"/>
      <c r="R218" s="827"/>
      <c r="S218" s="827"/>
      <c r="T218" s="827"/>
      <c r="U218" s="827"/>
      <c r="V218" s="827"/>
      <c r="W218" s="827"/>
      <c r="X218" s="827"/>
      <c r="Y218" s="827"/>
      <c r="Z218" s="827"/>
      <c r="AA218" s="827"/>
      <c r="AB218" s="827"/>
      <c r="AC218" s="827"/>
      <c r="AD218" s="827"/>
      <c r="AE218" s="827"/>
      <c r="AF218" s="827"/>
      <c r="AG218" s="827"/>
      <c r="AH218" s="827"/>
      <c r="AI218" s="827"/>
      <c r="AJ218" s="827"/>
    </row>
    <row r="219" spans="1:36" x14ac:dyDescent="0.25">
      <c r="A219" s="827"/>
      <c r="B219" s="832">
        <f t="shared" ca="1" si="94"/>
        <v>1.7747459329176205</v>
      </c>
      <c r="C219" s="1065">
        <f t="shared" ca="1" si="89"/>
        <v>1.7794227176397255</v>
      </c>
      <c r="D219" s="827">
        <f t="shared" ca="1" si="88"/>
        <v>5</v>
      </c>
      <c r="E219" s="1068">
        <f t="shared" ca="1" si="90"/>
        <v>1.7747459329176205</v>
      </c>
      <c r="F219" s="1068">
        <f t="shared" ca="1" si="91"/>
        <v>1.7794227176397255</v>
      </c>
      <c r="G219" s="1067">
        <f t="shared" ca="1" si="92"/>
        <v>1.777084325278673</v>
      </c>
      <c r="H219" s="827">
        <f t="shared" ca="1" si="93"/>
        <v>2.5000000000000001E-3</v>
      </c>
      <c r="I219" s="827">
        <f t="shared" ca="1" si="95"/>
        <v>0.99899999999999978</v>
      </c>
      <c r="J219" s="827"/>
      <c r="K219" s="827"/>
      <c r="L219" s="827"/>
      <c r="M219" s="827"/>
      <c r="N219" s="827"/>
      <c r="O219" s="827"/>
      <c r="P219" s="827"/>
      <c r="Q219" s="827"/>
      <c r="R219" s="827"/>
      <c r="S219" s="827"/>
      <c r="T219" s="827"/>
      <c r="U219" s="827"/>
      <c r="V219" s="827"/>
      <c r="W219" s="827"/>
      <c r="X219" s="827"/>
      <c r="Y219" s="827"/>
      <c r="Z219" s="827"/>
      <c r="AA219" s="827"/>
      <c r="AB219" s="827"/>
      <c r="AC219" s="827"/>
      <c r="AD219" s="827"/>
      <c r="AE219" s="827"/>
      <c r="AF219" s="827"/>
      <c r="AG219" s="827"/>
      <c r="AH219" s="827"/>
      <c r="AI219" s="827"/>
      <c r="AJ219" s="827"/>
    </row>
    <row r="220" spans="1:36" x14ac:dyDescent="0.25">
      <c r="A220" s="827"/>
      <c r="B220" s="832">
        <f t="shared" ca="1" si="94"/>
        <v>1.7794227176397255</v>
      </c>
      <c r="C220" s="1065">
        <f t="shared" ca="1" si="89"/>
        <v>1.7840995023618305</v>
      </c>
      <c r="D220" s="827">
        <f t="shared" ca="1" si="88"/>
        <v>1</v>
      </c>
      <c r="E220" s="1068">
        <f t="shared" ca="1" si="90"/>
        <v>1.7794227176397255</v>
      </c>
      <c r="F220" s="1068">
        <f t="shared" ca="1" si="91"/>
        <v>1.7840995023618305</v>
      </c>
      <c r="G220" s="1067">
        <f t="shared" ca="1" si="92"/>
        <v>1.781761110000778</v>
      </c>
      <c r="H220" s="827">
        <f t="shared" ca="1" si="93"/>
        <v>5.0000000000000001E-4</v>
      </c>
      <c r="I220" s="827">
        <f t="shared" ca="1" si="95"/>
        <v>0.99949999999999972</v>
      </c>
      <c r="J220" s="827"/>
      <c r="K220" s="827"/>
      <c r="L220" s="827"/>
      <c r="M220" s="827"/>
      <c r="N220" s="827"/>
      <c r="O220" s="827"/>
      <c r="P220" s="827"/>
      <c r="Q220" s="827"/>
      <c r="R220" s="827"/>
      <c r="S220" s="827"/>
      <c r="T220" s="827"/>
      <c r="U220" s="827"/>
      <c r="V220" s="827"/>
      <c r="W220" s="827"/>
      <c r="X220" s="827"/>
      <c r="Y220" s="827"/>
      <c r="Z220" s="827"/>
      <c r="AA220" s="827"/>
      <c r="AB220" s="827"/>
      <c r="AC220" s="827"/>
      <c r="AD220" s="827"/>
      <c r="AE220" s="827"/>
      <c r="AF220" s="827"/>
      <c r="AG220" s="827"/>
      <c r="AH220" s="827"/>
      <c r="AI220" s="827"/>
      <c r="AJ220" s="827"/>
    </row>
    <row r="221" spans="1:36" x14ac:dyDescent="0.25">
      <c r="A221" s="827"/>
      <c r="B221" s="832">
        <f t="shared" ca="1" si="94"/>
        <v>1.7840995023618305</v>
      </c>
      <c r="C221" s="1065">
        <f ca="1">+B221+($C$197/20)+0.000001</f>
        <v>1.7887772870839354</v>
      </c>
      <c r="D221" s="827">
        <f t="shared" ca="1" si="88"/>
        <v>1</v>
      </c>
      <c r="E221" s="1068">
        <f t="shared" ca="1" si="90"/>
        <v>1.7840995023618305</v>
      </c>
      <c r="F221" s="1068">
        <f t="shared" ca="1" si="91"/>
        <v>1.7887772870839354</v>
      </c>
      <c r="G221" s="1067">
        <f t="shared" ca="1" si="92"/>
        <v>1.7864383947228828</v>
      </c>
      <c r="H221" s="827">
        <f t="shared" ca="1" si="93"/>
        <v>5.0000000000000001E-4</v>
      </c>
      <c r="I221" s="827">
        <f t="shared" ca="1" si="95"/>
        <v>0.99999999999999967</v>
      </c>
      <c r="J221" s="827"/>
      <c r="K221" s="827"/>
      <c r="L221" s="827"/>
      <c r="M221" s="827"/>
      <c r="N221" s="827"/>
      <c r="O221" s="827"/>
      <c r="P221" s="827"/>
      <c r="Q221" s="827"/>
      <c r="R221" s="827"/>
      <c r="S221" s="827"/>
      <c r="T221" s="827"/>
      <c r="U221" s="827"/>
      <c r="V221" s="827"/>
      <c r="W221" s="827"/>
      <c r="X221" s="827"/>
      <c r="Y221" s="827"/>
      <c r="Z221" s="827"/>
      <c r="AA221" s="827"/>
      <c r="AB221" s="827"/>
      <c r="AC221" s="827"/>
      <c r="AD221" s="827"/>
      <c r="AE221" s="827"/>
      <c r="AF221" s="827"/>
      <c r="AG221" s="827"/>
      <c r="AH221" s="827"/>
      <c r="AI221" s="827"/>
      <c r="AJ221" s="827"/>
    </row>
    <row r="222" spans="1:36" x14ac:dyDescent="0.25">
      <c r="A222" s="827"/>
      <c r="B222" s="828"/>
      <c r="C222" s="1069"/>
      <c r="D222" s="827"/>
      <c r="E222" s="827"/>
      <c r="F222" s="827">
        <f t="shared" ca="1" si="91"/>
        <v>0</v>
      </c>
      <c r="G222" s="1067">
        <f t="shared" ca="1" si="92"/>
        <v>0</v>
      </c>
      <c r="H222" s="827"/>
      <c r="I222" s="827"/>
      <c r="J222" s="827"/>
      <c r="K222" s="827"/>
      <c r="L222" s="827"/>
      <c r="M222" s="827"/>
      <c r="N222" s="827"/>
      <c r="O222" s="827"/>
      <c r="P222" s="827"/>
      <c r="Q222" s="827"/>
      <c r="R222" s="827"/>
      <c r="S222" s="827"/>
      <c r="T222" s="827"/>
      <c r="U222" s="827"/>
      <c r="V222" s="827"/>
      <c r="W222" s="827"/>
      <c r="X222" s="827"/>
      <c r="Y222" s="827"/>
      <c r="Z222" s="827"/>
      <c r="AA222" s="827"/>
      <c r="AB222" s="827"/>
      <c r="AC222" s="827"/>
      <c r="AD222" s="827"/>
      <c r="AE222" s="827"/>
      <c r="AF222" s="827"/>
      <c r="AG222" s="827"/>
      <c r="AH222" s="827"/>
      <c r="AI222" s="827"/>
      <c r="AJ222" s="827"/>
    </row>
    <row r="223" spans="1:36" x14ac:dyDescent="0.25">
      <c r="A223" s="827"/>
      <c r="B223" s="828" t="s">
        <v>1204</v>
      </c>
      <c r="C223" s="827"/>
      <c r="D223" s="827">
        <f ca="1">+SUM(D202:D221)</f>
        <v>2000</v>
      </c>
      <c r="E223" s="827"/>
      <c r="F223" s="827"/>
      <c r="G223" s="827"/>
      <c r="H223" s="827"/>
      <c r="I223" s="827"/>
      <c r="J223" s="827"/>
      <c r="K223" s="827"/>
      <c r="L223" s="827"/>
      <c r="M223" s="827"/>
      <c r="N223" s="827"/>
      <c r="O223" s="827"/>
      <c r="P223" s="827"/>
      <c r="Q223" s="827"/>
      <c r="R223" s="827"/>
      <c r="S223" s="827"/>
      <c r="T223" s="827"/>
      <c r="U223" s="827"/>
      <c r="V223" s="827"/>
      <c r="W223" s="827"/>
      <c r="X223" s="827"/>
      <c r="Y223" s="827"/>
      <c r="Z223" s="827"/>
      <c r="AA223" s="827"/>
      <c r="AB223" s="827"/>
      <c r="AC223" s="827"/>
      <c r="AD223" s="827"/>
      <c r="AE223" s="827"/>
      <c r="AF223" s="827"/>
      <c r="AG223" s="827"/>
      <c r="AH223" s="827"/>
      <c r="AI223" s="827"/>
      <c r="AJ223" s="827"/>
    </row>
    <row r="224" spans="1:36" x14ac:dyDescent="0.25">
      <c r="A224" s="827"/>
      <c r="B224" s="827" t="str">
        <f t="array" ref="B224:B238">+TRANSPOSE(Sensitivity_output)</f>
        <v>Cost of hydrogen ($/kg)</v>
      </c>
      <c r="C224" s="827"/>
      <c r="D224" s="827"/>
      <c r="E224" s="827"/>
      <c r="F224" s="827"/>
      <c r="G224" s="827"/>
      <c r="H224" s="827"/>
      <c r="I224" s="827"/>
      <c r="J224" s="827"/>
      <c r="K224" s="827"/>
      <c r="L224" s="827"/>
      <c r="M224" s="827"/>
      <c r="N224" s="827"/>
      <c r="O224" s="827"/>
      <c r="P224" s="827"/>
      <c r="Q224" s="827"/>
      <c r="R224" s="827"/>
      <c r="S224" s="827"/>
      <c r="T224" s="827"/>
      <c r="U224" s="827"/>
      <c r="V224" s="827"/>
      <c r="W224" s="827"/>
      <c r="X224" s="827"/>
      <c r="Y224" s="827"/>
      <c r="Z224" s="827"/>
      <c r="AA224" s="827"/>
      <c r="AB224" s="827"/>
      <c r="AC224" s="827"/>
      <c r="AD224" s="827"/>
      <c r="AE224" s="827"/>
      <c r="AF224" s="827"/>
      <c r="AG224" s="827"/>
      <c r="AH224" s="827"/>
      <c r="AI224" s="827"/>
      <c r="AJ224" s="827"/>
    </row>
    <row r="225" spans="1:36" x14ac:dyDescent="0.25">
      <c r="A225" s="827"/>
      <c r="B225" s="827" t="str">
        <v>Revenue from byproduct sales ($/kg)</v>
      </c>
      <c r="C225" s="827"/>
      <c r="D225" s="827"/>
      <c r="E225" s="827"/>
      <c r="F225" s="827"/>
      <c r="G225" s="827"/>
      <c r="H225" s="827"/>
      <c r="I225" s="827"/>
      <c r="J225" s="827"/>
      <c r="K225" s="827"/>
      <c r="L225" s="827"/>
      <c r="M225" s="827"/>
      <c r="N225" s="827"/>
      <c r="O225" s="827"/>
      <c r="P225" s="827"/>
      <c r="Q225" s="827"/>
      <c r="R225" s="827"/>
      <c r="S225" s="827"/>
      <c r="T225" s="827"/>
      <c r="U225" s="827"/>
      <c r="V225" s="827"/>
      <c r="W225" s="827"/>
      <c r="X225" s="827"/>
      <c r="Y225" s="827"/>
      <c r="Z225" s="827"/>
      <c r="AA225" s="827"/>
      <c r="AB225" s="827"/>
      <c r="AC225" s="827"/>
      <c r="AD225" s="827"/>
      <c r="AE225" s="827"/>
      <c r="AF225" s="827"/>
      <c r="AG225" s="827"/>
      <c r="AH225" s="827"/>
      <c r="AI225" s="827"/>
      <c r="AJ225" s="827"/>
    </row>
    <row r="226" spans="1:36" x14ac:dyDescent="0.25">
      <c r="A226" s="827"/>
      <c r="B226" s="827" t="str">
        <v>Salvage value ($/kg)</v>
      </c>
      <c r="C226" s="827"/>
      <c r="D226" s="827"/>
      <c r="E226" s="827"/>
      <c r="F226" s="827"/>
      <c r="G226" s="827"/>
      <c r="H226" s="827"/>
      <c r="I226" s="827"/>
      <c r="J226" s="827"/>
      <c r="K226" s="827"/>
      <c r="L226" s="827"/>
      <c r="M226" s="827"/>
      <c r="N226" s="827"/>
      <c r="O226" s="827"/>
      <c r="P226" s="827"/>
      <c r="Q226" s="827"/>
      <c r="R226" s="827"/>
      <c r="S226" s="827"/>
      <c r="T226" s="827"/>
      <c r="U226" s="827"/>
      <c r="V226" s="827"/>
      <c r="W226" s="827"/>
      <c r="X226" s="827"/>
      <c r="Y226" s="827"/>
      <c r="Z226" s="827"/>
      <c r="AA226" s="827"/>
      <c r="AB226" s="827"/>
      <c r="AC226" s="827"/>
      <c r="AD226" s="827"/>
      <c r="AE226" s="827"/>
      <c r="AF226" s="827"/>
      <c r="AG226" s="827"/>
      <c r="AH226" s="827"/>
      <c r="AI226" s="827"/>
      <c r="AJ226" s="827"/>
    </row>
    <row r="227" spans="1:36" x14ac:dyDescent="0.25">
      <c r="A227" s="827"/>
      <c r="B227" s="827" t="str">
        <v>Initial equity depreciable capital ($/kg)</v>
      </c>
      <c r="C227" s="827"/>
      <c r="D227" s="827"/>
      <c r="E227" s="827"/>
      <c r="F227" s="827"/>
      <c r="G227" s="827"/>
      <c r="H227" s="827"/>
      <c r="I227" s="827"/>
      <c r="J227" s="827"/>
      <c r="K227" s="827"/>
      <c r="L227" s="827"/>
      <c r="M227" s="827"/>
      <c r="N227" s="827"/>
      <c r="O227" s="827"/>
      <c r="P227" s="827"/>
      <c r="Q227" s="827"/>
      <c r="R227" s="827"/>
      <c r="S227" s="827"/>
      <c r="T227" s="827"/>
      <c r="U227" s="827"/>
      <c r="V227" s="827"/>
      <c r="W227" s="827"/>
      <c r="X227" s="827"/>
      <c r="Y227" s="827"/>
      <c r="Z227" s="827"/>
      <c r="AA227" s="827"/>
      <c r="AB227" s="827"/>
      <c r="AC227" s="827"/>
      <c r="AD227" s="827"/>
      <c r="AE227" s="827"/>
      <c r="AF227" s="827"/>
      <c r="AG227" s="827"/>
      <c r="AH227" s="827"/>
      <c r="AI227" s="827"/>
      <c r="AJ227" s="827"/>
    </row>
    <row r="228" spans="1:36" x14ac:dyDescent="0.25">
      <c r="A228" s="827"/>
      <c r="B228" s="827" t="str">
        <v>Yearly replacement costs ($/kg)</v>
      </c>
      <c r="C228" s="827"/>
      <c r="D228" s="827"/>
      <c r="E228" s="827"/>
      <c r="F228" s="827"/>
      <c r="G228" s="827"/>
      <c r="H228" s="827"/>
      <c r="I228" s="827"/>
      <c r="J228" s="827"/>
      <c r="K228" s="827"/>
      <c r="L228" s="827"/>
      <c r="M228" s="827"/>
      <c r="N228" s="827"/>
      <c r="O228" s="827"/>
      <c r="P228" s="827"/>
      <c r="Q228" s="827"/>
      <c r="R228" s="827"/>
      <c r="S228" s="827"/>
      <c r="T228" s="827"/>
      <c r="U228" s="827"/>
      <c r="V228" s="827"/>
      <c r="W228" s="827"/>
      <c r="X228" s="827"/>
      <c r="Y228" s="827"/>
      <c r="Z228" s="827"/>
      <c r="AA228" s="827"/>
      <c r="AB228" s="827"/>
      <c r="AC228" s="827"/>
      <c r="AD228" s="827"/>
      <c r="AE228" s="827"/>
      <c r="AF228" s="827"/>
      <c r="AG228" s="827"/>
      <c r="AH228" s="827"/>
      <c r="AI228" s="827"/>
      <c r="AJ228" s="827"/>
    </row>
    <row r="229" spans="1:36" x14ac:dyDescent="0.25">
      <c r="A229" s="827"/>
      <c r="B229" s="827" t="str">
        <v>Cash from working capital reserve ($/kg)</v>
      </c>
      <c r="C229" s="827"/>
      <c r="D229" s="827"/>
      <c r="E229" s="827"/>
      <c r="F229" s="827"/>
      <c r="G229" s="827"/>
      <c r="H229" s="827"/>
      <c r="I229" s="827"/>
      <c r="J229" s="827"/>
      <c r="K229" s="827"/>
      <c r="L229" s="827"/>
      <c r="M229" s="827"/>
      <c r="N229" s="827"/>
      <c r="O229" s="827"/>
      <c r="P229" s="827"/>
      <c r="Q229" s="827"/>
      <c r="R229" s="827"/>
      <c r="S229" s="827"/>
      <c r="T229" s="827"/>
      <c r="U229" s="827"/>
      <c r="V229" s="827"/>
      <c r="W229" s="827"/>
      <c r="X229" s="827"/>
      <c r="Y229" s="827"/>
      <c r="Z229" s="827"/>
      <c r="AA229" s="827"/>
      <c r="AB229" s="827"/>
      <c r="AC229" s="827"/>
      <c r="AD229" s="827"/>
      <c r="AE229" s="827"/>
      <c r="AF229" s="827"/>
      <c r="AG229" s="827"/>
      <c r="AH229" s="827"/>
      <c r="AI229" s="827"/>
      <c r="AJ229" s="827"/>
    </row>
    <row r="230" spans="1:36" x14ac:dyDescent="0.25">
      <c r="A230" s="827"/>
      <c r="B230" s="827" t="str">
        <v>Other non-depreciable capital costs ($/kg)</v>
      </c>
      <c r="C230" s="827"/>
      <c r="D230" s="827"/>
      <c r="E230" s="827"/>
      <c r="F230" s="827"/>
      <c r="G230" s="827"/>
      <c r="H230" s="827"/>
      <c r="I230" s="827"/>
      <c r="J230" s="827"/>
      <c r="K230" s="827"/>
      <c r="L230" s="827"/>
      <c r="M230" s="827"/>
      <c r="N230" s="827"/>
      <c r="O230" s="827"/>
      <c r="P230" s="827"/>
      <c r="Q230" s="827"/>
      <c r="R230" s="827"/>
      <c r="S230" s="827"/>
      <c r="T230" s="827"/>
      <c r="U230" s="827"/>
      <c r="V230" s="827"/>
      <c r="W230" s="827"/>
      <c r="X230" s="827"/>
      <c r="Y230" s="827"/>
      <c r="Z230" s="827"/>
      <c r="AA230" s="827"/>
      <c r="AB230" s="827"/>
      <c r="AC230" s="827"/>
      <c r="AD230" s="827"/>
      <c r="AE230" s="827"/>
      <c r="AF230" s="827"/>
      <c r="AG230" s="827"/>
      <c r="AH230" s="827"/>
      <c r="AI230" s="827"/>
      <c r="AJ230" s="827"/>
    </row>
    <row r="231" spans="1:36" x14ac:dyDescent="0.25">
      <c r="A231" s="827"/>
      <c r="B231" s="827" t="str">
        <v>Decommissioning costs ($/kg)</v>
      </c>
      <c r="C231" s="827"/>
      <c r="D231" s="827"/>
      <c r="E231" s="827"/>
      <c r="F231" s="827"/>
      <c r="G231" s="827"/>
      <c r="H231" s="827"/>
      <c r="I231" s="827"/>
      <c r="J231" s="827"/>
      <c r="K231" s="827"/>
      <c r="L231" s="827"/>
      <c r="M231" s="827"/>
      <c r="N231" s="827"/>
      <c r="O231" s="827"/>
      <c r="P231" s="827"/>
      <c r="Q231" s="827"/>
      <c r="R231" s="827"/>
      <c r="S231" s="827"/>
      <c r="T231" s="827"/>
      <c r="U231" s="827"/>
      <c r="V231" s="827"/>
      <c r="W231" s="827"/>
      <c r="X231" s="827"/>
      <c r="Y231" s="827"/>
      <c r="Z231" s="827"/>
      <c r="AA231" s="827"/>
      <c r="AB231" s="827"/>
      <c r="AC231" s="827"/>
      <c r="AD231" s="827"/>
      <c r="AE231" s="827"/>
      <c r="AF231" s="827"/>
      <c r="AG231" s="827"/>
      <c r="AH231" s="827"/>
      <c r="AI231" s="827"/>
      <c r="AJ231" s="827"/>
    </row>
    <row r="232" spans="1:36" x14ac:dyDescent="0.25">
      <c r="A232" s="827"/>
      <c r="B232" s="827" t="str">
        <v>Fixed operating cost ($/kg)</v>
      </c>
      <c r="C232" s="827"/>
      <c r="D232" s="827"/>
      <c r="E232" s="827"/>
      <c r="F232" s="827"/>
      <c r="G232" s="827"/>
      <c r="H232" s="827"/>
      <c r="I232" s="827"/>
      <c r="J232" s="827"/>
      <c r="K232" s="827"/>
      <c r="L232" s="827"/>
      <c r="M232" s="827"/>
      <c r="N232" s="827"/>
      <c r="O232" s="827"/>
      <c r="P232" s="827"/>
      <c r="Q232" s="827"/>
      <c r="R232" s="827"/>
      <c r="S232" s="827"/>
      <c r="T232" s="827"/>
      <c r="U232" s="827"/>
      <c r="V232" s="827"/>
      <c r="W232" s="827"/>
      <c r="X232" s="827"/>
      <c r="Y232" s="827"/>
      <c r="Z232" s="827"/>
      <c r="AA232" s="827"/>
      <c r="AB232" s="827"/>
      <c r="AC232" s="827"/>
      <c r="AD232" s="827"/>
      <c r="AE232" s="827"/>
      <c r="AF232" s="827"/>
      <c r="AG232" s="827"/>
      <c r="AH232" s="827"/>
      <c r="AI232" s="827"/>
      <c r="AJ232" s="827"/>
    </row>
    <row r="233" spans="1:36" x14ac:dyDescent="0.25">
      <c r="A233" s="827"/>
      <c r="B233" s="827" t="str">
        <v>Feedstock cost ($/kg)</v>
      </c>
      <c r="C233" s="827"/>
      <c r="D233" s="827"/>
      <c r="E233" s="827"/>
      <c r="F233" s="827"/>
      <c r="G233" s="827"/>
      <c r="H233" s="827"/>
      <c r="I233" s="827"/>
      <c r="J233" s="827"/>
      <c r="K233" s="827"/>
      <c r="L233" s="827"/>
      <c r="M233" s="827"/>
      <c r="N233" s="827"/>
      <c r="O233" s="827"/>
      <c r="P233" s="827"/>
      <c r="Q233" s="827"/>
      <c r="R233" s="827"/>
      <c r="S233" s="827"/>
      <c r="T233" s="827"/>
      <c r="U233" s="827"/>
      <c r="V233" s="827"/>
      <c r="W233" s="827"/>
      <c r="X233" s="827"/>
      <c r="Y233" s="827"/>
      <c r="Z233" s="827"/>
      <c r="AA233" s="827"/>
      <c r="AB233" s="827"/>
      <c r="AC233" s="827"/>
      <c r="AD233" s="827"/>
      <c r="AE233" s="827"/>
      <c r="AF233" s="827"/>
      <c r="AG233" s="827"/>
      <c r="AH233" s="827"/>
      <c r="AI233" s="827"/>
      <c r="AJ233" s="827"/>
    </row>
    <row r="234" spans="1:36" x14ac:dyDescent="0.25">
      <c r="A234" s="827"/>
      <c r="B234" s="827" t="str">
        <v>Other raw material cost ($/kg)</v>
      </c>
      <c r="C234" s="827"/>
      <c r="D234" s="827"/>
      <c r="E234" s="827"/>
      <c r="F234" s="827"/>
      <c r="G234" s="827"/>
      <c r="H234" s="827"/>
      <c r="I234" s="827"/>
      <c r="J234" s="827"/>
      <c r="K234" s="827"/>
      <c r="L234" s="827"/>
      <c r="M234" s="827"/>
      <c r="N234" s="827"/>
      <c r="O234" s="827"/>
      <c r="P234" s="827"/>
      <c r="Q234" s="827"/>
      <c r="R234" s="827"/>
      <c r="S234" s="827"/>
      <c r="T234" s="827"/>
      <c r="U234" s="827"/>
      <c r="V234" s="827"/>
      <c r="W234" s="827"/>
      <c r="X234" s="827"/>
      <c r="Y234" s="827"/>
      <c r="Z234" s="827"/>
      <c r="AA234" s="827"/>
      <c r="AB234" s="827"/>
      <c r="AC234" s="827"/>
      <c r="AD234" s="827"/>
      <c r="AE234" s="827"/>
      <c r="AF234" s="827"/>
      <c r="AG234" s="827"/>
      <c r="AH234" s="827"/>
      <c r="AI234" s="827"/>
      <c r="AJ234" s="827"/>
    </row>
    <row r="235" spans="1:36" x14ac:dyDescent="0.25">
      <c r="A235" s="827"/>
      <c r="B235" s="827" t="str">
        <v>Other variable operating costs ($/kg)</v>
      </c>
      <c r="C235" s="827"/>
      <c r="D235" s="827"/>
      <c r="E235" s="827"/>
      <c r="F235" s="827"/>
      <c r="G235" s="827"/>
      <c r="H235" s="827"/>
      <c r="I235" s="827"/>
      <c r="J235" s="827"/>
      <c r="K235" s="827"/>
      <c r="L235" s="827"/>
      <c r="M235" s="827"/>
      <c r="N235" s="827"/>
      <c r="O235" s="827"/>
      <c r="P235" s="827"/>
      <c r="Q235" s="827"/>
      <c r="R235" s="827"/>
      <c r="S235" s="827"/>
      <c r="T235" s="827"/>
      <c r="U235" s="827"/>
      <c r="V235" s="827"/>
      <c r="W235" s="827"/>
      <c r="X235" s="827"/>
      <c r="Y235" s="827"/>
      <c r="Z235" s="827"/>
      <c r="AA235" s="827"/>
      <c r="AB235" s="827"/>
      <c r="AC235" s="827"/>
      <c r="AD235" s="827"/>
      <c r="AE235" s="827"/>
      <c r="AF235" s="827"/>
      <c r="AG235" s="827"/>
      <c r="AH235" s="827"/>
      <c r="AI235" s="827"/>
      <c r="AJ235" s="827"/>
    </row>
    <row r="236" spans="1:36" x14ac:dyDescent="0.25">
      <c r="A236" s="827"/>
      <c r="B236" s="827" t="str">
        <v>Debt interest ($/kg)</v>
      </c>
      <c r="C236" s="827"/>
      <c r="D236" s="827"/>
      <c r="E236" s="827"/>
      <c r="F236" s="827"/>
      <c r="G236" s="827"/>
      <c r="H236" s="827"/>
      <c r="I236" s="827"/>
      <c r="J236" s="827"/>
      <c r="K236" s="827"/>
      <c r="L236" s="827"/>
      <c r="M236" s="827"/>
      <c r="N236" s="827"/>
      <c r="O236" s="827"/>
      <c r="P236" s="827"/>
      <c r="Q236" s="827"/>
      <c r="R236" s="827"/>
      <c r="S236" s="827"/>
      <c r="T236" s="827"/>
      <c r="U236" s="827"/>
      <c r="V236" s="827"/>
      <c r="W236" s="827"/>
      <c r="X236" s="827"/>
      <c r="Y236" s="827"/>
      <c r="Z236" s="827"/>
      <c r="AA236" s="827"/>
      <c r="AB236" s="827"/>
      <c r="AC236" s="827"/>
      <c r="AD236" s="827"/>
      <c r="AE236" s="827"/>
      <c r="AF236" s="827"/>
      <c r="AG236" s="827"/>
      <c r="AH236" s="827"/>
      <c r="AI236" s="827"/>
      <c r="AJ236" s="827"/>
    </row>
    <row r="237" spans="1:36" x14ac:dyDescent="0.25">
      <c r="A237" s="827"/>
      <c r="B237" s="827" t="str">
        <v>Taxes ($/kg)</v>
      </c>
      <c r="C237" s="827"/>
      <c r="D237" s="827"/>
      <c r="E237" s="827"/>
      <c r="F237" s="827"/>
      <c r="G237" s="827"/>
      <c r="H237" s="827"/>
      <c r="I237" s="827"/>
      <c r="J237" s="827"/>
      <c r="K237" s="827"/>
      <c r="L237" s="827"/>
      <c r="M237" s="827"/>
      <c r="N237" s="827"/>
      <c r="O237" s="827"/>
      <c r="P237" s="827"/>
      <c r="Q237" s="827"/>
      <c r="R237" s="827"/>
      <c r="S237" s="827"/>
      <c r="T237" s="827"/>
      <c r="U237" s="827"/>
      <c r="V237" s="827"/>
      <c r="W237" s="827"/>
      <c r="X237" s="827"/>
      <c r="Y237" s="827"/>
      <c r="Z237" s="827"/>
      <c r="AA237" s="827"/>
      <c r="AB237" s="827"/>
      <c r="AC237" s="827"/>
      <c r="AD237" s="827"/>
      <c r="AE237" s="827"/>
      <c r="AF237" s="827"/>
      <c r="AG237" s="827"/>
      <c r="AH237" s="827"/>
      <c r="AI237" s="827"/>
      <c r="AJ237" s="827"/>
    </row>
    <row r="238" spans="1:36" x14ac:dyDescent="0.25">
      <c r="A238" s="827"/>
      <c r="B238" s="827" t="str">
        <v>Principal payment ($/kg)</v>
      </c>
      <c r="C238" s="827"/>
      <c r="D238" s="827"/>
      <c r="E238" s="827"/>
      <c r="F238" s="827"/>
      <c r="G238" s="827"/>
      <c r="H238" s="827"/>
      <c r="I238" s="827"/>
      <c r="J238" s="827"/>
      <c r="K238" s="827"/>
      <c r="L238" s="827"/>
      <c r="M238" s="827"/>
      <c r="N238" s="827"/>
      <c r="O238" s="827"/>
      <c r="P238" s="827"/>
      <c r="Q238" s="827"/>
      <c r="R238" s="827"/>
      <c r="S238" s="827"/>
      <c r="T238" s="827"/>
      <c r="U238" s="827"/>
      <c r="V238" s="827"/>
      <c r="W238" s="827"/>
      <c r="X238" s="827"/>
      <c r="Y238" s="827"/>
      <c r="Z238" s="827"/>
      <c r="AA238" s="827"/>
      <c r="AB238" s="827"/>
      <c r="AC238" s="827"/>
      <c r="AD238" s="827"/>
      <c r="AE238" s="827"/>
      <c r="AF238" s="827"/>
      <c r="AG238" s="827"/>
      <c r="AH238" s="827"/>
      <c r="AI238" s="827"/>
      <c r="AJ238" s="827"/>
    </row>
    <row r="239" spans="1:36" x14ac:dyDescent="0.25">
      <c r="A239" s="827"/>
      <c r="B239" s="827" t="str">
        <f t="array" ref="B239:B245">+TRANSPOSE(C50:I50)</f>
        <v>Operating capacity factor</v>
      </c>
      <c r="C239" s="827"/>
      <c r="D239" s="827"/>
      <c r="E239" s="827"/>
      <c r="F239" s="827"/>
      <c r="G239" s="827"/>
      <c r="H239" s="827"/>
      <c r="I239" s="827"/>
      <c r="J239" s="827"/>
      <c r="K239" s="827"/>
      <c r="L239" s="827"/>
      <c r="M239" s="827"/>
      <c r="N239" s="827"/>
      <c r="O239" s="827"/>
      <c r="P239" s="827"/>
      <c r="Q239" s="827"/>
      <c r="R239" s="827"/>
      <c r="S239" s="827"/>
      <c r="T239" s="827"/>
      <c r="U239" s="827"/>
      <c r="V239" s="827"/>
      <c r="W239" s="827"/>
      <c r="X239" s="827"/>
      <c r="Y239" s="827"/>
      <c r="Z239" s="827"/>
      <c r="AA239" s="827"/>
      <c r="AB239" s="827"/>
      <c r="AC239" s="827"/>
      <c r="AD239" s="827"/>
      <c r="AE239" s="827"/>
      <c r="AF239" s="827"/>
      <c r="AG239" s="827"/>
      <c r="AH239" s="827"/>
      <c r="AI239" s="827"/>
      <c r="AJ239" s="827"/>
    </row>
    <row r="240" spans="1:36" x14ac:dyDescent="0.25">
      <c r="A240" s="827"/>
      <c r="B240" s="827" t="str">
        <v>Plant design capacity (kg of H2/day)</v>
      </c>
      <c r="C240" s="827"/>
      <c r="D240" s="827"/>
      <c r="E240" s="827"/>
      <c r="F240" s="827"/>
      <c r="G240" s="827"/>
      <c r="H240" s="827"/>
      <c r="I240" s="827"/>
      <c r="J240" s="827"/>
      <c r="K240" s="827"/>
      <c r="L240" s="827"/>
      <c r="M240" s="827"/>
      <c r="N240" s="827"/>
      <c r="O240" s="827"/>
      <c r="P240" s="827"/>
      <c r="Q240" s="827"/>
      <c r="R240" s="827"/>
      <c r="S240" s="827"/>
      <c r="T240" s="827"/>
      <c r="U240" s="827"/>
      <c r="V240" s="827"/>
      <c r="W240" s="827"/>
      <c r="X240" s="827"/>
      <c r="Y240" s="827"/>
      <c r="Z240" s="827"/>
      <c r="AA240" s="827"/>
      <c r="AB240" s="827"/>
      <c r="AC240" s="827"/>
      <c r="AD240" s="827"/>
      <c r="AE240" s="827"/>
      <c r="AF240" s="827"/>
      <c r="AG240" s="827"/>
      <c r="AH240" s="827"/>
      <c r="AI240" s="827"/>
      <c r="AJ240" s="827"/>
    </row>
    <row r="241" spans="1:36" x14ac:dyDescent="0.25">
      <c r="A241" s="827"/>
      <c r="B241" s="827" t="str">
        <v>After-tax real IRR (%)</v>
      </c>
      <c r="C241" s="827"/>
      <c r="D241" s="827"/>
      <c r="E241" s="827"/>
      <c r="F241" s="827"/>
      <c r="G241" s="827"/>
      <c r="H241" s="827"/>
      <c r="I241" s="827"/>
      <c r="J241" s="827"/>
      <c r="K241" s="827"/>
      <c r="L241" s="827"/>
      <c r="M241" s="827"/>
      <c r="N241" s="827"/>
      <c r="O241" s="827"/>
      <c r="P241" s="827"/>
      <c r="Q241" s="827"/>
      <c r="R241" s="827"/>
      <c r="S241" s="827"/>
      <c r="T241" s="827"/>
      <c r="U241" s="827"/>
      <c r="V241" s="827"/>
      <c r="W241" s="827"/>
      <c r="X241" s="827"/>
      <c r="Y241" s="827"/>
      <c r="Z241" s="827"/>
      <c r="AA241" s="827"/>
      <c r="AB241" s="827"/>
      <c r="AC241" s="827"/>
      <c r="AD241" s="827"/>
      <c r="AE241" s="827"/>
      <c r="AF241" s="827"/>
      <c r="AG241" s="827"/>
      <c r="AH241" s="827"/>
      <c r="AI241" s="827"/>
      <c r="AJ241" s="827"/>
    </row>
    <row r="242" spans="1:36" x14ac:dyDescent="0.25">
      <c r="A242" s="827"/>
      <c r="B242" s="827" t="str">
        <v>Feedstock consumption (% of most likely value)</v>
      </c>
      <c r="C242" s="827"/>
      <c r="D242" s="827"/>
      <c r="E242" s="827"/>
      <c r="F242" s="827"/>
      <c r="G242" s="827"/>
      <c r="H242" s="827"/>
      <c r="I242" s="827"/>
      <c r="J242" s="827"/>
      <c r="K242" s="827"/>
      <c r="L242" s="827"/>
      <c r="M242" s="827"/>
      <c r="N242" s="827"/>
      <c r="O242" s="827"/>
      <c r="P242" s="827"/>
      <c r="Q242" s="827"/>
      <c r="R242" s="827"/>
      <c r="S242" s="827"/>
      <c r="T242" s="827"/>
      <c r="U242" s="827"/>
      <c r="V242" s="827"/>
      <c r="W242" s="827"/>
      <c r="X242" s="827"/>
      <c r="Y242" s="827"/>
      <c r="Z242" s="827"/>
      <c r="AA242" s="827"/>
      <c r="AB242" s="827"/>
      <c r="AC242" s="827"/>
      <c r="AD242" s="827"/>
      <c r="AE242" s="827"/>
      <c r="AF242" s="827"/>
      <c r="AG242" s="827"/>
      <c r="AH242" s="827"/>
      <c r="AI242" s="827"/>
      <c r="AJ242" s="827"/>
    </row>
    <row r="243" spans="1:36" x14ac:dyDescent="0.25">
      <c r="A243" s="827"/>
      <c r="B243" s="827" t="str">
        <v>Utilities consumption (% of most likely value)</v>
      </c>
      <c r="C243" s="827"/>
      <c r="D243" s="827"/>
      <c r="E243" s="827"/>
      <c r="F243" s="827"/>
      <c r="G243" s="827"/>
      <c r="H243" s="827"/>
      <c r="I243" s="827"/>
      <c r="J243" s="827"/>
      <c r="K243" s="827"/>
      <c r="L243" s="827"/>
      <c r="M243" s="827"/>
      <c r="N243" s="827"/>
      <c r="O243" s="827"/>
      <c r="P243" s="827"/>
      <c r="Q243" s="827"/>
      <c r="R243" s="827"/>
      <c r="S243" s="827"/>
      <c r="T243" s="827"/>
      <c r="U243" s="827"/>
      <c r="V243" s="827"/>
      <c r="W243" s="827"/>
      <c r="X243" s="827"/>
      <c r="Y243" s="827"/>
      <c r="Z243" s="827"/>
      <c r="AA243" s="827"/>
      <c r="AB243" s="827"/>
      <c r="AC243" s="827"/>
      <c r="AD243" s="827"/>
      <c r="AE243" s="827"/>
      <c r="AF243" s="827"/>
      <c r="AG243" s="827"/>
      <c r="AH243" s="827"/>
      <c r="AI243" s="827"/>
      <c r="AJ243" s="827"/>
    </row>
    <row r="244" spans="1:36" x14ac:dyDescent="0.25">
      <c r="A244" s="827"/>
      <c r="B244" s="827" t="str">
        <v>Total capital investment ($)</v>
      </c>
      <c r="C244" s="827"/>
      <c r="D244" s="827"/>
      <c r="E244" s="827"/>
      <c r="F244" s="827"/>
      <c r="G244" s="827"/>
      <c r="H244" s="827"/>
      <c r="I244" s="827"/>
      <c r="J244" s="827"/>
      <c r="K244" s="827"/>
      <c r="L244" s="827"/>
      <c r="M244" s="827"/>
      <c r="N244" s="827"/>
      <c r="O244" s="827"/>
      <c r="P244" s="827"/>
      <c r="Q244" s="827"/>
      <c r="R244" s="827"/>
      <c r="S244" s="827"/>
      <c r="T244" s="827"/>
      <c r="U244" s="827"/>
      <c r="V244" s="827"/>
      <c r="W244" s="827"/>
      <c r="X244" s="827"/>
      <c r="Y244" s="827"/>
      <c r="Z244" s="827"/>
      <c r="AA244" s="827"/>
      <c r="AB244" s="827"/>
      <c r="AC244" s="827"/>
      <c r="AD244" s="827"/>
      <c r="AE244" s="827"/>
      <c r="AF244" s="827"/>
      <c r="AG244" s="827"/>
      <c r="AH244" s="827"/>
      <c r="AI244" s="827"/>
      <c r="AJ244" s="827"/>
    </row>
    <row r="245" spans="1:36" x14ac:dyDescent="0.25">
      <c r="A245" s="827"/>
      <c r="B245" s="827" t="str">
        <v>Total fixed operating cost ($/year)</v>
      </c>
      <c r="C245" s="827"/>
      <c r="D245" s="827"/>
      <c r="E245" s="827"/>
      <c r="F245" s="827"/>
      <c r="G245" s="827"/>
      <c r="H245" s="827"/>
      <c r="I245" s="827"/>
      <c r="J245" s="827"/>
      <c r="K245" s="827"/>
      <c r="L245" s="827"/>
      <c r="M245" s="827"/>
      <c r="N245" s="827"/>
      <c r="O245" s="827"/>
      <c r="P245" s="827"/>
      <c r="Q245" s="827"/>
      <c r="R245" s="827"/>
      <c r="S245" s="827"/>
      <c r="T245" s="827"/>
      <c r="U245" s="827"/>
      <c r="V245" s="827"/>
      <c r="W245" s="827"/>
      <c r="X245" s="827"/>
      <c r="Y245" s="827"/>
      <c r="Z245" s="827"/>
      <c r="AA245" s="827"/>
      <c r="AB245" s="827"/>
      <c r="AC245" s="827"/>
      <c r="AD245" s="827"/>
      <c r="AE245" s="827"/>
      <c r="AF245" s="827"/>
      <c r="AG245" s="827"/>
      <c r="AH245" s="827"/>
      <c r="AI245" s="827"/>
      <c r="AJ245" s="827"/>
    </row>
    <row r="246" spans="1:36" x14ac:dyDescent="0.25">
      <c r="A246" s="827"/>
      <c r="B246" s="827"/>
      <c r="C246" s="827"/>
      <c r="D246" s="827"/>
      <c r="E246" s="827"/>
      <c r="F246" s="827"/>
      <c r="G246" s="827"/>
      <c r="H246" s="827"/>
      <c r="I246" s="827"/>
      <c r="J246" s="827"/>
      <c r="K246" s="827"/>
      <c r="L246" s="827"/>
      <c r="M246" s="827"/>
      <c r="N246" s="827"/>
      <c r="O246" s="827"/>
      <c r="P246" s="827"/>
      <c r="Q246" s="827"/>
      <c r="R246" s="827"/>
      <c r="S246" s="827"/>
      <c r="T246" s="827"/>
      <c r="U246" s="827"/>
      <c r="V246" s="827"/>
      <c r="W246" s="827"/>
      <c r="X246" s="827"/>
      <c r="Y246" s="827"/>
      <c r="Z246" s="827"/>
      <c r="AA246" s="827"/>
      <c r="AB246" s="827"/>
      <c r="AC246" s="827"/>
      <c r="AD246" s="827"/>
      <c r="AE246" s="827"/>
      <c r="AF246" s="827"/>
      <c r="AG246" s="827"/>
      <c r="AH246" s="827"/>
      <c r="AI246" s="827"/>
      <c r="AJ246" s="827"/>
    </row>
    <row r="247" spans="1:36" x14ac:dyDescent="0.25">
      <c r="A247" s="827"/>
      <c r="B247" s="827"/>
      <c r="C247" s="827"/>
      <c r="D247" s="827"/>
      <c r="E247" s="827"/>
      <c r="F247" s="827"/>
      <c r="G247" s="827"/>
      <c r="H247" s="827"/>
      <c r="I247" s="827"/>
      <c r="J247" s="827"/>
      <c r="K247" s="827"/>
      <c r="L247" s="827"/>
      <c r="M247" s="827"/>
      <c r="N247" s="827"/>
      <c r="O247" s="827"/>
      <c r="P247" s="827"/>
      <c r="Q247" s="827"/>
      <c r="R247" s="827"/>
      <c r="S247" s="827"/>
      <c r="T247" s="827"/>
      <c r="U247" s="827"/>
      <c r="V247" s="827"/>
      <c r="W247" s="827"/>
      <c r="X247" s="827"/>
      <c r="Y247" s="827"/>
      <c r="Z247" s="827"/>
      <c r="AA247" s="827"/>
      <c r="AB247" s="827"/>
      <c r="AC247" s="827"/>
      <c r="AD247" s="827"/>
      <c r="AE247" s="827"/>
      <c r="AF247" s="827"/>
      <c r="AG247" s="827"/>
      <c r="AH247" s="827"/>
      <c r="AI247" s="827"/>
      <c r="AJ247" s="827"/>
    </row>
    <row r="248" spans="1:36" x14ac:dyDescent="0.25">
      <c r="A248" s="827"/>
      <c r="B248" s="828"/>
      <c r="C248">
        <f ca="1">+RAND()</f>
        <v>0.97495734372905074</v>
      </c>
      <c r="D248">
        <f t="shared" ref="D248:I248" ca="1" si="96">+RAND()</f>
        <v>0.479826473312568</v>
      </c>
      <c r="E248">
        <f t="shared" ca="1" si="96"/>
        <v>0.19474910985895921</v>
      </c>
      <c r="F248">
        <f t="shared" ca="1" si="96"/>
        <v>0.98343477678506197</v>
      </c>
      <c r="G248">
        <f t="shared" ca="1" si="96"/>
        <v>0.39067537589898504</v>
      </c>
      <c r="H248">
        <f t="shared" ca="1" si="96"/>
        <v>0.87218059264559655</v>
      </c>
      <c r="I248">
        <f t="shared" ca="1" si="96"/>
        <v>0.76771895418547365</v>
      </c>
      <c r="J248" s="827"/>
      <c r="K248" s="827"/>
      <c r="L248" s="827"/>
      <c r="M248" s="827"/>
      <c r="N248" s="827"/>
      <c r="O248" s="827"/>
      <c r="P248" s="827"/>
      <c r="Q248" s="827"/>
      <c r="R248" s="827"/>
      <c r="S248" s="827"/>
      <c r="T248" s="827"/>
      <c r="U248" s="827"/>
      <c r="V248" s="827"/>
      <c r="W248" s="827"/>
      <c r="X248" s="827"/>
      <c r="Y248" s="827"/>
      <c r="Z248" s="827"/>
      <c r="AA248" s="827"/>
      <c r="AB248" s="827"/>
      <c r="AC248" s="827"/>
      <c r="AD248" s="827"/>
      <c r="AE248" s="827"/>
      <c r="AF248" s="827"/>
      <c r="AG248" s="827"/>
      <c r="AH248" s="827"/>
      <c r="AI248" s="827"/>
      <c r="AJ248" s="827"/>
    </row>
    <row r="249" spans="1:36" x14ac:dyDescent="0.25">
      <c r="A249" s="827"/>
      <c r="B249" s="281"/>
      <c r="C249" s="832">
        <f ca="1">IFERROR(IF(C$248&lt;=(C$190-C$189)/(C$191-C$189),C$189+SQRT(C$248*(C$191-C$189)*(C$190-C$189)),C$191-SQRT((1-C$248)*(C$191-C$189)*(C$191-C$190))),1)</f>
        <v>1.0388101259455369</v>
      </c>
      <c r="D249" s="832">
        <f t="shared" ref="D249:I249" ca="1" si="97">IFERROR(IF(D$248&lt;=(D$190-D$189)/(D$191-D$189),D$189+SQRT(D$248*(D$191-D$189)*(D$190-D$189)),D$191-SQRT((1-D$248)*(D$191-D$189)*(D$191-D$190))),1)</f>
        <v>0.99898093880850836</v>
      </c>
      <c r="E249" s="832">
        <f t="shared" ca="1" si="97"/>
        <v>0.98120489623912877</v>
      </c>
      <c r="F249" s="832">
        <f t="shared" ca="1" si="97"/>
        <v>1.0408991145444693</v>
      </c>
      <c r="G249" s="832">
        <f t="shared" ca="1" si="97"/>
        <v>0.99419702342347194</v>
      </c>
      <c r="H249" s="832">
        <f t="shared" ca="1" si="97"/>
        <v>1.0247196313956459</v>
      </c>
      <c r="I249" s="832">
        <f t="shared" ca="1" si="97"/>
        <v>1.0159206040389119</v>
      </c>
    </row>
    <row r="250" spans="1:36" x14ac:dyDescent="0.25">
      <c r="A250" s="827"/>
      <c r="B250" s="281"/>
    </row>
    <row r="251" spans="1:36" x14ac:dyDescent="0.25">
      <c r="A251" s="827"/>
      <c r="B251" s="1066">
        <v>1</v>
      </c>
      <c r="C251" s="832">
        <v>0.99836424674881719</v>
      </c>
      <c r="D251" s="832">
        <v>0.99633141805250103</v>
      </c>
      <c r="E251" s="832">
        <v>0.99052953020720069</v>
      </c>
      <c r="F251" s="832">
        <v>0.98620108522296279</v>
      </c>
      <c r="G251" s="832">
        <v>0.98899011285669447</v>
      </c>
      <c r="H251" s="832">
        <v>1.002108887037471</v>
      </c>
      <c r="I251" s="832">
        <v>0.99519023120406658</v>
      </c>
      <c r="K251">
        <v>1.7371446381237097</v>
      </c>
      <c r="L251">
        <v>0</v>
      </c>
      <c r="M251">
        <v>1.4210960724778765E-3</v>
      </c>
      <c r="N251">
        <v>0.13899668378666283</v>
      </c>
      <c r="O251">
        <v>1.7895169212659268E-2</v>
      </c>
      <c r="P251">
        <v>1.9701742070460632E-2</v>
      </c>
      <c r="Q251">
        <v>2.1480106916304796E-3</v>
      </c>
      <c r="R251">
        <v>1.4123655725331486E-3</v>
      </c>
      <c r="S251">
        <v>0.15263502995148723</v>
      </c>
      <c r="T251">
        <v>1.0722041572583945</v>
      </c>
      <c r="U251">
        <v>2.3360740305207461E-2</v>
      </c>
      <c r="V251">
        <v>0.20669823746374719</v>
      </c>
      <c r="W251">
        <v>8.362652143514776E-2</v>
      </c>
      <c r="X251">
        <v>1.6043082946007176E-2</v>
      </c>
      <c r="Y251">
        <v>3.843993502249374E-3</v>
      </c>
    </row>
    <row r="252" spans="1:36" x14ac:dyDescent="0.25">
      <c r="A252" s="827"/>
      <c r="B252" s="1066">
        <v>2</v>
      </c>
      <c r="C252" s="832">
        <v>1.0177363235097088</v>
      </c>
      <c r="D252" s="832">
        <v>1.0294672448333679</v>
      </c>
      <c r="E252" s="832">
        <v>0.98370114365558681</v>
      </c>
      <c r="F252" s="832">
        <v>1.0199040539432289</v>
      </c>
      <c r="G252" s="832">
        <v>0.98587440504541868</v>
      </c>
      <c r="H252" s="832">
        <v>1.009991663552732</v>
      </c>
      <c r="I252" s="832">
        <v>0.98264441286729398</v>
      </c>
      <c r="K252">
        <v>1.7176794140471296</v>
      </c>
      <c r="L252">
        <v>0</v>
      </c>
      <c r="M252">
        <v>1.4044082581478477E-3</v>
      </c>
      <c r="N252">
        <v>0.13447865476738396</v>
      </c>
      <c r="O252">
        <v>1.7296693543358783E-2</v>
      </c>
      <c r="P252">
        <v>1.9451252573351906E-2</v>
      </c>
      <c r="Q252">
        <v>2.0673707203362427E-3</v>
      </c>
      <c r="R252">
        <v>1.3958249254647159E-3</v>
      </c>
      <c r="S252">
        <v>0.1463896514771412</v>
      </c>
      <c r="T252">
        <v>1.0728134124034749</v>
      </c>
      <c r="U252">
        <v>2.2916080874341223E-2</v>
      </c>
      <c r="V252">
        <v>0.20171463613504986</v>
      </c>
      <c r="W252">
        <v>8.1290624576527512E-2</v>
      </c>
      <c r="X252">
        <v>1.5470644995294889E-2</v>
      </c>
      <c r="Y252">
        <v>3.7989753135519409E-3</v>
      </c>
    </row>
    <row r="253" spans="1:36" x14ac:dyDescent="0.25">
      <c r="A253" s="827"/>
      <c r="B253" s="1066">
        <v>3</v>
      </c>
      <c r="C253" s="832">
        <v>0.99216116240744945</v>
      </c>
      <c r="D253" s="832">
        <v>1.0166575364764305</v>
      </c>
      <c r="E253" s="832">
        <v>1.0094628713525107</v>
      </c>
      <c r="F253" s="832">
        <v>0.97577796875029343</v>
      </c>
      <c r="G253" s="832">
        <v>0.98180161191138038</v>
      </c>
      <c r="H253" s="832">
        <v>1.0195531976319918</v>
      </c>
      <c r="I253" s="832">
        <v>0.98592622890874293</v>
      </c>
      <c r="K253">
        <v>1.7413052646783815</v>
      </c>
      <c r="L253">
        <v>0</v>
      </c>
      <c r="M253">
        <v>1.385298833149964E-3</v>
      </c>
      <c r="N253">
        <v>0.14373007227820986</v>
      </c>
      <c r="O253">
        <v>1.7843198859742577E-2</v>
      </c>
      <c r="P253">
        <v>1.9937737292661455E-2</v>
      </c>
      <c r="Q253">
        <v>2.1865286462293986E-3</v>
      </c>
      <c r="R253">
        <v>1.3769201402777864E-3</v>
      </c>
      <c r="S253">
        <v>0.15212514189069862</v>
      </c>
      <c r="T253">
        <v>1.0705240451655849</v>
      </c>
      <c r="U253">
        <v>2.3506793837517019E-2</v>
      </c>
      <c r="V253">
        <v>0.20551234617363942</v>
      </c>
      <c r="W253">
        <v>8.5361275164454034E-2</v>
      </c>
      <c r="X253">
        <v>1.6838981342283031E-2</v>
      </c>
      <c r="Y253">
        <v>3.7475227202338809E-3</v>
      </c>
    </row>
    <row r="254" spans="1:36" x14ac:dyDescent="0.25">
      <c r="A254" s="827"/>
      <c r="B254" s="1066">
        <v>4</v>
      </c>
      <c r="C254" s="832">
        <v>0.98827910786606521</v>
      </c>
      <c r="D254" s="832">
        <v>0.98524284815860064</v>
      </c>
      <c r="E254" s="832">
        <v>0.97961738090266215</v>
      </c>
      <c r="F254" s="832">
        <v>0.97043670013001149</v>
      </c>
      <c r="G254" s="832">
        <v>1.0187361184086348</v>
      </c>
      <c r="H254" s="832">
        <v>0.98452218715522577</v>
      </c>
      <c r="I254" s="832">
        <v>0.98474328452603743</v>
      </c>
      <c r="K254">
        <v>1.7373768401522132</v>
      </c>
      <c r="L254">
        <v>0</v>
      </c>
      <c r="M254">
        <v>1.4504472599510786E-3</v>
      </c>
      <c r="N254">
        <v>0.13711259243256291</v>
      </c>
      <c r="O254">
        <v>1.8169763554983783E-2</v>
      </c>
      <c r="P254">
        <v>1.9576732034888907E-2</v>
      </c>
      <c r="Q254">
        <v>2.1549950139604333E-3</v>
      </c>
      <c r="R254">
        <v>1.4413855722786417E-3</v>
      </c>
      <c r="S254">
        <v>0.15201893808405831</v>
      </c>
      <c r="T254">
        <v>1.0731786196890651</v>
      </c>
      <c r="U254">
        <v>2.3599130764447914E-2</v>
      </c>
      <c r="V254">
        <v>0.20885102800140903</v>
      </c>
      <c r="W254">
        <v>8.3117728806574295E-2</v>
      </c>
      <c r="X254">
        <v>1.5683397082816884E-2</v>
      </c>
      <c r="Y254">
        <v>3.9229763751162617E-3</v>
      </c>
    </row>
    <row r="255" spans="1:36" x14ac:dyDescent="0.25">
      <c r="A255" s="827"/>
      <c r="B255" s="1066">
        <v>5</v>
      </c>
      <c r="C255" s="832">
        <v>1.0128715418267291</v>
      </c>
      <c r="D255" s="832">
        <v>0.97436387484648679</v>
      </c>
      <c r="E255" s="832">
        <v>0.9788331363323699</v>
      </c>
      <c r="F255" s="832">
        <v>1.0232595036405905</v>
      </c>
      <c r="G255" s="832">
        <v>1.0090554325969165</v>
      </c>
      <c r="H255" s="832">
        <v>1.0035084165665602</v>
      </c>
      <c r="I255" s="832">
        <v>0.98246647084999794</v>
      </c>
      <c r="K255">
        <v>1.7324285572652349</v>
      </c>
      <c r="L255">
        <v>0</v>
      </c>
      <c r="M255">
        <v>1.4521941995753074E-3</v>
      </c>
      <c r="N255">
        <v>0.136959746707848</v>
      </c>
      <c r="O255">
        <v>1.7818208975059525E-2</v>
      </c>
      <c r="P255">
        <v>1.9509144943115182E-2</v>
      </c>
      <c r="Q255">
        <v>2.1096729083706855E-3</v>
      </c>
      <c r="R255">
        <v>1.4433013857222932E-3</v>
      </c>
      <c r="S255">
        <v>0.15000761319812816</v>
      </c>
      <c r="T255">
        <v>1.0732488257217623</v>
      </c>
      <c r="U255">
        <v>2.3026145898265321E-2</v>
      </c>
      <c r="V255">
        <v>0.20720244574594243</v>
      </c>
      <c r="W255">
        <v>8.3070291097141605E-2</v>
      </c>
      <c r="X255">
        <v>1.5557164295690344E-2</v>
      </c>
      <c r="Y255">
        <v>3.9281905877621478E-3</v>
      </c>
    </row>
    <row r="256" spans="1:36" x14ac:dyDescent="0.25">
      <c r="A256" s="827"/>
      <c r="B256" s="1066">
        <v>6</v>
      </c>
      <c r="C256" s="832">
        <v>0.99457085241103138</v>
      </c>
      <c r="D256" s="832">
        <v>1.016348750241781</v>
      </c>
      <c r="E256" s="832">
        <v>1.0171937310926185</v>
      </c>
      <c r="F256" s="832">
        <v>0.95683626786663623</v>
      </c>
      <c r="G256" s="832">
        <v>1.0313080975669893</v>
      </c>
      <c r="H256" s="832">
        <v>1.040259161585092</v>
      </c>
      <c r="I256" s="832">
        <v>1.0255861318736399</v>
      </c>
      <c r="K256">
        <v>1.7537255735309407</v>
      </c>
      <c r="L256">
        <v>0</v>
      </c>
      <c r="M256">
        <v>1.3873822813929887E-3</v>
      </c>
      <c r="N256">
        <v>0.14746472364122051</v>
      </c>
      <c r="O256">
        <v>1.7802412280576742E-2</v>
      </c>
      <c r="P256">
        <v>2.0138882763877632E-2</v>
      </c>
      <c r="Q256">
        <v>2.1983695162062339E-3</v>
      </c>
      <c r="R256">
        <v>1.3791582145058548E-3</v>
      </c>
      <c r="S256">
        <v>0.15940259198049705</v>
      </c>
      <c r="T256">
        <v>1.0698419164607875</v>
      </c>
      <c r="U256">
        <v>2.344984054355188E-2</v>
      </c>
      <c r="V256">
        <v>0.20527837341308583</v>
      </c>
      <c r="W256">
        <v>8.7121493321253074E-2</v>
      </c>
      <c r="X256">
        <v>1.7281579656269582E-2</v>
      </c>
      <c r="Y256">
        <v>3.7536140205017129E-3</v>
      </c>
    </row>
    <row r="257" spans="1:25" x14ac:dyDescent="0.25">
      <c r="A257" s="827"/>
      <c r="B257" s="1066">
        <v>7</v>
      </c>
      <c r="C257" s="832">
        <v>0.98532244952932269</v>
      </c>
      <c r="D257" s="832">
        <v>0.98171552589559974</v>
      </c>
      <c r="E257" s="832">
        <v>1.0001547334280407</v>
      </c>
      <c r="F257" s="832">
        <v>0.98256826567477795</v>
      </c>
      <c r="G257" s="832">
        <v>1.0185700034160832</v>
      </c>
      <c r="H257" s="832">
        <v>1.0058602443523958</v>
      </c>
      <c r="I257" s="832">
        <v>0.99153596153436907</v>
      </c>
      <c r="K257">
        <v>1.7503181593077994</v>
      </c>
      <c r="L257">
        <v>0</v>
      </c>
      <c r="M257">
        <v>1.425830072832221E-3</v>
      </c>
      <c r="N257">
        <v>0.14370487123388476</v>
      </c>
      <c r="O257">
        <v>1.8253975132999881E-2</v>
      </c>
      <c r="P257">
        <v>1.9911964610221631E-2</v>
      </c>
      <c r="Q257">
        <v>2.2097419103689229E-3</v>
      </c>
      <c r="R257">
        <v>1.4171137208980388E-3</v>
      </c>
      <c r="S257">
        <v>0.15531032108166817</v>
      </c>
      <c r="T257">
        <v>1.0713483425266968</v>
      </c>
      <c r="U257">
        <v>2.366994470636901E-2</v>
      </c>
      <c r="V257">
        <v>0.20952074602734819</v>
      </c>
      <c r="W257">
        <v>8.5889783184250099E-2</v>
      </c>
      <c r="X257">
        <v>1.66502688490551E-2</v>
      </c>
      <c r="Y257">
        <v>3.8569163968719166E-3</v>
      </c>
    </row>
    <row r="258" spans="1:25" x14ac:dyDescent="0.25">
      <c r="A258" s="827"/>
      <c r="B258" s="1066">
        <v>8</v>
      </c>
      <c r="C258" s="832">
        <v>1.0234520693254929</v>
      </c>
      <c r="D258" s="832">
        <v>1.0380753569717063</v>
      </c>
      <c r="E258" s="832">
        <v>1.012083246360272</v>
      </c>
      <c r="F258" s="832">
        <v>0.99689030484281049</v>
      </c>
      <c r="G258" s="832">
        <v>1.0082439596684054</v>
      </c>
      <c r="H258" s="832">
        <v>1.0297074808980047</v>
      </c>
      <c r="I258" s="832">
        <v>1.0096497231051484</v>
      </c>
      <c r="K258">
        <v>1.7258575892306816</v>
      </c>
      <c r="L258">
        <v>0</v>
      </c>
      <c r="M258">
        <v>1.3362196144028513E-3</v>
      </c>
      <c r="N258">
        <v>0.13977881678155324</v>
      </c>
      <c r="O258">
        <v>1.7135593278396095E-2</v>
      </c>
      <c r="P258">
        <v>1.986971792740045E-2</v>
      </c>
      <c r="Q258">
        <v>2.1088726250909468E-3</v>
      </c>
      <c r="R258">
        <v>1.3282040559978716E-3</v>
      </c>
      <c r="S258">
        <v>0.150431251140137</v>
      </c>
      <c r="T258">
        <v>1.0702925842907869</v>
      </c>
      <c r="U258">
        <v>2.2788099801951539E-2</v>
      </c>
      <c r="V258">
        <v>0.20040980936195055</v>
      </c>
      <c r="W258">
        <v>8.2867027490158437E-2</v>
      </c>
      <c r="X258">
        <v>1.6568898493585199E-2</v>
      </c>
      <c r="Y258">
        <v>3.6149335980768197E-3</v>
      </c>
    </row>
    <row r="259" spans="1:25" x14ac:dyDescent="0.25">
      <c r="A259" s="827"/>
      <c r="B259" s="1066">
        <v>9</v>
      </c>
      <c r="C259" s="832">
        <v>1.0110391173883333</v>
      </c>
      <c r="D259" s="832">
        <v>1.001543349076579</v>
      </c>
      <c r="E259" s="832">
        <v>1.0261979428381802</v>
      </c>
      <c r="F259" s="832">
        <v>1.0034686087659284</v>
      </c>
      <c r="G259" s="832">
        <v>0.95668373287426522</v>
      </c>
      <c r="H259" s="832">
        <v>0.98381333293286455</v>
      </c>
      <c r="I259" s="832">
        <v>1.0338532427456233</v>
      </c>
      <c r="K259">
        <v>1.7335765941387229</v>
      </c>
      <c r="L259">
        <v>0</v>
      </c>
      <c r="M259">
        <v>1.2748325368289193E-3</v>
      </c>
      <c r="N259">
        <v>0.13929842288562802</v>
      </c>
      <c r="O259">
        <v>1.7629108735744987E-2</v>
      </c>
      <c r="P259">
        <v>2.0187279070705218E-2</v>
      </c>
      <c r="Q259">
        <v>2.1938968442537583E-3</v>
      </c>
      <c r="R259">
        <v>1.2668515659176071E-3</v>
      </c>
      <c r="S259">
        <v>0.1548960922805542</v>
      </c>
      <c r="T259">
        <v>1.0690502871522507</v>
      </c>
      <c r="U259">
        <v>2.3067878875496713E-2</v>
      </c>
      <c r="V259">
        <v>0.20486443379608238</v>
      </c>
      <c r="W259">
        <v>8.1798956119942368E-2</v>
      </c>
      <c r="X259">
        <v>1.7150267004054722E-2</v>
      </c>
      <c r="Y259">
        <v>3.4479523449212593E-3</v>
      </c>
    </row>
    <row r="260" spans="1:25" x14ac:dyDescent="0.25">
      <c r="A260" s="827"/>
      <c r="B260" s="1066">
        <v>10</v>
      </c>
      <c r="C260" s="832">
        <v>1.0043672666305548</v>
      </c>
      <c r="D260" s="832">
        <v>1.0000581462768523</v>
      </c>
      <c r="E260" s="832">
        <v>1.0136931756451859</v>
      </c>
      <c r="F260" s="832">
        <v>1.0378135830334716</v>
      </c>
      <c r="G260" s="832">
        <v>1.0160015675143277</v>
      </c>
      <c r="H260" s="832">
        <v>0.95780293033815511</v>
      </c>
      <c r="I260" s="832">
        <v>1.0088445461150928</v>
      </c>
      <c r="K260">
        <v>1.7241774864024149</v>
      </c>
      <c r="L260">
        <v>0</v>
      </c>
      <c r="M260">
        <v>1.2836753690343324E-3</v>
      </c>
      <c r="N260">
        <v>0.13489739271140749</v>
      </c>
      <c r="O260">
        <v>1.7758148084703204E-2</v>
      </c>
      <c r="P260">
        <v>1.9969550274624614E-2</v>
      </c>
      <c r="Q260">
        <v>2.1823860900617689E-3</v>
      </c>
      <c r="R260">
        <v>1.2754217987124025E-3</v>
      </c>
      <c r="S260">
        <v>0.15037146777354302</v>
      </c>
      <c r="T260">
        <v>1.0701505061175278</v>
      </c>
      <c r="U260">
        <v>2.3221115097214813E-2</v>
      </c>
      <c r="V260">
        <v>0.20570680092047106</v>
      </c>
      <c r="W260">
        <v>7.9885843442930982E-2</v>
      </c>
      <c r="X260">
        <v>1.6571251766840073E-2</v>
      </c>
      <c r="Y260">
        <v>3.4712776934122105E-3</v>
      </c>
    </row>
    <row r="261" spans="1:25" x14ac:dyDescent="0.25">
      <c r="A261" s="827"/>
      <c r="B261" s="1066">
        <v>11</v>
      </c>
      <c r="C261" s="832">
        <v>0.98690228627941901</v>
      </c>
      <c r="D261" s="832">
        <v>1.025447016104557</v>
      </c>
      <c r="E261" s="832">
        <v>0.99012561285014755</v>
      </c>
      <c r="F261" s="832">
        <v>0.97226684110307737</v>
      </c>
      <c r="G261" s="832">
        <v>0.98247402549872676</v>
      </c>
      <c r="H261" s="832">
        <v>0.99844151910409107</v>
      </c>
      <c r="I261" s="832">
        <v>1.0104484813104166</v>
      </c>
      <c r="K261">
        <v>1.7367646402559955</v>
      </c>
      <c r="L261">
        <v>0</v>
      </c>
      <c r="M261">
        <v>1.4150180867164319E-3</v>
      </c>
      <c r="N261">
        <v>0.13822312137662462</v>
      </c>
      <c r="O261">
        <v>1.7868639777061372E-2</v>
      </c>
      <c r="P261">
        <v>1.9708139887373272E-2</v>
      </c>
      <c r="Q261">
        <v>2.1489902691953773E-3</v>
      </c>
      <c r="R261">
        <v>1.4062726145137271E-3</v>
      </c>
      <c r="S261">
        <v>0.15464720018899572</v>
      </c>
      <c r="T261">
        <v>1.0722401474868344</v>
      </c>
      <c r="U261">
        <v>2.3632053773254672E-2</v>
      </c>
      <c r="V261">
        <v>0.20529319889302514</v>
      </c>
      <c r="W261">
        <v>8.3184255233769086E-2</v>
      </c>
      <c r="X261">
        <v>1.6000228362998244E-2</v>
      </c>
      <c r="Y261">
        <v>3.8274104790635803E-3</v>
      </c>
    </row>
    <row r="262" spans="1:25" x14ac:dyDescent="0.25">
      <c r="A262" s="827"/>
      <c r="B262" s="1066">
        <v>12</v>
      </c>
      <c r="C262" s="832">
        <v>1.0364164356211738</v>
      </c>
      <c r="D262" s="832">
        <v>1.0015619129142124</v>
      </c>
      <c r="E262" s="832">
        <v>1.001095256893292</v>
      </c>
      <c r="F262" s="832">
        <v>1.0167147115553177</v>
      </c>
      <c r="G262" s="832">
        <v>0.99749192525663832</v>
      </c>
      <c r="H262" s="832">
        <v>0.99528991140144341</v>
      </c>
      <c r="I262" s="832">
        <v>1.0179826037114943</v>
      </c>
      <c r="K262">
        <v>1.718379815997745</v>
      </c>
      <c r="L262">
        <v>0</v>
      </c>
      <c r="M262">
        <v>1.3265596292776939E-3</v>
      </c>
      <c r="N262">
        <v>0.13408136369352197</v>
      </c>
      <c r="O262">
        <v>1.719730439310253E-2</v>
      </c>
      <c r="P262">
        <v>1.9731566646880864E-2</v>
      </c>
      <c r="Q262">
        <v>2.0872315772014461E-3</v>
      </c>
      <c r="R262">
        <v>1.318350575090446E-3</v>
      </c>
      <c r="S262">
        <v>0.14959127907562159</v>
      </c>
      <c r="T262">
        <v>1.0712649043088216</v>
      </c>
      <c r="U262">
        <v>2.2503047131170649E-2</v>
      </c>
      <c r="V262">
        <v>0.20225982323325878</v>
      </c>
      <c r="W262">
        <v>8.0086454771020874E-2</v>
      </c>
      <c r="X262">
        <v>1.5996934550088045E-2</v>
      </c>
      <c r="Y262">
        <v>3.5881156712459163E-3</v>
      </c>
    </row>
    <row r="263" spans="1:25" x14ac:dyDescent="0.25">
      <c r="A263" s="827"/>
      <c r="B263" s="1066">
        <v>13</v>
      </c>
      <c r="C263" s="832">
        <v>0.98635525508465782</v>
      </c>
      <c r="D263" s="832">
        <v>1.0076239503634643</v>
      </c>
      <c r="E263" s="832">
        <v>0.99940495568682197</v>
      </c>
      <c r="F263" s="832">
        <v>1.0109848255335128</v>
      </c>
      <c r="G263" s="832">
        <v>1.0153709543914204</v>
      </c>
      <c r="H263" s="832">
        <v>0.98957546049298173</v>
      </c>
      <c r="I263" s="832">
        <v>0.9709193298425699</v>
      </c>
      <c r="K263">
        <v>1.7341030273989142</v>
      </c>
      <c r="L263">
        <v>0</v>
      </c>
      <c r="M263">
        <v>1.3870365464764124E-3</v>
      </c>
      <c r="N263">
        <v>0.13945330362452429</v>
      </c>
      <c r="O263">
        <v>1.8020833356796662E-2</v>
      </c>
      <c r="P263">
        <v>1.9782335792235917E-2</v>
      </c>
      <c r="Q263">
        <v>2.1845482520662456E-3</v>
      </c>
      <c r="R263">
        <v>1.3783994471046283E-3</v>
      </c>
      <c r="S263">
        <v>0.14913944963125081</v>
      </c>
      <c r="T263">
        <v>1.0714148827211432</v>
      </c>
      <c r="U263">
        <v>2.3645160076022916E-2</v>
      </c>
      <c r="V263">
        <v>0.20696430363089457</v>
      </c>
      <c r="W263">
        <v>8.3391476506570972E-2</v>
      </c>
      <c r="X263">
        <v>1.6363822001018321E-2</v>
      </c>
      <c r="Y263">
        <v>3.7515489057631801E-3</v>
      </c>
    </row>
    <row r="264" spans="1:25" x14ac:dyDescent="0.25">
      <c r="A264" s="827"/>
      <c r="B264" s="1066">
        <v>14</v>
      </c>
      <c r="C264" s="832">
        <v>1.0096860550776794</v>
      </c>
      <c r="D264" s="832">
        <v>1.0273353552261979</v>
      </c>
      <c r="E264" s="832">
        <v>1.0211120893450316</v>
      </c>
      <c r="F264" s="832">
        <v>0.97097574411094068</v>
      </c>
      <c r="G264" s="832">
        <v>1.0064650174887084</v>
      </c>
      <c r="H264" s="832">
        <v>1.0033133319818688</v>
      </c>
      <c r="I264" s="832">
        <v>0.99766136507508096</v>
      </c>
      <c r="K264">
        <v>1.7272601491674815</v>
      </c>
      <c r="L264">
        <v>0</v>
      </c>
      <c r="M264">
        <v>1.3008850782356728E-3</v>
      </c>
      <c r="N264">
        <v>0.13993294431226905</v>
      </c>
      <c r="O264">
        <v>1.7450925840359476E-2</v>
      </c>
      <c r="P264">
        <v>2.0014131924284216E-2</v>
      </c>
      <c r="Q264">
        <v>2.1652659858212454E-3</v>
      </c>
      <c r="R264">
        <v>1.2928828589103853E-3</v>
      </c>
      <c r="S264">
        <v>0.14947246036833978</v>
      </c>
      <c r="T264">
        <v>1.0694970459856898</v>
      </c>
      <c r="U264">
        <v>2.3098791729384539E-2</v>
      </c>
      <c r="V264">
        <v>0.20272241680052699</v>
      </c>
      <c r="W264">
        <v>8.2453326444637931E-2</v>
      </c>
      <c r="X264">
        <v>1.6942041052257578E-2</v>
      </c>
      <c r="Y264">
        <v>3.5188009432341729E-3</v>
      </c>
    </row>
    <row r="265" spans="1:25" x14ac:dyDescent="0.25">
      <c r="A265" s="827"/>
      <c r="B265" s="1066">
        <v>15</v>
      </c>
      <c r="C265" s="832">
        <v>1.0234667338544503</v>
      </c>
      <c r="D265" s="832">
        <v>0.99857049875060322</v>
      </c>
      <c r="E265" s="832">
        <v>1.0128540225795324</v>
      </c>
      <c r="F265" s="832">
        <v>0.99840008270584069</v>
      </c>
      <c r="G265" s="832">
        <v>0.99556496075025269</v>
      </c>
      <c r="H265" s="832">
        <v>0.96760213548999197</v>
      </c>
      <c r="I265" s="832">
        <v>0.95388123040057382</v>
      </c>
      <c r="K265">
        <v>1.7092511113317408</v>
      </c>
      <c r="L265">
        <v>0</v>
      </c>
      <c r="M265">
        <v>1.2757226895208857E-3</v>
      </c>
      <c r="N265">
        <v>0.1337213424222477</v>
      </c>
      <c r="O265">
        <v>1.7438509687451996E-2</v>
      </c>
      <c r="P265">
        <v>1.978731686749554E-2</v>
      </c>
      <c r="Q265">
        <v>2.141049025880656E-3</v>
      </c>
      <c r="R265">
        <v>1.2676043056796362E-3</v>
      </c>
      <c r="S265">
        <v>0.14026789076405194</v>
      </c>
      <c r="T265">
        <v>1.0702245501368886</v>
      </c>
      <c r="U265">
        <v>2.2787773287431482E-2</v>
      </c>
      <c r="V265">
        <v>0.20384048255202175</v>
      </c>
      <c r="W265">
        <v>7.9234453188725559E-2</v>
      </c>
      <c r="X265">
        <v>1.6365860728973128E-2</v>
      </c>
      <c r="Y265">
        <v>3.4500010544129055E-3</v>
      </c>
    </row>
    <row r="266" spans="1:25" x14ac:dyDescent="0.25">
      <c r="A266" s="827"/>
      <c r="B266" s="1066">
        <v>16</v>
      </c>
      <c r="C266" s="832">
        <v>1.0171042680582301</v>
      </c>
      <c r="D266" s="832">
        <v>0.99373478945993066</v>
      </c>
      <c r="E266" s="832">
        <v>0.97169255961182399</v>
      </c>
      <c r="F266" s="832">
        <v>0.96805475982511191</v>
      </c>
      <c r="G266" s="832">
        <v>0.99077545357981156</v>
      </c>
      <c r="H266" s="832">
        <v>1.0303506750553784</v>
      </c>
      <c r="I266" s="832">
        <v>1.0334806497906606</v>
      </c>
      <c r="K266">
        <v>1.7398979948880826</v>
      </c>
      <c r="L266">
        <v>0</v>
      </c>
      <c r="M266">
        <v>1.4938513256831276E-3</v>
      </c>
      <c r="N266">
        <v>0.13780833687574018</v>
      </c>
      <c r="O266">
        <v>1.7586240702821422E-2</v>
      </c>
      <c r="P266">
        <v>1.9484553648974622E-2</v>
      </c>
      <c r="Q266">
        <v>2.0704780760926553E-3</v>
      </c>
      <c r="R266">
        <v>1.4849273098814621E-3</v>
      </c>
      <c r="S266">
        <v>0.15782191614624361</v>
      </c>
      <c r="T266">
        <v>1.0738891165540447</v>
      </c>
      <c r="U266">
        <v>2.2930321532155802E-2</v>
      </c>
      <c r="V266">
        <v>0.20494033599525766</v>
      </c>
      <c r="W266">
        <v>8.4001547836959206E-2</v>
      </c>
      <c r="X266">
        <v>1.5332588904251159E-2</v>
      </c>
      <c r="Y266">
        <v>4.0414826313411962E-3</v>
      </c>
    </row>
    <row r="267" spans="1:25" x14ac:dyDescent="0.25">
      <c r="A267" s="827"/>
      <c r="B267" s="1066">
        <v>17</v>
      </c>
      <c r="C267" s="832">
        <v>1.0009359082385767</v>
      </c>
      <c r="D267" s="832">
        <v>0.97792159492799624</v>
      </c>
      <c r="E267" s="832">
        <v>0.99597559486427301</v>
      </c>
      <c r="F267" s="832">
        <v>0.96850759108341011</v>
      </c>
      <c r="G267" s="832">
        <v>1.0055367791740188</v>
      </c>
      <c r="H267" s="832">
        <v>0.99138650780057758</v>
      </c>
      <c r="I267" s="832">
        <v>1.0005675907271692</v>
      </c>
      <c r="K267">
        <v>1.7390933677003233</v>
      </c>
      <c r="L267">
        <v>0</v>
      </c>
      <c r="M267">
        <v>1.398070291979662E-3</v>
      </c>
      <c r="N267">
        <v>0.13907439727194917</v>
      </c>
      <c r="O267">
        <v>1.8000854285227404E-2</v>
      </c>
      <c r="P267">
        <v>1.9806362170064488E-2</v>
      </c>
      <c r="Q267">
        <v>2.1692596340626581E-3</v>
      </c>
      <c r="R267">
        <v>1.3894016285093251E-3</v>
      </c>
      <c r="S267">
        <v>0.15347993823244219</v>
      </c>
      <c r="T267">
        <v>1.0717194970774075</v>
      </c>
      <c r="U267">
        <v>2.3300720561964475E-2</v>
      </c>
      <c r="V267">
        <v>0.20815344946728986</v>
      </c>
      <c r="W267">
        <v>8.3360587061171706E-2</v>
      </c>
      <c r="X267">
        <v>1.6255477385534355E-2</v>
      </c>
      <c r="Y267">
        <v>3.7814932166786389E-3</v>
      </c>
    </row>
    <row r="268" spans="1:25" x14ac:dyDescent="0.25">
      <c r="A268" s="827"/>
      <c r="B268" s="1066">
        <v>18</v>
      </c>
      <c r="C268" s="832">
        <v>1.0320793248163092</v>
      </c>
      <c r="D268" s="832">
        <v>1.0268354590404269</v>
      </c>
      <c r="E268" s="832">
        <v>0.98674862060615698</v>
      </c>
      <c r="F268" s="832">
        <v>0.99485501044750868</v>
      </c>
      <c r="G268" s="832">
        <v>1.0473120199505135</v>
      </c>
      <c r="H268" s="832">
        <v>1.0073241518587057</v>
      </c>
      <c r="I268" s="832">
        <v>0.98792758219265708</v>
      </c>
      <c r="K268">
        <v>1.711409302180801</v>
      </c>
      <c r="L268">
        <v>0</v>
      </c>
      <c r="M268">
        <v>1.3740027909969754E-3</v>
      </c>
      <c r="N268">
        <v>0.13281990002203459</v>
      </c>
      <c r="O268">
        <v>1.7076041414255488E-2</v>
      </c>
      <c r="P268">
        <v>1.9454350114676455E-2</v>
      </c>
      <c r="Q268">
        <v>2.0468875406377358E-3</v>
      </c>
      <c r="R268">
        <v>1.3655847799270875E-3</v>
      </c>
      <c r="S268">
        <v>0.14510412360377339</v>
      </c>
      <c r="T268">
        <v>1.0725412878546257</v>
      </c>
      <c r="U268">
        <v>2.2597611770252386E-2</v>
      </c>
      <c r="V268">
        <v>0.20049816164911152</v>
      </c>
      <c r="W268">
        <v>8.0118949812841331E-2</v>
      </c>
      <c r="X268">
        <v>1.5443734803603537E-2</v>
      </c>
      <c r="Y268">
        <v>3.7166716060598134E-3</v>
      </c>
    </row>
    <row r="269" spans="1:25" x14ac:dyDescent="0.25">
      <c r="A269" s="827"/>
      <c r="B269" s="1066">
        <v>19</v>
      </c>
      <c r="C269" s="832">
        <v>1.0107525312078367</v>
      </c>
      <c r="D269" s="832">
        <v>1.0073586929649128</v>
      </c>
      <c r="E269" s="832">
        <v>1.0251524859800218</v>
      </c>
      <c r="F269" s="832">
        <v>0.96582373958821077</v>
      </c>
      <c r="G269" s="832">
        <v>0.98348190497370713</v>
      </c>
      <c r="H269" s="832">
        <v>1.0051684654068358</v>
      </c>
      <c r="I269" s="832">
        <v>1.0003123987079443</v>
      </c>
      <c r="K269">
        <v>1.7334846806712176</v>
      </c>
      <c r="L269">
        <v>0</v>
      </c>
      <c r="M269">
        <v>1.3023426082658892E-3</v>
      </c>
      <c r="N269">
        <v>0.141861744803193</v>
      </c>
      <c r="O269">
        <v>1.7587946819523682E-2</v>
      </c>
      <c r="P269">
        <v>2.0113151344279556E-2</v>
      </c>
      <c r="Q269">
        <v>2.1875432337184362E-3</v>
      </c>
      <c r="R269">
        <v>1.294358874520365E-3</v>
      </c>
      <c r="S269">
        <v>0.15106605574005633</v>
      </c>
      <c r="T269">
        <v>1.0691420436116543</v>
      </c>
      <c r="U269">
        <v>2.3074419482712643E-2</v>
      </c>
      <c r="V269">
        <v>0.20437141963095867</v>
      </c>
      <c r="W269">
        <v>8.3362749223136412E-2</v>
      </c>
      <c r="X269">
        <v>1.7202772344570443E-2</v>
      </c>
      <c r="Y269">
        <v>3.5228181711561227E-3</v>
      </c>
    </row>
    <row r="270" spans="1:25" x14ac:dyDescent="0.25">
      <c r="A270" s="827"/>
      <c r="B270" s="1066">
        <v>20</v>
      </c>
      <c r="C270" s="832">
        <v>0.9922550954260585</v>
      </c>
      <c r="D270" s="832">
        <v>1.0133670274962439</v>
      </c>
      <c r="E270" s="832">
        <v>1.0129539874323201</v>
      </c>
      <c r="F270" s="832">
        <v>1.0266269374340877</v>
      </c>
      <c r="G270" s="832">
        <v>0.98078760649359209</v>
      </c>
      <c r="H270" s="832">
        <v>0.99554796360030273</v>
      </c>
      <c r="I270" s="832">
        <v>0.97563611462295163</v>
      </c>
      <c r="K270">
        <v>1.7335820046047541</v>
      </c>
      <c r="L270">
        <v>0</v>
      </c>
      <c r="M270">
        <v>1.3445969171954966E-3</v>
      </c>
      <c r="N270">
        <v>0.14100883881592993</v>
      </c>
      <c r="O270">
        <v>1.7867682240482591E-2</v>
      </c>
      <c r="P270">
        <v>1.9946368649541264E-2</v>
      </c>
      <c r="Q270">
        <v>2.1965990513031709E-3</v>
      </c>
      <c r="R270">
        <v>1.3362704874210196E-3</v>
      </c>
      <c r="S270">
        <v>0.1490414391491634</v>
      </c>
      <c r="T270">
        <v>1.0702157281794589</v>
      </c>
      <c r="U270">
        <v>2.3504568538686994E-2</v>
      </c>
      <c r="V270">
        <v>0.20579568027844045</v>
      </c>
      <c r="W270">
        <v>8.3546879556394643E-2</v>
      </c>
      <c r="X270">
        <v>1.6829658809813488E-2</v>
      </c>
      <c r="Y270">
        <v>3.6368877653122252E-3</v>
      </c>
    </row>
    <row r="271" spans="1:25" x14ac:dyDescent="0.25">
      <c r="A271" s="827"/>
      <c r="B271" s="1066">
        <v>21</v>
      </c>
      <c r="C271" s="832">
        <v>1.0168654861163531</v>
      </c>
      <c r="D271" s="832">
        <v>1.0037093040225891</v>
      </c>
      <c r="E271" s="832">
        <v>1.005736184753911</v>
      </c>
      <c r="F271" s="832">
        <v>0.99031096327284096</v>
      </c>
      <c r="G271" s="832">
        <v>1.0251587920182637</v>
      </c>
      <c r="H271" s="832">
        <v>0.97167379870257897</v>
      </c>
      <c r="I271" s="832">
        <v>0.9922176109930515</v>
      </c>
      <c r="K271">
        <v>1.7174374980444447</v>
      </c>
      <c r="L271">
        <v>0</v>
      </c>
      <c r="M271">
        <v>1.3058729337723912E-3</v>
      </c>
      <c r="N271">
        <v>0.13388912362223132</v>
      </c>
      <c r="O271">
        <v>1.7510960512178826E-2</v>
      </c>
      <c r="P271">
        <v>1.978685650997241E-2</v>
      </c>
      <c r="Q271">
        <v>2.1355931103927707E-3</v>
      </c>
      <c r="R271">
        <v>1.2975940450093944E-3</v>
      </c>
      <c r="S271">
        <v>0.14682501977672033</v>
      </c>
      <c r="T271">
        <v>1.0708536750476854</v>
      </c>
      <c r="U271">
        <v>2.2935706066076998E-2</v>
      </c>
      <c r="V271">
        <v>0.20405873375892958</v>
      </c>
      <c r="W271">
        <v>7.9718684719319671E-2</v>
      </c>
      <c r="X271">
        <v>1.6199800570946898E-2</v>
      </c>
      <c r="Y271">
        <v>3.5316232387535957E-3</v>
      </c>
    </row>
    <row r="272" spans="1:25" x14ac:dyDescent="0.25">
      <c r="A272" s="827"/>
      <c r="B272" s="1066">
        <v>22</v>
      </c>
      <c r="C272" s="832">
        <v>1.014545879211435</v>
      </c>
      <c r="D272" s="832">
        <v>0.98767068957021387</v>
      </c>
      <c r="E272" s="832">
        <v>0.98818870948041571</v>
      </c>
      <c r="F272" s="832">
        <v>0.97695633760674605</v>
      </c>
      <c r="G272" s="832">
        <v>0.97758385405099424</v>
      </c>
      <c r="H272" s="832">
        <v>1.0040561973838926</v>
      </c>
      <c r="I272" s="832">
        <v>1.0063596451595993</v>
      </c>
      <c r="K272">
        <v>1.7328440683953372</v>
      </c>
      <c r="L272">
        <v>0</v>
      </c>
      <c r="M272">
        <v>1.4136386965588311E-3</v>
      </c>
      <c r="N272">
        <v>0.13726546218651434</v>
      </c>
      <c r="O272">
        <v>1.7679592732907035E-2</v>
      </c>
      <c r="P272">
        <v>1.965150066008356E-2</v>
      </c>
      <c r="Q272">
        <v>2.11559644366092E-3</v>
      </c>
      <c r="R272">
        <v>1.4049770437589073E-3</v>
      </c>
      <c r="S272">
        <v>0.1525778602999571</v>
      </c>
      <c r="T272">
        <v>1.0724128166656517</v>
      </c>
      <c r="U272">
        <v>2.2988145116148766E-2</v>
      </c>
      <c r="V272">
        <v>0.20577206533822032</v>
      </c>
      <c r="W272">
        <v>8.2718312962943602E-2</v>
      </c>
      <c r="X272">
        <v>1.5847493279493492E-2</v>
      </c>
      <c r="Y272">
        <v>3.8238843625537458E-3</v>
      </c>
    </row>
    <row r="273" spans="1:25" x14ac:dyDescent="0.25">
      <c r="A273" s="827"/>
      <c r="B273" s="1066">
        <v>23</v>
      </c>
      <c r="C273" s="832">
        <v>0.99837006799849537</v>
      </c>
      <c r="D273" s="832">
        <v>1.0023322471345262</v>
      </c>
      <c r="E273" s="832">
        <v>1.0103851651499449</v>
      </c>
      <c r="F273" s="832">
        <v>0.97482818452348707</v>
      </c>
      <c r="G273" s="832">
        <v>0.99820572665895424</v>
      </c>
      <c r="H273" s="832">
        <v>1.0090597011962041</v>
      </c>
      <c r="I273" s="832">
        <v>1.0052786001780503</v>
      </c>
      <c r="K273">
        <v>1.7416981742796014</v>
      </c>
      <c r="L273">
        <v>0</v>
      </c>
      <c r="M273">
        <v>1.3686163395314288E-3</v>
      </c>
      <c r="N273">
        <v>0.14239892607766394</v>
      </c>
      <c r="O273">
        <v>1.7846452759686427E-2</v>
      </c>
      <c r="P273">
        <v>1.9986747949692029E-2</v>
      </c>
      <c r="Q273">
        <v>2.1864125515584001E-3</v>
      </c>
      <c r="R273">
        <v>1.3602620796607967E-3</v>
      </c>
      <c r="S273">
        <v>0.1542993560352717</v>
      </c>
      <c r="T273">
        <v>1.0704425482291744</v>
      </c>
      <c r="U273">
        <v>2.336060409449129E-2</v>
      </c>
      <c r="V273">
        <v>0.20613994518083825</v>
      </c>
      <c r="W273">
        <v>8.4517722082317379E-2</v>
      </c>
      <c r="X273">
        <v>1.6825628608214214E-2</v>
      </c>
      <c r="Y273">
        <v>3.7021849705626423E-3</v>
      </c>
    </row>
    <row r="274" spans="1:25" x14ac:dyDescent="0.25">
      <c r="A274" s="827"/>
      <c r="B274" s="1066">
        <v>24</v>
      </c>
      <c r="C274" s="832">
        <v>0.97456455540421683</v>
      </c>
      <c r="D274" s="832">
        <v>1.0083738047446273</v>
      </c>
      <c r="E274" s="832">
        <v>0.96362743249592131</v>
      </c>
      <c r="F274" s="832">
        <v>1.0410348557576066</v>
      </c>
      <c r="G274" s="832">
        <v>1.0240279753052492</v>
      </c>
      <c r="H274" s="832">
        <v>0.97058918648183934</v>
      </c>
      <c r="I274" s="832">
        <v>0.98035030343085461</v>
      </c>
      <c r="K274">
        <v>1.731725876119881</v>
      </c>
      <c r="L274">
        <v>0</v>
      </c>
      <c r="M274">
        <v>1.4838089815757201E-3</v>
      </c>
      <c r="N274">
        <v>0.13343163392422655</v>
      </c>
      <c r="O274">
        <v>1.8232718108514914E-2</v>
      </c>
      <c r="P274">
        <v>1.9339775748299919E-2</v>
      </c>
      <c r="Q274">
        <v>2.1314969718237826E-3</v>
      </c>
      <c r="R274">
        <v>1.4743879668010246E-3</v>
      </c>
      <c r="S274">
        <v>0.15099709519335336</v>
      </c>
      <c r="T274">
        <v>1.074614610033807</v>
      </c>
      <c r="U274">
        <v>2.3931229356714889E-2</v>
      </c>
      <c r="V274">
        <v>0.20820335389520186</v>
      </c>
      <c r="W274">
        <v>8.1794149014211906E-2</v>
      </c>
      <c r="X274">
        <v>1.5046436874730385E-2</v>
      </c>
      <c r="Y274">
        <v>4.0127980137697576E-3</v>
      </c>
    </row>
    <row r="275" spans="1:25" x14ac:dyDescent="0.25">
      <c r="A275" s="827"/>
      <c r="B275" s="1066">
        <v>25</v>
      </c>
      <c r="C275" s="832">
        <v>0.99706785525950725</v>
      </c>
      <c r="D275" s="832">
        <v>1.0045099820345686</v>
      </c>
      <c r="E275" s="832">
        <v>0.99260383859328938</v>
      </c>
      <c r="F275" s="832">
        <v>0.97674829054028245</v>
      </c>
      <c r="G275" s="832">
        <v>0.98813728533106726</v>
      </c>
      <c r="H275" s="832">
        <v>1.0145013762733697</v>
      </c>
      <c r="I275" s="832">
        <v>0.99259272022722034</v>
      </c>
      <c r="K275">
        <v>1.7392461493672973</v>
      </c>
      <c r="L275">
        <v>0</v>
      </c>
      <c r="M275">
        <v>1.42897443259573E-3</v>
      </c>
      <c r="N275">
        <v>0.14068277081100949</v>
      </c>
      <c r="O275">
        <v>1.7852209365238118E-2</v>
      </c>
      <c r="P275">
        <v>1.972431525077099E-2</v>
      </c>
      <c r="Q275">
        <v>2.1487868740878101E-3</v>
      </c>
      <c r="R275">
        <v>1.4202969932227355E-3</v>
      </c>
      <c r="S275">
        <v>0.15280189830604907</v>
      </c>
      <c r="T275">
        <v>1.0720194270883199</v>
      </c>
      <c r="U275">
        <v>2.3391114030281365E-2</v>
      </c>
      <c r="V275">
        <v>0.20608269321159967</v>
      </c>
      <c r="W275">
        <v>8.4520188301856328E-2</v>
      </c>
      <c r="X275">
        <v>1.6165843352682049E-2</v>
      </c>
      <c r="Y275">
        <v>3.8655802147743016E-3</v>
      </c>
    </row>
    <row r="276" spans="1:25" x14ac:dyDescent="0.25">
      <c r="A276" s="827"/>
      <c r="B276" s="1066">
        <v>26</v>
      </c>
      <c r="C276" s="832">
        <v>0.97223110926555201</v>
      </c>
      <c r="D276" s="832">
        <v>1.046432325470446</v>
      </c>
      <c r="E276" s="832">
        <v>1.0223936995967693</v>
      </c>
      <c r="F276" s="832">
        <v>1.0059376980420462</v>
      </c>
      <c r="G276" s="832">
        <v>0.97742251772841349</v>
      </c>
      <c r="H276" s="832">
        <v>0.97780111027951777</v>
      </c>
      <c r="I276" s="832">
        <v>1.012125787442806</v>
      </c>
      <c r="K276">
        <v>1.7372765046615968</v>
      </c>
      <c r="L276">
        <v>0</v>
      </c>
      <c r="M276">
        <v>1.3022361718029952E-3</v>
      </c>
      <c r="N276">
        <v>0.14061298827389326</v>
      </c>
      <c r="O276">
        <v>1.79732834554748E-2</v>
      </c>
      <c r="P276">
        <v>2.0144676062169131E-2</v>
      </c>
      <c r="Q276">
        <v>2.2362285576414272E-3</v>
      </c>
      <c r="R276">
        <v>1.2940045285784367E-3</v>
      </c>
      <c r="S276">
        <v>0.15441881175661806</v>
      </c>
      <c r="T276">
        <v>1.0693843725450554</v>
      </c>
      <c r="U276">
        <v>2.3988666558840761E-2</v>
      </c>
      <c r="V276">
        <v>0.20505338509410756</v>
      </c>
      <c r="W276">
        <v>8.2782497494965676E-2</v>
      </c>
      <c r="X276">
        <v>1.7167972747740508E-2</v>
      </c>
      <c r="Y276">
        <v>3.5218537583123011E-3</v>
      </c>
    </row>
    <row r="277" spans="1:25" x14ac:dyDescent="0.25">
      <c r="A277" s="827"/>
      <c r="B277" s="1066">
        <v>27</v>
      </c>
      <c r="C277" s="832">
        <v>0.98438355210066852</v>
      </c>
      <c r="D277" s="832">
        <v>0.98616741465609803</v>
      </c>
      <c r="E277" s="832">
        <v>1.0130522725723772</v>
      </c>
      <c r="F277" s="832">
        <v>1.013931117243742</v>
      </c>
      <c r="G277" s="832">
        <v>0.99472472106961973</v>
      </c>
      <c r="H277" s="832">
        <v>1.0274155826969231</v>
      </c>
      <c r="I277" s="832">
        <v>1.0315248178040886</v>
      </c>
      <c r="K277">
        <v>1.7645079538193518</v>
      </c>
      <c r="L277">
        <v>0</v>
      </c>
      <c r="M277">
        <v>1.4157661484583465E-3</v>
      </c>
      <c r="N277">
        <v>0.14854845949529763</v>
      </c>
      <c r="O277">
        <v>1.8233905905620771E-2</v>
      </c>
      <c r="P277">
        <v>2.0190263252049482E-2</v>
      </c>
      <c r="Q277">
        <v>2.2368461243087723E-3</v>
      </c>
      <c r="R277">
        <v>1.4072897478843392E-3</v>
      </c>
      <c r="S277">
        <v>0.16305571794076498</v>
      </c>
      <c r="T277">
        <v>1.0702070548262974</v>
      </c>
      <c r="U277">
        <v>2.3692520916804266E-2</v>
      </c>
      <c r="V277">
        <v>0.20919569704779256</v>
      </c>
      <c r="W277">
        <v>8.8008193550992903E-2</v>
      </c>
      <c r="X277">
        <v>1.7317592379196275E-2</v>
      </c>
      <c r="Y277">
        <v>3.8301787808004612E-3</v>
      </c>
    </row>
    <row r="278" spans="1:25" x14ac:dyDescent="0.25">
      <c r="A278" s="827"/>
      <c r="B278" s="1066">
        <v>28</v>
      </c>
      <c r="C278" s="832">
        <v>0.9970213495399356</v>
      </c>
      <c r="D278" s="832">
        <v>1.0372061234006806</v>
      </c>
      <c r="E278" s="832">
        <v>0.9807737292027231</v>
      </c>
      <c r="F278" s="832">
        <v>1.0237782819146339</v>
      </c>
      <c r="G278" s="832">
        <v>0.9973009370813839</v>
      </c>
      <c r="H278" s="832">
        <v>1.0200703327085083</v>
      </c>
      <c r="I278" s="832">
        <v>1.0277434827497991</v>
      </c>
      <c r="K278">
        <v>1.7362271891370922</v>
      </c>
      <c r="L278">
        <v>0</v>
      </c>
      <c r="M278">
        <v>1.4519125468848513E-3</v>
      </c>
      <c r="N278">
        <v>0.13777318126847302</v>
      </c>
      <c r="O278">
        <v>1.7596499291860114E-2</v>
      </c>
      <c r="P278">
        <v>1.9574395976870426E-2</v>
      </c>
      <c r="Q278">
        <v>2.0982293196341647E-3</v>
      </c>
      <c r="R278">
        <v>1.4431212876004169E-3</v>
      </c>
      <c r="S278">
        <v>0.15653948907667081</v>
      </c>
      <c r="T278">
        <v>1.0730751448678915</v>
      </c>
      <c r="U278">
        <v>2.339220510078855E-2</v>
      </c>
      <c r="V278">
        <v>0.2031879914636987</v>
      </c>
      <c r="W278">
        <v>8.3451200971018602E-2</v>
      </c>
      <c r="X278">
        <v>1.5619942639427781E-2</v>
      </c>
      <c r="Y278">
        <v>3.9277004200437299E-3</v>
      </c>
    </row>
    <row r="279" spans="1:25" x14ac:dyDescent="0.25">
      <c r="A279" s="827"/>
      <c r="B279" s="1066">
        <v>29</v>
      </c>
      <c r="C279" s="832">
        <v>0.97695165574928056</v>
      </c>
      <c r="D279" s="832">
        <v>1.0367463111722237</v>
      </c>
      <c r="E279" s="832">
        <v>1.0078004047107221</v>
      </c>
      <c r="F279" s="832">
        <v>1.0332869871230637</v>
      </c>
      <c r="G279" s="832">
        <v>1.0045807833032254</v>
      </c>
      <c r="H279" s="832">
        <v>0.99317484826876978</v>
      </c>
      <c r="I279" s="832">
        <v>1.017089141478124</v>
      </c>
      <c r="K279">
        <v>1.7409217405604391</v>
      </c>
      <c r="L279">
        <v>0</v>
      </c>
      <c r="M279">
        <v>1.363194532795924E-3</v>
      </c>
      <c r="N279">
        <v>0.14068336902721953</v>
      </c>
      <c r="O279">
        <v>1.796157928244916E-2</v>
      </c>
      <c r="P279">
        <v>1.9973678930504182E-2</v>
      </c>
      <c r="Q279">
        <v>2.2008558372476447E-3</v>
      </c>
      <c r="R279">
        <v>1.3547172341550782E-3</v>
      </c>
      <c r="S279">
        <v>0.15615059723391198</v>
      </c>
      <c r="T279">
        <v>1.0706710274665323</v>
      </c>
      <c r="U279">
        <v>2.387275538257394E-2</v>
      </c>
      <c r="V279">
        <v>0.20537941084766748</v>
      </c>
      <c r="W279">
        <v>8.3646363966570061E-2</v>
      </c>
      <c r="X279">
        <v>1.6703486155449723E-2</v>
      </c>
      <c r="Y279">
        <v>3.6870937289539057E-3</v>
      </c>
    </row>
    <row r="280" spans="1:25" x14ac:dyDescent="0.25">
      <c r="A280" s="827"/>
      <c r="B280" s="1066">
        <v>30</v>
      </c>
      <c r="C280" s="832">
        <v>0.99900744104366246</v>
      </c>
      <c r="D280" s="832">
        <v>1.0237117769456168</v>
      </c>
      <c r="E280" s="832">
        <v>0.97541168469871042</v>
      </c>
      <c r="F280" s="832">
        <v>0.98641384851732983</v>
      </c>
      <c r="G280" s="832">
        <v>1.0046848343639194</v>
      </c>
      <c r="H280" s="832">
        <v>1.0357792634026928</v>
      </c>
      <c r="I280" s="832">
        <v>0.96902377477988022</v>
      </c>
      <c r="K280">
        <v>1.7335738447297888</v>
      </c>
      <c r="L280">
        <v>0</v>
      </c>
      <c r="M280">
        <v>1.4968036096336533E-3</v>
      </c>
      <c r="N280">
        <v>0.13969320032679167</v>
      </c>
      <c r="O280">
        <v>1.7665630590827649E-2</v>
      </c>
      <c r="P280">
        <v>1.9414852190804723E-2</v>
      </c>
      <c r="Q280">
        <v>2.0927993198434588E-3</v>
      </c>
      <c r="R280">
        <v>1.4878873570414422E-3</v>
      </c>
      <c r="S280">
        <v>0.14918543690939656</v>
      </c>
      <c r="T280">
        <v>1.0735553862705358</v>
      </c>
      <c r="U280">
        <v>2.3345699881812822E-2</v>
      </c>
      <c r="V280">
        <v>0.20415178591527819</v>
      </c>
      <c r="W280">
        <v>8.4930015892065239E-2</v>
      </c>
      <c r="X280">
        <v>1.5498414781093657E-2</v>
      </c>
      <c r="Y280">
        <v>4.0495389039313778E-3</v>
      </c>
    </row>
    <row r="281" spans="1:25" x14ac:dyDescent="0.25">
      <c r="A281" s="827"/>
      <c r="B281" s="1066">
        <v>31</v>
      </c>
      <c r="C281" s="832">
        <v>0.95409456304859064</v>
      </c>
      <c r="D281" s="832">
        <v>0.99537358981971291</v>
      </c>
      <c r="E281" s="832">
        <v>0.97688298294872367</v>
      </c>
      <c r="F281" s="832">
        <v>1.0096384604803381</v>
      </c>
      <c r="G281" s="832">
        <v>0.98864594739458689</v>
      </c>
      <c r="H281" s="832">
        <v>0.99768039879458792</v>
      </c>
      <c r="I281" s="832">
        <v>0.99909233115720186</v>
      </c>
      <c r="K281">
        <v>1.7601299487771658</v>
      </c>
      <c r="L281">
        <v>0</v>
      </c>
      <c r="M281">
        <v>1.5241787031584635E-3</v>
      </c>
      <c r="N281">
        <v>0.14287114579493268</v>
      </c>
      <c r="O281">
        <v>1.8733663267436348E-2</v>
      </c>
      <c r="P281">
        <v>1.9698271853414582E-2</v>
      </c>
      <c r="Q281">
        <v>2.2175713430010505E-3</v>
      </c>
      <c r="R281">
        <v>1.5147740900867145E-3</v>
      </c>
      <c r="S281">
        <v>0.16007396795189241</v>
      </c>
      <c r="T281">
        <v>1.0734235047355514</v>
      </c>
      <c r="U281">
        <v>2.4444671211395878E-2</v>
      </c>
      <c r="V281">
        <v>0.21180212020702022</v>
      </c>
      <c r="W281">
        <v>8.6773254172995765E-2</v>
      </c>
      <c r="X281">
        <v>1.597846712452344E-2</v>
      </c>
      <c r="Y281">
        <v>4.1227157280714433E-3</v>
      </c>
    </row>
    <row r="282" spans="1:25" x14ac:dyDescent="0.25">
      <c r="A282" s="827"/>
      <c r="B282" s="1066">
        <v>32</v>
      </c>
      <c r="C282" s="831">
        <v>1.0092762525161758</v>
      </c>
      <c r="D282" s="831">
        <v>0.9559999401476037</v>
      </c>
      <c r="E282" s="831">
        <v>0.98449557154807144</v>
      </c>
      <c r="F282" s="831">
        <v>1.0162784144614716</v>
      </c>
      <c r="G282" s="831">
        <v>1.0198710300731806</v>
      </c>
      <c r="H282" s="831">
        <v>1.0023978677652181</v>
      </c>
      <c r="I282" s="831">
        <v>1.0061312955753183</v>
      </c>
      <c r="K282">
        <v>1.7436860012637656</v>
      </c>
      <c r="L282">
        <v>0</v>
      </c>
      <c r="M282">
        <v>1.451037647927985E-3</v>
      </c>
      <c r="N282">
        <v>0.13928659748445379</v>
      </c>
      <c r="O282">
        <v>1.8037116715396363E-2</v>
      </c>
      <c r="P282">
        <v>1.9688508349986391E-2</v>
      </c>
      <c r="Q282">
        <v>2.1444954874977147E-3</v>
      </c>
      <c r="R282">
        <v>1.4421561120718149E-3</v>
      </c>
      <c r="S282">
        <v>0.15531495616302585</v>
      </c>
      <c r="T282">
        <v>1.0727424402732393</v>
      </c>
      <c r="U282">
        <v>2.3108170671963177E-2</v>
      </c>
      <c r="V282">
        <v>0.20938809290560542</v>
      </c>
      <c r="W282">
        <v>8.4150697156640156E-2</v>
      </c>
      <c r="X282">
        <v>1.590873406138751E-2</v>
      </c>
      <c r="Y282">
        <v>3.9250735304249048E-3</v>
      </c>
    </row>
    <row r="283" spans="1:25" x14ac:dyDescent="0.25">
      <c r="A283" s="827"/>
      <c r="B283" s="1066">
        <v>33</v>
      </c>
      <c r="C283" s="831">
        <v>1.0192831021806368</v>
      </c>
      <c r="D283" s="831">
        <v>1.027819221824847</v>
      </c>
      <c r="E283" s="831">
        <v>0.99023836626850559</v>
      </c>
      <c r="F283" s="831">
        <v>0.99462565434381878</v>
      </c>
      <c r="G283" s="831">
        <v>0.98825183039723352</v>
      </c>
      <c r="H283" s="831">
        <v>0.97800712099343801</v>
      </c>
      <c r="I283" s="831">
        <v>0.97201116852302916</v>
      </c>
      <c r="K283">
        <v>1.7070712427684263</v>
      </c>
      <c r="L283">
        <v>0</v>
      </c>
      <c r="M283">
        <v>1.3403094717556868E-3</v>
      </c>
      <c r="N283">
        <v>0.13095416069029803</v>
      </c>
      <c r="O283">
        <v>1.7282941909639811E-2</v>
      </c>
      <c r="P283">
        <v>1.9486474684114716E-2</v>
      </c>
      <c r="Q283">
        <v>2.0791759031835483E-3</v>
      </c>
      <c r="R283">
        <v>1.3318510839783464E-3</v>
      </c>
      <c r="S283">
        <v>0.14251913200367278</v>
      </c>
      <c r="T283">
        <v>1.0722301002062613</v>
      </c>
      <c r="U283">
        <v>2.2881305349227693E-2</v>
      </c>
      <c r="V283">
        <v>0.20169777896055666</v>
      </c>
      <c r="W283">
        <v>7.8803589706911051E-2</v>
      </c>
      <c r="X283">
        <v>1.5520182136339721E-2</v>
      </c>
      <c r="Y283">
        <v>3.6248596059972227E-3</v>
      </c>
    </row>
    <row r="284" spans="1:25" x14ac:dyDescent="0.25">
      <c r="A284" s="827"/>
      <c r="B284" s="1066">
        <v>34</v>
      </c>
      <c r="C284" s="831">
        <v>1.0132319741840417</v>
      </c>
      <c r="D284" s="831">
        <v>0.99812875815647606</v>
      </c>
      <c r="E284" s="831">
        <v>0.9669562922442394</v>
      </c>
      <c r="F284" s="831">
        <v>0.973063224142238</v>
      </c>
      <c r="G284" s="831">
        <v>1.0076866530049122</v>
      </c>
      <c r="H284" s="831">
        <v>1.0035836140595014</v>
      </c>
      <c r="I284" s="831">
        <v>0.95441014728364482</v>
      </c>
      <c r="K284">
        <v>1.7200118636077255</v>
      </c>
      <c r="L284">
        <v>0</v>
      </c>
      <c r="M284">
        <v>1.4722307847479254E-3</v>
      </c>
      <c r="N284">
        <v>0.1338010430516996</v>
      </c>
      <c r="O284">
        <v>1.7618189291525685E-2</v>
      </c>
      <c r="P284">
        <v>1.9239735440601514E-2</v>
      </c>
      <c r="Q284">
        <v>2.0649672221779666E-3</v>
      </c>
      <c r="R284">
        <v>1.4631981014440513E-3</v>
      </c>
      <c r="S284">
        <v>0.14422443129619533</v>
      </c>
      <c r="T284">
        <v>1.0743148693049278</v>
      </c>
      <c r="U284">
        <v>2.3017954913123268E-2</v>
      </c>
      <c r="V284">
        <v>0.20494317644908774</v>
      </c>
      <c r="W284">
        <v>8.1829394571941508E-2</v>
      </c>
      <c r="X284">
        <v>1.4984791860743522E-2</v>
      </c>
      <c r="Y284">
        <v>3.9823428890061992E-3</v>
      </c>
    </row>
    <row r="285" spans="1:25" x14ac:dyDescent="0.25">
      <c r="A285" s="827"/>
      <c r="B285" s="1066">
        <v>35</v>
      </c>
      <c r="C285" s="831">
        <v>1.0141002673516586</v>
      </c>
      <c r="D285" s="831">
        <v>1.0110155448762257</v>
      </c>
      <c r="E285" s="831">
        <v>0.97749519177192123</v>
      </c>
      <c r="F285" s="831">
        <v>0.991547544767301</v>
      </c>
      <c r="G285" s="831">
        <v>1.0101522762084505</v>
      </c>
      <c r="H285" s="831">
        <v>1.0204947395484405</v>
      </c>
      <c r="I285" s="831">
        <v>1.0015555030804344</v>
      </c>
      <c r="K285">
        <v>1.7296375834430373</v>
      </c>
      <c r="L285">
        <v>0</v>
      </c>
      <c r="M285">
        <v>1.45460484283453E-3</v>
      </c>
      <c r="N285">
        <v>0.13662783231053596</v>
      </c>
      <c r="O285">
        <v>1.7501167546894559E-2</v>
      </c>
      <c r="P285">
        <v>1.9464905586796446E-2</v>
      </c>
      <c r="Q285">
        <v>2.0756147084330916E-3</v>
      </c>
      <c r="R285">
        <v>1.4458190392021347E-3</v>
      </c>
      <c r="S285">
        <v>0.1516092913556811</v>
      </c>
      <c r="T285">
        <v>1.0733686526264545</v>
      </c>
      <c r="U285">
        <v>2.2998246474394874E-2</v>
      </c>
      <c r="V285">
        <v>0.20369202303635867</v>
      </c>
      <c r="W285">
        <v>8.2946044354296353E-2</v>
      </c>
      <c r="X285">
        <v>1.5427548436232856E-2</v>
      </c>
      <c r="Y285">
        <v>3.9350428105900314E-3</v>
      </c>
    </row>
    <row r="286" spans="1:25" x14ac:dyDescent="0.25">
      <c r="A286" s="827"/>
      <c r="B286" s="1066">
        <v>36</v>
      </c>
      <c r="C286" s="831">
        <v>1.0209106093888132</v>
      </c>
      <c r="D286" s="831">
        <v>1.0398746282523845</v>
      </c>
      <c r="E286" s="831">
        <v>0.9656438732959266</v>
      </c>
      <c r="F286" s="831">
        <v>0.96962143168693238</v>
      </c>
      <c r="G286" s="831">
        <v>1.0398437645911447</v>
      </c>
      <c r="H286" s="831">
        <v>0.96245096920038931</v>
      </c>
      <c r="I286" s="831">
        <v>1.0198654997803085</v>
      </c>
      <c r="K286">
        <v>1.7031366572584101</v>
      </c>
      <c r="L286">
        <v>0</v>
      </c>
      <c r="M286">
        <v>1.3793748439599907E-3</v>
      </c>
      <c r="N286">
        <v>0.1248143031802708</v>
      </c>
      <c r="O286">
        <v>1.7164840997868726E-2</v>
      </c>
      <c r="P286">
        <v>1.9204029768838882E-2</v>
      </c>
      <c r="Q286">
        <v>2.0158221489523925E-3</v>
      </c>
      <c r="R286">
        <v>1.3705209660037636E-3</v>
      </c>
      <c r="S286">
        <v>0.14748368422933242</v>
      </c>
      <c r="T286">
        <v>1.07443299400071</v>
      </c>
      <c r="U286">
        <v>2.284482861067106E-2</v>
      </c>
      <c r="V286">
        <v>0.20051440647963406</v>
      </c>
      <c r="W286">
        <v>7.640354793129428E-2</v>
      </c>
      <c r="X286">
        <v>1.45369475114452E-2</v>
      </c>
      <c r="Y286">
        <v>3.7301062773472237E-3</v>
      </c>
    </row>
    <row r="287" spans="1:25" x14ac:dyDescent="0.25">
      <c r="A287" s="827"/>
      <c r="B287" s="1066">
        <v>37</v>
      </c>
      <c r="C287" s="831">
        <v>0.98511830934544009</v>
      </c>
      <c r="D287" s="831">
        <v>1.0292210644764261</v>
      </c>
      <c r="E287" s="831">
        <v>0.96868801558734807</v>
      </c>
      <c r="F287" s="831">
        <v>1.0296223553746087</v>
      </c>
      <c r="G287" s="831">
        <v>1.0096799231614182</v>
      </c>
      <c r="H287" s="831">
        <v>0.98890841093071813</v>
      </c>
      <c r="I287" s="831">
        <v>1.0152461086051869</v>
      </c>
      <c r="K287">
        <v>1.7320129614307092</v>
      </c>
      <c r="L287">
        <v>0</v>
      </c>
      <c r="M287">
        <v>1.4662394750663027E-3</v>
      </c>
      <c r="N287">
        <v>0.13396376751201666</v>
      </c>
      <c r="O287">
        <v>1.7871329556310201E-2</v>
      </c>
      <c r="P287">
        <v>1.941489310979937E-2</v>
      </c>
      <c r="Q287">
        <v>2.1035974317700316E-3</v>
      </c>
      <c r="R287">
        <v>1.4570873727861619E-3</v>
      </c>
      <c r="S287">
        <v>0.15473022639505182</v>
      </c>
      <c r="T287">
        <v>1.0741591036827969</v>
      </c>
      <c r="U287">
        <v>2.3674849687647943E-2</v>
      </c>
      <c r="V287">
        <v>0.20515529463435558</v>
      </c>
      <c r="W287">
        <v>8.1829678274990755E-2</v>
      </c>
      <c r="X287">
        <v>1.5153661748249628E-2</v>
      </c>
      <c r="Y287">
        <v>3.9657115000005846E-3</v>
      </c>
    </row>
    <row r="288" spans="1:25" x14ac:dyDescent="0.25">
      <c r="A288" s="827"/>
      <c r="B288" s="1066">
        <v>38</v>
      </c>
      <c r="C288" s="831">
        <v>0.99988339619448985</v>
      </c>
      <c r="D288" s="831">
        <v>0.98339594855966173</v>
      </c>
      <c r="E288" s="831">
        <v>0.99303095159331067</v>
      </c>
      <c r="F288" s="831">
        <v>0.98966486038323087</v>
      </c>
      <c r="G288" s="831">
        <v>1.0282487204867792</v>
      </c>
      <c r="H288" s="831">
        <v>1.0374204141753252</v>
      </c>
      <c r="I288" s="831">
        <v>0.98913584807608901</v>
      </c>
      <c r="K288">
        <v>1.750123144596305</v>
      </c>
      <c r="L288">
        <v>0</v>
      </c>
      <c r="M288">
        <v>1.4699044358627452E-3</v>
      </c>
      <c r="N288">
        <v>0.14492592039115176</v>
      </c>
      <c r="O288">
        <v>1.7974190223648882E-2</v>
      </c>
      <c r="P288">
        <v>1.9779358085538438E-2</v>
      </c>
      <c r="Q288">
        <v>2.1606238731577926E-3</v>
      </c>
      <c r="R288">
        <v>1.4611907877020126E-3</v>
      </c>
      <c r="S288">
        <v>0.15482781400094245</v>
      </c>
      <c r="T288">
        <v>1.0719814101256513</v>
      </c>
      <c r="U288">
        <v>2.3325247710950733E-2</v>
      </c>
      <c r="V288">
        <v>0.20774859529053058</v>
      </c>
      <c r="W288">
        <v>8.7043841441526368E-2</v>
      </c>
      <c r="X288">
        <v>1.638797745865659E-2</v>
      </c>
      <c r="Y288">
        <v>3.9768796427111664E-3</v>
      </c>
    </row>
    <row r="289" spans="1:25" x14ac:dyDescent="0.25">
      <c r="A289" s="827"/>
      <c r="B289" s="1066">
        <v>39</v>
      </c>
      <c r="C289" s="831">
        <v>0.97042825713028147</v>
      </c>
      <c r="D289" s="831">
        <v>1.0260975302177433</v>
      </c>
      <c r="E289" s="831">
        <v>0.97534407721737459</v>
      </c>
      <c r="F289" s="831">
        <v>0.97187647538272737</v>
      </c>
      <c r="G289" s="831">
        <v>1.0265411997841027</v>
      </c>
      <c r="H289" s="831">
        <v>1.0031520041885209</v>
      </c>
      <c r="I289" s="831">
        <v>1.0115915295182163</v>
      </c>
      <c r="K289">
        <v>1.7456222585155281</v>
      </c>
      <c r="L289">
        <v>0</v>
      </c>
      <c r="M289">
        <v>1.4909914126128951E-3</v>
      </c>
      <c r="N289">
        <v>0.13909416611843065</v>
      </c>
      <c r="O289">
        <v>1.8166774819155938E-2</v>
      </c>
      <c r="P289">
        <v>1.9576786787192685E-2</v>
      </c>
      <c r="Q289">
        <v>2.1524255852154333E-3</v>
      </c>
      <c r="R289">
        <v>1.4818191931503346E-3</v>
      </c>
      <c r="S289">
        <v>0.15775750177524206</v>
      </c>
      <c r="T289">
        <v>1.0735614482985776</v>
      </c>
      <c r="U289">
        <v>2.4033232469210811E-2</v>
      </c>
      <c r="V289">
        <v>0.20704852898186354</v>
      </c>
      <c r="W289">
        <v>8.4569798050737471E-2</v>
      </c>
      <c r="X289">
        <v>1.5637744487176069E-2</v>
      </c>
      <c r="Y289">
        <v>4.0330233621894722E-3</v>
      </c>
    </row>
    <row r="290" spans="1:25" x14ac:dyDescent="0.25">
      <c r="A290" s="827"/>
      <c r="B290" s="1066">
        <v>40</v>
      </c>
      <c r="C290" s="831">
        <v>1.0047365605894047</v>
      </c>
      <c r="D290" s="831">
        <v>0.96986379839733017</v>
      </c>
      <c r="E290" s="831">
        <v>1.0027787924571696</v>
      </c>
      <c r="F290" s="831">
        <v>1.0173936760399884</v>
      </c>
      <c r="G290" s="831">
        <v>0.98723968765909098</v>
      </c>
      <c r="H290" s="831">
        <v>0.97883317074431064</v>
      </c>
      <c r="I290" s="831">
        <v>1.0180430581981641</v>
      </c>
      <c r="K290">
        <v>1.7389733665692866</v>
      </c>
      <c r="L290">
        <v>0</v>
      </c>
      <c r="M290">
        <v>1.3606865121153495E-3</v>
      </c>
      <c r="N290">
        <v>0.13824068223564243</v>
      </c>
      <c r="O290">
        <v>1.8000307147157259E-2</v>
      </c>
      <c r="P290">
        <v>1.9926004353223215E-2</v>
      </c>
      <c r="Q290">
        <v>2.1825818455466924E-3</v>
      </c>
      <c r="R290">
        <v>1.3521472830986237E-3</v>
      </c>
      <c r="S290">
        <v>0.15518076015461604</v>
      </c>
      <c r="T290">
        <v>1.0711156334192475</v>
      </c>
      <c r="U290">
        <v>2.3212580106193759E-2</v>
      </c>
      <c r="V290">
        <v>0.20851649789234331</v>
      </c>
      <c r="W290">
        <v>8.2475871267177994E-2</v>
      </c>
      <c r="X290">
        <v>1.6450888207792114E-2</v>
      </c>
      <c r="Y290">
        <v>3.6800991693623744E-3</v>
      </c>
    </row>
    <row r="291" spans="1:25" x14ac:dyDescent="0.25">
      <c r="A291" s="827"/>
      <c r="B291" s="1066">
        <v>41</v>
      </c>
      <c r="C291" s="831">
        <v>0.98648762024329006</v>
      </c>
      <c r="D291" s="831">
        <v>1.0066828844440128</v>
      </c>
      <c r="E291" s="831">
        <v>0.97228118176217737</v>
      </c>
      <c r="F291" s="831">
        <v>0.95878460610463068</v>
      </c>
      <c r="G291" s="831">
        <v>0.98106605573724881</v>
      </c>
      <c r="H291" s="831">
        <v>1.0263852817873258</v>
      </c>
      <c r="I291" s="831">
        <v>0.9727882838405727</v>
      </c>
      <c r="K291">
        <v>1.7424099427643667</v>
      </c>
      <c r="L291">
        <v>0</v>
      </c>
      <c r="M291">
        <v>1.5234451925927816E-3</v>
      </c>
      <c r="N291">
        <v>0.14079235225493625</v>
      </c>
      <c r="O291">
        <v>1.8026036720921353E-2</v>
      </c>
      <c r="P291">
        <v>1.9453183951511219E-2</v>
      </c>
      <c r="Q291">
        <v>2.1257866888107005E-3</v>
      </c>
      <c r="R291">
        <v>1.5142995881453972E-3</v>
      </c>
      <c r="S291">
        <v>0.15206230201513471</v>
      </c>
      <c r="T291">
        <v>1.0738362628434497</v>
      </c>
      <c r="U291">
        <v>2.3641987410395793E-2</v>
      </c>
      <c r="V291">
        <v>0.207036985801829</v>
      </c>
      <c r="W291">
        <v>8.5785221537455686E-2</v>
      </c>
      <c r="X291">
        <v>1.5537544854163858E-2</v>
      </c>
      <c r="Y291">
        <v>4.121424290206701E-3</v>
      </c>
    </row>
    <row r="292" spans="1:25" x14ac:dyDescent="0.25">
      <c r="A292" s="827"/>
      <c r="B292" s="1066">
        <v>42</v>
      </c>
      <c r="C292" s="831">
        <v>0.96411735647608188</v>
      </c>
      <c r="D292" s="831">
        <v>0.96084465344549963</v>
      </c>
      <c r="E292" s="831">
        <v>1.0384333074752119</v>
      </c>
      <c r="F292" s="831">
        <v>1.0179926683258671</v>
      </c>
      <c r="G292" s="831">
        <v>0.99899236873946462</v>
      </c>
      <c r="H292" s="831">
        <v>1.0032632449241199</v>
      </c>
      <c r="I292" s="831">
        <v>0.99021140864125845</v>
      </c>
      <c r="K292">
        <v>1.7731216587961058</v>
      </c>
      <c r="L292">
        <v>0</v>
      </c>
      <c r="M292">
        <v>1.3536877045128471E-3</v>
      </c>
      <c r="N292">
        <v>0.15366180149248956</v>
      </c>
      <c r="O292">
        <v>1.8838566410048371E-2</v>
      </c>
      <c r="P292">
        <v>2.0565189176744127E-2</v>
      </c>
      <c r="Q292">
        <v>2.3647688843064824E-3</v>
      </c>
      <c r="R292">
        <v>1.3454056891270723E-3</v>
      </c>
      <c r="S292">
        <v>0.15974500624501792</v>
      </c>
      <c r="T292">
        <v>1.0679795101643328</v>
      </c>
      <c r="U292">
        <v>2.4190548735216904E-2</v>
      </c>
      <c r="V292">
        <v>0.2140667997729844</v>
      </c>
      <c r="W292">
        <v>8.949779637755019E-2</v>
      </c>
      <c r="X292">
        <v>1.8558202779865321E-2</v>
      </c>
      <c r="Y292">
        <v>3.6617507729376671E-3</v>
      </c>
    </row>
    <row r="293" spans="1:25" x14ac:dyDescent="0.25">
      <c r="A293" s="827"/>
      <c r="B293" s="1066">
        <v>43</v>
      </c>
      <c r="C293" s="831">
        <v>0.99120264205293884</v>
      </c>
      <c r="D293" s="831">
        <v>1.0217194761841129</v>
      </c>
      <c r="E293" s="831">
        <v>0.96407876337398402</v>
      </c>
      <c r="F293" s="831">
        <v>1.041070101911246</v>
      </c>
      <c r="G293" s="831">
        <v>0.98354074195772412</v>
      </c>
      <c r="H293" s="831">
        <v>1.0014391247169818</v>
      </c>
      <c r="I293" s="831">
        <v>0.99196740402240979</v>
      </c>
      <c r="K293">
        <v>1.7302818335707031</v>
      </c>
      <c r="L293">
        <v>0</v>
      </c>
      <c r="M293">
        <v>1.4949468550899583E-3</v>
      </c>
      <c r="N293">
        <v>0.1346482240537599</v>
      </c>
      <c r="O293">
        <v>1.7820407366352108E-2</v>
      </c>
      <c r="P293">
        <v>1.930827343471693E-2</v>
      </c>
      <c r="Q293">
        <v>2.0864901141239545E-3</v>
      </c>
      <c r="R293">
        <v>1.485737741101935E-3</v>
      </c>
      <c r="S293">
        <v>0.15160137693503919</v>
      </c>
      <c r="T293">
        <v>1.0745739465175974</v>
      </c>
      <c r="U293">
        <v>2.3529525556952199E-2</v>
      </c>
      <c r="V293">
        <v>0.20516258485850192</v>
      </c>
      <c r="W293">
        <v>8.2513783249888936E-2</v>
      </c>
      <c r="X293">
        <v>1.5002742239793095E-2</v>
      </c>
      <c r="Y293">
        <v>4.0436883579647422E-3</v>
      </c>
    </row>
    <row r="294" spans="1:25" x14ac:dyDescent="0.25">
      <c r="A294" s="827"/>
      <c r="B294" s="1066">
        <v>44</v>
      </c>
      <c r="C294" s="831">
        <v>1.0413765212312938</v>
      </c>
      <c r="D294" s="831">
        <v>0.9967100573019726</v>
      </c>
      <c r="E294" s="831">
        <v>0.99539595011808168</v>
      </c>
      <c r="F294" s="831">
        <v>0.976779797492761</v>
      </c>
      <c r="G294" s="831">
        <v>1.0248029993670298</v>
      </c>
      <c r="H294" s="831">
        <v>0.99748421632109174</v>
      </c>
      <c r="I294" s="831">
        <v>1.0279674156270966</v>
      </c>
      <c r="K294">
        <v>1.7186310571033738</v>
      </c>
      <c r="L294">
        <v>0</v>
      </c>
      <c r="M294">
        <v>1.342070007807868E-3</v>
      </c>
      <c r="N294">
        <v>0.13326689414760939</v>
      </c>
      <c r="O294">
        <v>1.7153086213803757E-2</v>
      </c>
      <c r="P294">
        <v>1.9668631134313802E-2</v>
      </c>
      <c r="Q294">
        <v>2.0691365686297185E-3</v>
      </c>
      <c r="R294">
        <v>1.3337865208020701E-3</v>
      </c>
      <c r="S294">
        <v>0.15079813276809256</v>
      </c>
      <c r="T294">
        <v>1.0717710280818626</v>
      </c>
      <c r="U294">
        <v>2.2395864918029147E-2</v>
      </c>
      <c r="V294">
        <v>0.20219440062905536</v>
      </c>
      <c r="W294">
        <v>7.9911378562166901E-2</v>
      </c>
      <c r="X294">
        <v>1.5780660339801487E-2</v>
      </c>
      <c r="Y294">
        <v>3.6301272270148205E-3</v>
      </c>
    </row>
    <row r="295" spans="1:25" x14ac:dyDescent="0.25">
      <c r="A295" s="827"/>
      <c r="B295" s="1066">
        <v>45</v>
      </c>
      <c r="C295" s="831">
        <v>1.023395120676962</v>
      </c>
      <c r="D295" s="831">
        <v>0.97542251499116828</v>
      </c>
      <c r="E295" s="831">
        <v>1.0084229415658947</v>
      </c>
      <c r="F295" s="831">
        <v>0.99817170110333453</v>
      </c>
      <c r="G295" s="831">
        <v>0.99128647450432539</v>
      </c>
      <c r="H295" s="831">
        <v>1.0271625697985349</v>
      </c>
      <c r="I295" s="831">
        <v>0.97868524471702834</v>
      </c>
      <c r="K295">
        <v>1.736788551752865</v>
      </c>
      <c r="L295">
        <v>0</v>
      </c>
      <c r="M295">
        <v>1.3816695539631621E-3</v>
      </c>
      <c r="N295">
        <v>0.14290013342985386</v>
      </c>
      <c r="O295">
        <v>1.7626286006611994E-2</v>
      </c>
      <c r="P295">
        <v>1.9883870253729726E-2</v>
      </c>
      <c r="Q295">
        <v>2.1503750371507555E-3</v>
      </c>
      <c r="R295">
        <v>1.3734027151750313E-3</v>
      </c>
      <c r="S295">
        <v>0.14946910145060946</v>
      </c>
      <c r="T295">
        <v>1.0706159753877358</v>
      </c>
      <c r="U295">
        <v>2.2789367886448066E-2</v>
      </c>
      <c r="V295">
        <v>0.20598894960193828</v>
      </c>
      <c r="W295">
        <v>8.4928409495718449E-2</v>
      </c>
      <c r="X295">
        <v>1.6706400593230995E-2</v>
      </c>
      <c r="Y295">
        <v>3.7379494486230553E-3</v>
      </c>
    </row>
    <row r="296" spans="1:25" x14ac:dyDescent="0.25">
      <c r="A296" s="827"/>
      <c r="B296" s="1066">
        <v>46</v>
      </c>
      <c r="C296" s="831">
        <v>0.98859950723443846</v>
      </c>
      <c r="D296" s="831">
        <v>1.0098133784364531</v>
      </c>
      <c r="E296" s="831">
        <v>0.9842753353003465</v>
      </c>
      <c r="F296" s="831">
        <v>0.99381564982569548</v>
      </c>
      <c r="G296" s="831">
        <v>0.97555121042315229</v>
      </c>
      <c r="H296" s="831">
        <v>0.99058528032892645</v>
      </c>
      <c r="I296" s="831">
        <v>1.0262134439533452</v>
      </c>
      <c r="K296">
        <v>1.7393592168676153</v>
      </c>
      <c r="L296">
        <v>0</v>
      </c>
      <c r="M296">
        <v>1.4286887851044702E-3</v>
      </c>
      <c r="N296">
        <v>0.13703334453482713</v>
      </c>
      <c r="O296">
        <v>1.7962273207161209E-2</v>
      </c>
      <c r="P296">
        <v>1.9678845895451505E-2</v>
      </c>
      <c r="Q296">
        <v>2.1448172015421725E-3</v>
      </c>
      <c r="R296">
        <v>1.4197998213564737E-3</v>
      </c>
      <c r="S296">
        <v>0.15720860104998155</v>
      </c>
      <c r="T296">
        <v>1.072762113231017</v>
      </c>
      <c r="U296">
        <v>2.3591482422995382E-2</v>
      </c>
      <c r="V296">
        <v>0.20651840421114787</v>
      </c>
      <c r="W296">
        <v>8.2801997018897983E-2</v>
      </c>
      <c r="X296">
        <v>1.5801999981495146E-2</v>
      </c>
      <c r="Y296">
        <v>3.8642270768469997E-3</v>
      </c>
    </row>
    <row r="297" spans="1:25" x14ac:dyDescent="0.25">
      <c r="A297" s="827"/>
      <c r="B297" s="1066">
        <v>47</v>
      </c>
      <c r="C297" s="831">
        <v>1.0101983086462549</v>
      </c>
      <c r="D297" s="831">
        <v>0.96131353248614493</v>
      </c>
      <c r="E297" s="831">
        <v>1.0113740280552308</v>
      </c>
      <c r="F297" s="831">
        <v>0.9503828886930128</v>
      </c>
      <c r="G297" s="831">
        <v>1.006569195217264</v>
      </c>
      <c r="H297" s="831">
        <v>0.99782704455162685</v>
      </c>
      <c r="I297" s="831">
        <v>0.98538333740777084</v>
      </c>
      <c r="K297">
        <v>1.7403569378217649</v>
      </c>
      <c r="L297">
        <v>0</v>
      </c>
      <c r="M297">
        <v>1.3602782481390583E-3</v>
      </c>
      <c r="N297">
        <v>0.14196032736546443</v>
      </c>
      <c r="O297">
        <v>1.7975239636252919E-2</v>
      </c>
      <c r="P297">
        <v>1.9991141637569588E-2</v>
      </c>
      <c r="Q297">
        <v>2.1967554287842979E-3</v>
      </c>
      <c r="R297">
        <v>1.3519102309775218E-3</v>
      </c>
      <c r="S297">
        <v>0.15129635535579875</v>
      </c>
      <c r="T297">
        <v>1.0703552047628622</v>
      </c>
      <c r="U297">
        <v>2.3087078743536216E-2</v>
      </c>
      <c r="V297">
        <v>0.2087612838600926</v>
      </c>
      <c r="W297">
        <v>8.4200841057386025E-2</v>
      </c>
      <c r="X297">
        <v>1.6861623999545407E-2</v>
      </c>
      <c r="Y297">
        <v>3.6794539916329447E-3</v>
      </c>
    </row>
    <row r="298" spans="1:25" x14ac:dyDescent="0.25">
      <c r="A298" s="827"/>
      <c r="B298" s="1066">
        <v>48</v>
      </c>
      <c r="C298" s="831">
        <v>1.0050009239426503</v>
      </c>
      <c r="D298" s="831">
        <v>0.97734222597877862</v>
      </c>
      <c r="E298" s="831">
        <v>0.99631797310551806</v>
      </c>
      <c r="F298" s="831">
        <v>1.0135341568101479</v>
      </c>
      <c r="G298" s="831">
        <v>0.9529091692124847</v>
      </c>
      <c r="H298" s="831">
        <v>0.97100784851429944</v>
      </c>
      <c r="I298" s="831">
        <v>0.95386890828210991</v>
      </c>
      <c r="K298">
        <v>1.7236134966416641</v>
      </c>
      <c r="L298">
        <v>0</v>
      </c>
      <c r="M298">
        <v>1.3631773588072211E-3</v>
      </c>
      <c r="N298">
        <v>0.1357302159589846</v>
      </c>
      <c r="O298">
        <v>1.7932870754040948E-2</v>
      </c>
      <c r="P298">
        <v>1.9680319959416565E-2</v>
      </c>
      <c r="Q298">
        <v>2.161706193994542E-3</v>
      </c>
      <c r="R298">
        <v>1.354548079167133E-3</v>
      </c>
      <c r="S298">
        <v>0.14435783220011528</v>
      </c>
      <c r="T298">
        <v>1.0716890652577076</v>
      </c>
      <c r="U298">
        <v>2.3206474086419925E-2</v>
      </c>
      <c r="V298">
        <v>0.20776634675456573</v>
      </c>
      <c r="W298">
        <v>8.1336991009153911E-2</v>
      </c>
      <c r="X298">
        <v>1.6073670402065164E-2</v>
      </c>
      <c r="Y298">
        <v>3.6866333448386463E-3</v>
      </c>
    </row>
    <row r="299" spans="1:25" x14ac:dyDescent="0.25">
      <c r="A299" s="827"/>
      <c r="B299" s="1066">
        <v>49</v>
      </c>
      <c r="C299" s="831">
        <v>0.98452639526752905</v>
      </c>
      <c r="D299" s="831">
        <v>0.97736546238128585</v>
      </c>
      <c r="E299" s="831">
        <v>0.98972217374335791</v>
      </c>
      <c r="F299" s="831">
        <v>1.0215910722902344</v>
      </c>
      <c r="G299" s="831">
        <v>0.99003468704251174</v>
      </c>
      <c r="H299" s="831">
        <v>1.0038017124885947</v>
      </c>
      <c r="I299" s="831">
        <v>1.0037459142559064</v>
      </c>
      <c r="K299">
        <v>1.7519763785799189</v>
      </c>
      <c r="L299">
        <v>0</v>
      </c>
      <c r="M299">
        <v>1.4586056909945235E-3</v>
      </c>
      <c r="N299">
        <v>0.1423101919994694</v>
      </c>
      <c r="O299">
        <v>1.8305610850592378E-2</v>
      </c>
      <c r="P299">
        <v>1.9806088773403879E-2</v>
      </c>
      <c r="Q299">
        <v>2.1920043816158036E-3</v>
      </c>
      <c r="R299">
        <v>1.4496739577918695E-3</v>
      </c>
      <c r="S299">
        <v>0.15748888801684952</v>
      </c>
      <c r="T299">
        <v>1.072276101235675</v>
      </c>
      <c r="U299">
        <v>2.3689083411487063E-2</v>
      </c>
      <c r="V299">
        <v>0.21003289233784658</v>
      </c>
      <c r="W299">
        <v>8.566771350506952E-2</v>
      </c>
      <c r="X299">
        <v>1.6271201172894822E-2</v>
      </c>
      <c r="Y299">
        <v>3.945534628217718E-3</v>
      </c>
    </row>
    <row r="300" spans="1:25" x14ac:dyDescent="0.25">
      <c r="A300" s="827"/>
      <c r="B300" s="1066">
        <v>50</v>
      </c>
      <c r="C300" s="831">
        <v>0.95726584853470043</v>
      </c>
      <c r="D300" s="831">
        <v>0.9827393959670393</v>
      </c>
      <c r="E300" s="831">
        <v>1.0097529556642013</v>
      </c>
      <c r="F300" s="831">
        <v>0.97746416951653037</v>
      </c>
      <c r="G300" s="831">
        <v>1.0408567103134549</v>
      </c>
      <c r="H300" s="831">
        <v>1.0135783159029657</v>
      </c>
      <c r="I300" s="831">
        <v>0.97558682181931611</v>
      </c>
      <c r="K300">
        <v>1.7675862106343889</v>
      </c>
      <c r="L300">
        <v>0</v>
      </c>
      <c r="M300">
        <v>1.4485810594354869E-3</v>
      </c>
      <c r="N300">
        <v>0.15042859694235813</v>
      </c>
      <c r="O300">
        <v>1.8780094443220933E-2</v>
      </c>
      <c r="P300">
        <v>2.0129727668626897E-2</v>
      </c>
      <c r="Q300">
        <v>2.2956090136615221E-3</v>
      </c>
      <c r="R300">
        <v>1.4397923044802521E-3</v>
      </c>
      <c r="S300">
        <v>0.15779181024849429</v>
      </c>
      <c r="T300">
        <v>1.0704984088868679</v>
      </c>
      <c r="U300">
        <v>2.4363689495455469E-2</v>
      </c>
      <c r="V300">
        <v>0.21266904223205041</v>
      </c>
      <c r="W300">
        <v>8.9321915634409554E-2</v>
      </c>
      <c r="X300">
        <v>1.7397464798810245E-2</v>
      </c>
      <c r="Y300">
        <v>3.9186400253896341E-3</v>
      </c>
    </row>
    <row r="301" spans="1:25" x14ac:dyDescent="0.25">
      <c r="A301" s="827"/>
      <c r="B301" s="1066">
        <v>51</v>
      </c>
      <c r="C301" s="831">
        <v>0.99478948184754168</v>
      </c>
      <c r="D301" s="831">
        <v>1.0470600247442965</v>
      </c>
      <c r="E301" s="831">
        <v>1.0177354451916472</v>
      </c>
      <c r="F301" s="831">
        <v>0.96283051460811564</v>
      </c>
      <c r="G301" s="831">
        <v>0.99784631300220406</v>
      </c>
      <c r="H301" s="831">
        <v>1.0032777566849072</v>
      </c>
      <c r="I301" s="831">
        <v>1.0409672463835475</v>
      </c>
      <c r="K301">
        <v>1.7363777628883428</v>
      </c>
      <c r="L301">
        <v>0</v>
      </c>
      <c r="M301">
        <v>1.3184237011211338E-3</v>
      </c>
      <c r="N301">
        <v>0.14033826396541282</v>
      </c>
      <c r="O301">
        <v>1.7560966523020975E-2</v>
      </c>
      <c r="P301">
        <v>2.0076404380770234E-2</v>
      </c>
      <c r="Q301">
        <v>2.1749379895605542E-3</v>
      </c>
      <c r="R301">
        <v>1.3103009745410472E-3</v>
      </c>
      <c r="S301">
        <v>0.15705373593528865</v>
      </c>
      <c r="T301">
        <v>1.0697942033843688</v>
      </c>
      <c r="U301">
        <v>2.3444686864790856E-2</v>
      </c>
      <c r="V301">
        <v>0.20258201115075161</v>
      </c>
      <c r="W301">
        <v>8.2880858135567143E-2</v>
      </c>
      <c r="X301">
        <v>1.6913609973291187E-2</v>
      </c>
      <c r="Y301">
        <v>3.5662073121005599E-3</v>
      </c>
    </row>
    <row r="302" spans="1:25" x14ac:dyDescent="0.25">
      <c r="A302" s="827"/>
      <c r="B302" s="1066">
        <v>52</v>
      </c>
      <c r="C302" s="831">
        <v>1.0205264244034289</v>
      </c>
      <c r="D302" s="831">
        <v>1.0016449907429061</v>
      </c>
      <c r="E302" s="831">
        <v>0.98053222404589169</v>
      </c>
      <c r="F302" s="831">
        <v>0.97950623726710162</v>
      </c>
      <c r="G302" s="831">
        <v>0.95958679883590892</v>
      </c>
      <c r="H302" s="831">
        <v>0.98616752488671833</v>
      </c>
      <c r="I302" s="831">
        <v>0.97272841839559498</v>
      </c>
      <c r="K302">
        <v>1.7145697613800535</v>
      </c>
      <c r="L302">
        <v>0</v>
      </c>
      <c r="M302">
        <v>1.3938033055280695E-3</v>
      </c>
      <c r="N302">
        <v>0.13213433116351203</v>
      </c>
      <c r="O302">
        <v>1.7464417366658682E-2</v>
      </c>
      <c r="P302">
        <v>1.9411556649323997E-2</v>
      </c>
      <c r="Q302">
        <v>2.0760832305736707E-3</v>
      </c>
      <c r="R302">
        <v>1.3850982875297465E-3</v>
      </c>
      <c r="S302">
        <v>0.14453815803831221</v>
      </c>
      <c r="T302">
        <v>1.0730967515955749</v>
      </c>
      <c r="U302">
        <v>2.2853428721296375E-2</v>
      </c>
      <c r="V302">
        <v>0.20386610192086388</v>
      </c>
      <c r="W302">
        <v>8.004907541556773E-2</v>
      </c>
      <c r="X302">
        <v>1.531878135523722E-2</v>
      </c>
      <c r="Y302">
        <v>3.7697809411281987E-3</v>
      </c>
    </row>
    <row r="303" spans="1:25" x14ac:dyDescent="0.25">
      <c r="A303" s="827"/>
      <c r="B303" s="1066">
        <v>53</v>
      </c>
      <c r="C303" s="831">
        <v>0.98551420740645057</v>
      </c>
      <c r="D303" s="831">
        <v>0.99596157722369327</v>
      </c>
      <c r="E303" s="831">
        <v>0.99732777489128743</v>
      </c>
      <c r="F303" s="831">
        <v>0.9767559544491502</v>
      </c>
      <c r="G303" s="831">
        <v>1.0292999236116982</v>
      </c>
      <c r="H303" s="831">
        <v>0.97633889818199837</v>
      </c>
      <c r="I303" s="831">
        <v>1.0026952879523012</v>
      </c>
      <c r="K303">
        <v>1.7383710205362053</v>
      </c>
      <c r="L303">
        <v>0</v>
      </c>
      <c r="M303">
        <v>1.3829181147768895E-3</v>
      </c>
      <c r="N303">
        <v>0.13813260022272458</v>
      </c>
      <c r="O303">
        <v>1.813155323212334E-2</v>
      </c>
      <c r="P303">
        <v>1.9835692820420303E-2</v>
      </c>
      <c r="Q303">
        <v>2.1912913567358268E-3</v>
      </c>
      <c r="R303">
        <v>1.3741981787539948E-3</v>
      </c>
      <c r="S303">
        <v>0.15392968766107026</v>
      </c>
      <c r="T303">
        <v>1.0715993361627485</v>
      </c>
      <c r="U303">
        <v>2.3665339092046614E-2</v>
      </c>
      <c r="V303">
        <v>0.20813995109148617</v>
      </c>
      <c r="W303">
        <v>8.2719329880982836E-2</v>
      </c>
      <c r="X303">
        <v>1.6294844513627289E-2</v>
      </c>
      <c r="Y303">
        <v>3.7401144382604944E-3</v>
      </c>
    </row>
    <row r="304" spans="1:25" x14ac:dyDescent="0.25">
      <c r="A304" s="827"/>
      <c r="B304" s="1066">
        <v>54</v>
      </c>
      <c r="C304" s="831">
        <v>0.98528698711339502</v>
      </c>
      <c r="D304" s="831">
        <v>1.0056693334536755</v>
      </c>
      <c r="E304" s="831">
        <v>0.98321751406237989</v>
      </c>
      <c r="F304" s="831">
        <v>1.0097033955726384</v>
      </c>
      <c r="G304" s="831">
        <v>1.0039687953571119</v>
      </c>
      <c r="H304" s="831">
        <v>0.98625216223914836</v>
      </c>
      <c r="I304" s="831">
        <v>1.0201645911150992</v>
      </c>
      <c r="K304">
        <v>1.7399137488174896</v>
      </c>
      <c r="L304">
        <v>0</v>
      </c>
      <c r="M304">
        <v>1.4330578363614362E-3</v>
      </c>
      <c r="N304">
        <v>0.13699676734390359</v>
      </c>
      <c r="O304">
        <v>1.8056233501225039E-2</v>
      </c>
      <c r="P304">
        <v>1.9669317791922766E-2</v>
      </c>
      <c r="Q304">
        <v>2.1530017585725037E-3</v>
      </c>
      <c r="R304">
        <v>1.4241055035060354E-3</v>
      </c>
      <c r="S304">
        <v>0.15675371205914992</v>
      </c>
      <c r="T304">
        <v>1.0728566302417184</v>
      </c>
      <c r="U304">
        <v>2.3670796634218654E-2</v>
      </c>
      <c r="V304">
        <v>0.20726186122840459</v>
      </c>
      <c r="W304">
        <v>8.2840519438726043E-2</v>
      </c>
      <c r="X304">
        <v>1.5787915428210716E-2</v>
      </c>
      <c r="Y304">
        <v>3.8759457242903664E-3</v>
      </c>
    </row>
    <row r="305" spans="1:25" x14ac:dyDescent="0.25">
      <c r="A305" s="827"/>
      <c r="B305" s="1066">
        <v>55</v>
      </c>
      <c r="C305" s="831">
        <v>1.0102798391862056</v>
      </c>
      <c r="D305" s="831">
        <v>1.0152310738795036</v>
      </c>
      <c r="E305" s="831">
        <v>1.0251906394526031</v>
      </c>
      <c r="F305" s="831">
        <v>1.0087358010013179</v>
      </c>
      <c r="G305" s="831">
        <v>0.99332120928704637</v>
      </c>
      <c r="H305" s="831">
        <v>0.98826887402184216</v>
      </c>
      <c r="I305" s="831">
        <v>0.99624719032210252</v>
      </c>
      <c r="K305">
        <v>1.7258255100000819</v>
      </c>
      <c r="L305">
        <v>0</v>
      </c>
      <c r="M305">
        <v>1.2764446453979201E-3</v>
      </c>
      <c r="N305">
        <v>0.13904198520426614</v>
      </c>
      <c r="O305">
        <v>1.7534320833145919E-2</v>
      </c>
      <c r="P305">
        <v>2.0073931222552216E-2</v>
      </c>
      <c r="Q305">
        <v>2.1823397157130536E-3</v>
      </c>
      <c r="R305">
        <v>1.2684808461895188E-3</v>
      </c>
      <c r="S305">
        <v>0.14884921763159795</v>
      </c>
      <c r="T305">
        <v>1.0691386942728218</v>
      </c>
      <c r="U305">
        <v>2.3085215594413729E-2</v>
      </c>
      <c r="V305">
        <v>0.2037196625203794</v>
      </c>
      <c r="W305">
        <v>8.1703667348939052E-2</v>
      </c>
      <c r="X305">
        <v>1.7052052746730061E-2</v>
      </c>
      <c r="Y305">
        <v>3.4523867087293057E-3</v>
      </c>
    </row>
    <row r="306" spans="1:25" x14ac:dyDescent="0.25">
      <c r="A306" s="827"/>
      <c r="B306" s="1066">
        <v>56</v>
      </c>
      <c r="C306" s="831">
        <v>1.0018573057369844</v>
      </c>
      <c r="D306" s="831">
        <v>1.0117053668661879</v>
      </c>
      <c r="E306" s="831">
        <v>1.035435204893028</v>
      </c>
      <c r="F306" s="831">
        <v>0.9857888569786819</v>
      </c>
      <c r="G306" s="831">
        <v>1.0116250666949671</v>
      </c>
      <c r="H306" s="831">
        <v>1.0166831197872439</v>
      </c>
      <c r="I306" s="831">
        <v>0.9965995074668903</v>
      </c>
      <c r="K306">
        <v>1.7414607351306048</v>
      </c>
      <c r="L306">
        <v>0</v>
      </c>
      <c r="M306">
        <v>1.2978309349834804E-3</v>
      </c>
      <c r="N306">
        <v>0.14596537690799197</v>
      </c>
      <c r="O306">
        <v>1.7709571408753962E-2</v>
      </c>
      <c r="P306">
        <v>2.0280402730800392E-2</v>
      </c>
      <c r="Q306">
        <v>2.225956126991782E-3</v>
      </c>
      <c r="R306">
        <v>1.2899622215352925E-3</v>
      </c>
      <c r="S306">
        <v>0.1523886477538299</v>
      </c>
      <c r="T306">
        <v>1.0682413632794432</v>
      </c>
      <c r="U306">
        <v>2.3279291137320916E-2</v>
      </c>
      <c r="V306">
        <v>0.20491724752867749</v>
      </c>
      <c r="W306">
        <v>8.5185294739482026E-2</v>
      </c>
      <c r="X306">
        <v>1.7764600299673233E-2</v>
      </c>
      <c r="Y306">
        <v>3.5108519310870219E-3</v>
      </c>
    </row>
    <row r="307" spans="1:25" x14ac:dyDescent="0.25">
      <c r="A307" s="827"/>
      <c r="B307" s="1066">
        <v>57</v>
      </c>
      <c r="C307" s="831">
        <v>0.9817927863656597</v>
      </c>
      <c r="D307" s="831">
        <v>1.0254680103951141</v>
      </c>
      <c r="E307" s="831">
        <v>0.99839067412597271</v>
      </c>
      <c r="F307" s="831">
        <v>0.97426236443656899</v>
      </c>
      <c r="G307" s="831">
        <v>0.96421351681563061</v>
      </c>
      <c r="H307" s="831">
        <v>0.99354197742198558</v>
      </c>
      <c r="I307" s="831">
        <v>1.0399162227890482</v>
      </c>
      <c r="K307">
        <v>1.7437131164216944</v>
      </c>
      <c r="L307">
        <v>0</v>
      </c>
      <c r="M307">
        <v>1.3909882201490927E-3</v>
      </c>
      <c r="N307">
        <v>0.13941221494201647</v>
      </c>
      <c r="O307">
        <v>1.7961466655935836E-2</v>
      </c>
      <c r="P307">
        <v>1.9897655650861112E-2</v>
      </c>
      <c r="Q307">
        <v>2.1782364938283867E-3</v>
      </c>
      <c r="R307">
        <v>1.3823488545855731E-3</v>
      </c>
      <c r="S307">
        <v>0.15961578454381226</v>
      </c>
      <c r="T307">
        <v>1.0715049304811783</v>
      </c>
      <c r="U307">
        <v>2.3755041004769543E-2</v>
      </c>
      <c r="V307">
        <v>0.20584708038661273</v>
      </c>
      <c r="W307">
        <v>8.3424828325915287E-2</v>
      </c>
      <c r="X307">
        <v>1.6362219411322081E-2</v>
      </c>
      <c r="Y307">
        <v>3.7622978910044854E-3</v>
      </c>
    </row>
    <row r="308" spans="1:25" x14ac:dyDescent="0.25">
      <c r="A308" s="827"/>
      <c r="B308" s="1066">
        <v>58</v>
      </c>
      <c r="C308" s="831">
        <v>1.0122104758075836</v>
      </c>
      <c r="D308" s="831">
        <v>1.0075383636469375</v>
      </c>
      <c r="E308" s="831">
        <v>1.006411715784717</v>
      </c>
      <c r="F308" s="831">
        <v>1.0057330344538644</v>
      </c>
      <c r="G308" s="831">
        <v>0.97681526296962684</v>
      </c>
      <c r="H308" s="831">
        <v>1.0013067552646253</v>
      </c>
      <c r="I308" s="831">
        <v>1.03070469601629</v>
      </c>
      <c r="K308">
        <v>1.7338006710357057</v>
      </c>
      <c r="L308">
        <v>0</v>
      </c>
      <c r="M308">
        <v>1.3476407165102934E-3</v>
      </c>
      <c r="N308">
        <v>0.13848795126487845</v>
      </c>
      <c r="O308">
        <v>1.7561196433745745E-2</v>
      </c>
      <c r="P308">
        <v>1.9913358821309683E-2</v>
      </c>
      <c r="Q308">
        <v>2.1438367076610132E-3</v>
      </c>
      <c r="R308">
        <v>1.339347310757996E-3</v>
      </c>
      <c r="S308">
        <v>0.15513883840492362</v>
      </c>
      <c r="T308">
        <v>1.070793884568171</v>
      </c>
      <c r="U308">
        <v>2.3041184077546208E-2</v>
      </c>
      <c r="V308">
        <v>0.20420043264943535</v>
      </c>
      <c r="W308">
        <v>8.2418920692764561E-2</v>
      </c>
      <c r="X308">
        <v>1.6464098956861614E-2</v>
      </c>
      <c r="Y308">
        <v>3.6452618641609337E-3</v>
      </c>
    </row>
    <row r="309" spans="1:25" x14ac:dyDescent="0.25">
      <c r="A309" s="827"/>
      <c r="B309" s="1066">
        <v>59</v>
      </c>
      <c r="C309" s="831">
        <v>0.98151652791635025</v>
      </c>
      <c r="D309" s="831">
        <v>0.9934471380395985</v>
      </c>
      <c r="E309" s="831">
        <v>1.0035026120621369</v>
      </c>
      <c r="F309" s="831">
        <v>0.97512735206223256</v>
      </c>
      <c r="G309" s="831">
        <v>1.0292834546432303</v>
      </c>
      <c r="H309" s="831">
        <v>0.96698534253581769</v>
      </c>
      <c r="I309" s="831">
        <v>1.0017079762344516</v>
      </c>
      <c r="K309">
        <v>1.738967603729302</v>
      </c>
      <c r="L309">
        <v>0</v>
      </c>
      <c r="M309">
        <v>1.3590337228371694E-3</v>
      </c>
      <c r="N309">
        <v>0.13837150840952636</v>
      </c>
      <c r="O309">
        <v>1.8226272859562929E-2</v>
      </c>
      <c r="P309">
        <v>1.9929776645433855E-2</v>
      </c>
      <c r="Q309">
        <v>2.2159895504108265E-3</v>
      </c>
      <c r="R309">
        <v>1.350383285233295E-3</v>
      </c>
      <c r="S309">
        <v>0.15387919733438879</v>
      </c>
      <c r="T309">
        <v>1.0710514887645086</v>
      </c>
      <c r="U309">
        <v>2.376172711815086E-2</v>
      </c>
      <c r="V309">
        <v>0.20882407023706309</v>
      </c>
      <c r="W309">
        <v>8.2513136933125439E-2</v>
      </c>
      <c r="X309">
        <v>1.6527788166057673E-2</v>
      </c>
      <c r="Y309">
        <v>3.6752981486746902E-3</v>
      </c>
    </row>
    <row r="310" spans="1:25" x14ac:dyDescent="0.25">
      <c r="A310" s="827"/>
      <c r="B310" s="1066">
        <v>60</v>
      </c>
      <c r="C310" s="831">
        <v>0.99497235190575839</v>
      </c>
      <c r="D310" s="831">
        <v>0.96056106348188819</v>
      </c>
      <c r="E310" s="831">
        <v>0.96822964313333981</v>
      </c>
      <c r="F310" s="831">
        <v>1.0169212936019809</v>
      </c>
      <c r="G310" s="831">
        <v>0.98731488378833465</v>
      </c>
      <c r="H310" s="831">
        <v>0.97370038083711397</v>
      </c>
      <c r="I310" s="831">
        <v>0.99529763002418703</v>
      </c>
      <c r="K310">
        <v>1.7376579205645744</v>
      </c>
      <c r="L310">
        <v>0</v>
      </c>
      <c r="M310">
        <v>1.4761971409640634E-3</v>
      </c>
      <c r="N310">
        <v>0.13467252726032466</v>
      </c>
      <c r="O310">
        <v>1.8256817965084791E-2</v>
      </c>
      <c r="P310">
        <v>1.9459794796327468E-2</v>
      </c>
      <c r="Q310">
        <v>2.1358059590957366E-3</v>
      </c>
      <c r="R310">
        <v>1.4668916176415513E-3</v>
      </c>
      <c r="S310">
        <v>0.15344340138920623</v>
      </c>
      <c r="T310">
        <v>1.0742003225885173</v>
      </c>
      <c r="U310">
        <v>2.3440377869426696E-2</v>
      </c>
      <c r="V310">
        <v>0.21051823050270255</v>
      </c>
      <c r="W310">
        <v>8.228899501805724E-2</v>
      </c>
      <c r="X310">
        <v>1.5258557316624611E-2</v>
      </c>
      <c r="Y310">
        <v>3.9923954225285071E-3</v>
      </c>
    </row>
    <row r="311" spans="1:25" x14ac:dyDescent="0.25">
      <c r="A311" s="827"/>
      <c r="B311" s="1066">
        <v>61</v>
      </c>
      <c r="C311" s="831">
        <v>1.0254974756250363</v>
      </c>
      <c r="D311" s="831">
        <v>1.0246522302372612</v>
      </c>
      <c r="E311" s="831">
        <v>0.97059489926705178</v>
      </c>
      <c r="F311" s="831">
        <v>1.0336475979544353</v>
      </c>
      <c r="G311" s="831">
        <v>1.0011994278699712</v>
      </c>
      <c r="H311" s="831">
        <v>1.0202604617832387</v>
      </c>
      <c r="I311" s="831">
        <v>1.0163410350454651</v>
      </c>
      <c r="K311">
        <v>1.7214903715267231</v>
      </c>
      <c r="L311">
        <v>0</v>
      </c>
      <c r="M311">
        <v>1.4502722505423339E-3</v>
      </c>
      <c r="N311">
        <v>0.13332113882734023</v>
      </c>
      <c r="O311">
        <v>1.7202166237634858E-2</v>
      </c>
      <c r="P311">
        <v>1.9331625373726048E-2</v>
      </c>
      <c r="Q311">
        <v>2.0280532284978909E-3</v>
      </c>
      <c r="R311">
        <v>1.4415011253125689E-3</v>
      </c>
      <c r="S311">
        <v>0.15127825678415963</v>
      </c>
      <c r="T311">
        <v>1.0739877126504489</v>
      </c>
      <c r="U311">
        <v>2.2742647790613191E-2</v>
      </c>
      <c r="V311">
        <v>0.20134330858834612</v>
      </c>
      <c r="W311">
        <v>8.1328668183912087E-2</v>
      </c>
      <c r="X311">
        <v>1.501227411489192E-2</v>
      </c>
      <c r="Y311">
        <v>3.923290872382564E-3</v>
      </c>
    </row>
    <row r="312" spans="1:25" x14ac:dyDescent="0.25">
      <c r="A312" s="827"/>
      <c r="B312" s="1066">
        <v>62</v>
      </c>
      <c r="C312" s="831">
        <v>1.0135117170630781</v>
      </c>
      <c r="D312" s="831">
        <v>1.0285226233487605</v>
      </c>
      <c r="E312" s="831">
        <v>0.99308453052445722</v>
      </c>
      <c r="F312" s="831">
        <v>0.96599492596104697</v>
      </c>
      <c r="G312" s="831">
        <v>0.96240979031028462</v>
      </c>
      <c r="H312" s="831">
        <v>1.0247534244642043</v>
      </c>
      <c r="I312" s="831">
        <v>0.96786820753754921</v>
      </c>
      <c r="K312">
        <v>1.7233394584776955</v>
      </c>
      <c r="L312">
        <v>0</v>
      </c>
      <c r="M312">
        <v>1.4035076810854617E-3</v>
      </c>
      <c r="N312">
        <v>0.13838932872294146</v>
      </c>
      <c r="O312">
        <v>1.7375990762210483E-2</v>
      </c>
      <c r="P312">
        <v>1.9578855426759544E-2</v>
      </c>
      <c r="Q312">
        <v>2.0965024150898836E-3</v>
      </c>
      <c r="R312">
        <v>1.3950540403552833E-3</v>
      </c>
      <c r="S312">
        <v>0.14584361286213499</v>
      </c>
      <c r="T312">
        <v>1.0719766415961527</v>
      </c>
      <c r="U312">
        <v>2.3011601647671624E-2</v>
      </c>
      <c r="V312">
        <v>0.20222537239549626</v>
      </c>
      <c r="W312">
        <v>8.3114842391907418E-2</v>
      </c>
      <c r="X312">
        <v>1.5938286679652334E-2</v>
      </c>
      <c r="Y312">
        <v>3.7968772184062733E-3</v>
      </c>
    </row>
    <row r="313" spans="1:25" x14ac:dyDescent="0.25">
      <c r="A313" s="827"/>
      <c r="B313" s="1066">
        <v>63</v>
      </c>
      <c r="C313" s="831">
        <v>0.97910786467774369</v>
      </c>
      <c r="D313" s="831">
        <v>0.96482536555708509</v>
      </c>
      <c r="E313" s="831">
        <v>0.97194663528835568</v>
      </c>
      <c r="F313" s="831">
        <v>0.99241328640776183</v>
      </c>
      <c r="G313" s="831">
        <v>0.97831061859933988</v>
      </c>
      <c r="H313" s="831">
        <v>1.0232828498374025</v>
      </c>
      <c r="I313" s="831">
        <v>1.0119920859804061</v>
      </c>
      <c r="K313">
        <v>1.7639023453884397</v>
      </c>
      <c r="L313">
        <v>0</v>
      </c>
      <c r="M313">
        <v>1.5611238621007512E-3</v>
      </c>
      <c r="N313">
        <v>0.14412450976957877</v>
      </c>
      <c r="O313">
        <v>1.8515278164156015E-2</v>
      </c>
      <c r="P313">
        <v>1.9648593858517496E-2</v>
      </c>
      <c r="Q313">
        <v>2.1750922500590512E-3</v>
      </c>
      <c r="R313">
        <v>1.5517563693451097E-3</v>
      </c>
      <c r="S313">
        <v>0.16199196100927682</v>
      </c>
      <c r="T313">
        <v>1.0738663009323481</v>
      </c>
      <c r="U313">
        <v>2.3820182371816007E-2</v>
      </c>
      <c r="V313">
        <v>0.21189612926286916</v>
      </c>
      <c r="W313">
        <v>8.7836016620948199E-2</v>
      </c>
      <c r="X313">
        <v>1.581427934061605E-2</v>
      </c>
      <c r="Y313">
        <v>4.2233693010077112E-3</v>
      </c>
    </row>
    <row r="314" spans="1:25" x14ac:dyDescent="0.25">
      <c r="A314" s="827"/>
      <c r="B314" s="1066">
        <v>64</v>
      </c>
      <c r="C314" s="831">
        <v>1.0284262067324634</v>
      </c>
      <c r="D314" s="831">
        <v>0.97351535766855635</v>
      </c>
      <c r="E314" s="831">
        <v>0.99156285177032411</v>
      </c>
      <c r="F314" s="831">
        <v>1.0035573442418191</v>
      </c>
      <c r="G314" s="831">
        <v>1.0089071861729857</v>
      </c>
      <c r="H314" s="831">
        <v>0.97746987335409441</v>
      </c>
      <c r="I314" s="831">
        <v>0.96516929761823256</v>
      </c>
      <c r="K314">
        <v>1.7156183426723912</v>
      </c>
      <c r="L314">
        <v>0</v>
      </c>
      <c r="M314">
        <v>1.3568893545265212E-3</v>
      </c>
      <c r="N314">
        <v>0.13312514050608951</v>
      </c>
      <c r="O314">
        <v>1.7555661775893679E-2</v>
      </c>
      <c r="P314">
        <v>1.9567149095589334E-2</v>
      </c>
      <c r="Q314">
        <v>2.1054247765582056E-3</v>
      </c>
      <c r="R314">
        <v>1.3483594274654143E-3</v>
      </c>
      <c r="S314">
        <v>0.14341467750685163</v>
      </c>
      <c r="T314">
        <v>1.0721121132295661</v>
      </c>
      <c r="U314">
        <v>2.2677881743605102E-2</v>
      </c>
      <c r="V314">
        <v>0.20563939570658343</v>
      </c>
      <c r="W314">
        <v>8.0036977591617792E-2</v>
      </c>
      <c r="X314">
        <v>1.572266079210145E-2</v>
      </c>
      <c r="Y314">
        <v>3.6697898749950522E-3</v>
      </c>
    </row>
    <row r="315" spans="1:25" x14ac:dyDescent="0.25">
      <c r="A315" s="827"/>
      <c r="B315" s="1066">
        <v>65</v>
      </c>
      <c r="C315" s="831">
        <v>0.96213055540415637</v>
      </c>
      <c r="D315" s="831">
        <v>0.99951965474581905</v>
      </c>
      <c r="E315" s="831">
        <v>1.0049559822151786</v>
      </c>
      <c r="F315" s="831">
        <v>0.97212037457925404</v>
      </c>
      <c r="G315" s="831">
        <v>0.99994328400843224</v>
      </c>
      <c r="H315" s="831">
        <v>0.99641835960627678</v>
      </c>
      <c r="I315" s="831">
        <v>0.99112301826377702</v>
      </c>
      <c r="K315">
        <v>1.7561924015165946</v>
      </c>
      <c r="L315">
        <v>0</v>
      </c>
      <c r="M315">
        <v>1.4203245541508929E-3</v>
      </c>
      <c r="N315">
        <v>0.14529409157706841</v>
      </c>
      <c r="O315">
        <v>1.8542238944041656E-2</v>
      </c>
      <c r="P315">
        <v>2.0022757551157538E-2</v>
      </c>
      <c r="Q315">
        <v>2.258823743530038E-3</v>
      </c>
      <c r="R315">
        <v>1.4115466744484581E-3</v>
      </c>
      <c r="S315">
        <v>0.15710589612300152</v>
      </c>
      <c r="T315">
        <v>1.0709227513409671</v>
      </c>
      <c r="U315">
        <v>2.4240502255441013E-2</v>
      </c>
      <c r="V315">
        <v>0.21046206578644025</v>
      </c>
      <c r="W315">
        <v>8.6555319362140018E-2</v>
      </c>
      <c r="X315">
        <v>1.695496798089783E-2</v>
      </c>
      <c r="Y315">
        <v>3.8417647316125294E-3</v>
      </c>
    </row>
    <row r="316" spans="1:25" x14ac:dyDescent="0.25">
      <c r="A316" s="827"/>
      <c r="B316" s="1066">
        <v>66</v>
      </c>
      <c r="C316" s="831">
        <v>0.99138261747787859</v>
      </c>
      <c r="D316" s="831">
        <v>0.99009186100740776</v>
      </c>
      <c r="E316" s="831">
        <v>0.97472048242925136</v>
      </c>
      <c r="F316" s="831">
        <v>1.0135878825011981</v>
      </c>
      <c r="G316" s="831">
        <v>1.0056131490144333</v>
      </c>
      <c r="H316" s="831">
        <v>0.97179816540206621</v>
      </c>
      <c r="I316" s="831">
        <v>1.0169437836094837</v>
      </c>
      <c r="K316">
        <v>1.7348627970196391</v>
      </c>
      <c r="L316">
        <v>0</v>
      </c>
      <c r="M316">
        <v>1.4387564884994833E-3</v>
      </c>
      <c r="N316">
        <v>0.13393628082327896</v>
      </c>
      <c r="O316">
        <v>1.8072588619602186E-2</v>
      </c>
      <c r="P316">
        <v>1.954104114173992E-2</v>
      </c>
      <c r="Q316">
        <v>2.1336752271246145E-3</v>
      </c>
      <c r="R316">
        <v>1.429646481079611E-3</v>
      </c>
      <c r="S316">
        <v>0.15523829399299754</v>
      </c>
      <c r="T316">
        <v>1.0736173710428378</v>
      </c>
      <c r="U316">
        <v>2.3525254011046465E-2</v>
      </c>
      <c r="V316">
        <v>0.20804613020550453</v>
      </c>
      <c r="W316">
        <v>8.1469151374408064E-2</v>
      </c>
      <c r="X316">
        <v>1.5401094149854374E-2</v>
      </c>
      <c r="Y316">
        <v>3.8910264386628744E-3</v>
      </c>
    </row>
    <row r="317" spans="1:25" x14ac:dyDescent="0.25">
      <c r="A317" s="827"/>
      <c r="B317" s="1066">
        <v>67</v>
      </c>
      <c r="C317" s="831">
        <v>0.98895551725783182</v>
      </c>
      <c r="D317" s="831">
        <v>1.0246596622918025</v>
      </c>
      <c r="E317" s="831">
        <v>0.99573565413299092</v>
      </c>
      <c r="F317" s="831">
        <v>1.0358592187748341</v>
      </c>
      <c r="G317" s="831">
        <v>0.98682352650192107</v>
      </c>
      <c r="H317" s="831">
        <v>1.0029372792664915</v>
      </c>
      <c r="I317" s="831">
        <v>1.0032313601067067</v>
      </c>
      <c r="K317">
        <v>1.7367879159313129</v>
      </c>
      <c r="L317">
        <v>0</v>
      </c>
      <c r="M317">
        <v>1.4022832769295948E-3</v>
      </c>
      <c r="N317">
        <v>0.13939610730907129</v>
      </c>
      <c r="O317">
        <v>1.7837728746964519E-2</v>
      </c>
      <c r="P317">
        <v>1.976754050983406E-2</v>
      </c>
      <c r="Q317">
        <v>2.1573179835659788E-3</v>
      </c>
      <c r="R317">
        <v>1.3936558941956285E-3</v>
      </c>
      <c r="S317">
        <v>0.15359638943907727</v>
      </c>
      <c r="T317">
        <v>1.0717408265143624</v>
      </c>
      <c r="U317">
        <v>2.3582989822405507E-2</v>
      </c>
      <c r="V317">
        <v>0.20514148147427877</v>
      </c>
      <c r="W317">
        <v>8.3567177135882284E-2</v>
      </c>
      <c r="X317">
        <v>1.6215912453143494E-2</v>
      </c>
      <c r="Y317">
        <v>3.7930719254584506E-3</v>
      </c>
    </row>
    <row r="318" spans="1:25" x14ac:dyDescent="0.25">
      <c r="A318" s="827"/>
      <c r="B318" s="1066">
        <v>68</v>
      </c>
      <c r="C318" s="831">
        <v>0.99304694644246028</v>
      </c>
      <c r="D318" s="831">
        <v>0.99355173779128581</v>
      </c>
      <c r="E318" s="831">
        <v>0.99792901607187667</v>
      </c>
      <c r="F318" s="831">
        <v>0.98418406656349866</v>
      </c>
      <c r="G318" s="831">
        <v>0.97195601758611716</v>
      </c>
      <c r="H318" s="831">
        <v>0.99141429091100963</v>
      </c>
      <c r="I318" s="831">
        <v>1.0166736657580782</v>
      </c>
      <c r="K318">
        <v>1.7418175065388495</v>
      </c>
      <c r="L318">
        <v>0</v>
      </c>
      <c r="M318">
        <v>1.3933839171917986E-3</v>
      </c>
      <c r="N318">
        <v>0.13945222805852181</v>
      </c>
      <c r="O318">
        <v>1.8013785085104421E-2</v>
      </c>
      <c r="P318">
        <v>1.9863581485717582E-2</v>
      </c>
      <c r="Q318">
        <v>2.1779425625825456E-3</v>
      </c>
      <c r="R318">
        <v>1.3847333000336329E-3</v>
      </c>
      <c r="S318">
        <v>0.15615869180518657</v>
      </c>
      <c r="T318">
        <v>1.0715459292669123</v>
      </c>
      <c r="U318">
        <v>2.3485826105054675E-2</v>
      </c>
      <c r="V318">
        <v>0.20753573068788669</v>
      </c>
      <c r="W318">
        <v>8.3475170654743872E-2</v>
      </c>
      <c r="X318">
        <v>1.6348483878815798E-2</v>
      </c>
      <c r="Y318">
        <v>3.7687875654818744E-3</v>
      </c>
    </row>
    <row r="319" spans="1:25" x14ac:dyDescent="0.25">
      <c r="A319" s="827"/>
      <c r="B319" s="1066">
        <v>69</v>
      </c>
      <c r="C319" s="831">
        <v>0.98712920227430012</v>
      </c>
      <c r="D319" s="831">
        <v>1.0177669235978897</v>
      </c>
      <c r="E319" s="831">
        <v>1.0186187270846527</v>
      </c>
      <c r="F319" s="831">
        <v>0.96870036373881252</v>
      </c>
      <c r="G319" s="831">
        <v>1.0280466510285904</v>
      </c>
      <c r="H319" s="831">
        <v>0.9721888643775034</v>
      </c>
      <c r="I319" s="831">
        <v>0.99981160556923288</v>
      </c>
      <c r="K319">
        <v>1.7324215670705729</v>
      </c>
      <c r="L319">
        <v>0</v>
      </c>
      <c r="M319">
        <v>1.3016272894067202E-3</v>
      </c>
      <c r="N319">
        <v>0.1389056086089715</v>
      </c>
      <c r="O319">
        <v>1.7925316090106592E-2</v>
      </c>
      <c r="P319">
        <v>2.006164602511009E-2</v>
      </c>
      <c r="Q319">
        <v>2.2169393431403237E-3</v>
      </c>
      <c r="R319">
        <v>1.2933703911172001E-3</v>
      </c>
      <c r="S319">
        <v>0.15156738074003204</v>
      </c>
      <c r="T319">
        <v>1.0697164295432979</v>
      </c>
      <c r="U319">
        <v>2.362662136280556E-2</v>
      </c>
      <c r="V319">
        <v>0.20595618821584352</v>
      </c>
      <c r="W319">
        <v>8.1985820054454789E-2</v>
      </c>
      <c r="X319">
        <v>1.6947746139912741E-2</v>
      </c>
      <c r="Y319">
        <v>3.5201278451861737E-3</v>
      </c>
    </row>
    <row r="320" spans="1:25" x14ac:dyDescent="0.25">
      <c r="A320" s="827"/>
      <c r="B320" s="1066">
        <v>70</v>
      </c>
      <c r="C320" s="831">
        <v>0.96318061686343248</v>
      </c>
      <c r="D320" s="831">
        <v>1.0182982865816288</v>
      </c>
      <c r="E320" s="831">
        <v>0.99583801065035105</v>
      </c>
      <c r="F320" s="831">
        <v>0.98387750808229968</v>
      </c>
      <c r="G320" s="831">
        <v>0.99268273117790828</v>
      </c>
      <c r="H320" s="831">
        <v>0.99513607457343012</v>
      </c>
      <c r="I320" s="831">
        <v>0.99770764274654589</v>
      </c>
      <c r="K320">
        <v>1.7497901034962176</v>
      </c>
      <c r="L320">
        <v>0</v>
      </c>
      <c r="M320">
        <v>1.432321842298267E-3</v>
      </c>
      <c r="N320">
        <v>0.14242103236783676</v>
      </c>
      <c r="O320">
        <v>1.8366678565815336E-2</v>
      </c>
      <c r="P320">
        <v>1.9866038362847307E-2</v>
      </c>
      <c r="Q320">
        <v>2.2203979037190543E-3</v>
      </c>
      <c r="R320">
        <v>1.4234450232131794E-3</v>
      </c>
      <c r="S320">
        <v>0.15666803332533785</v>
      </c>
      <c r="T320">
        <v>1.071731727306465</v>
      </c>
      <c r="U320">
        <v>2.4214075210786827E-2</v>
      </c>
      <c r="V320">
        <v>0.20857595567009315</v>
      </c>
      <c r="W320">
        <v>8.5374605405362916E-2</v>
      </c>
      <c r="X320">
        <v>1.6486288082375952E-2</v>
      </c>
      <c r="Y320">
        <v>3.8741481146604821E-3</v>
      </c>
    </row>
    <row r="321" spans="1:25" x14ac:dyDescent="0.25">
      <c r="A321" s="827"/>
      <c r="B321" s="1066">
        <v>71</v>
      </c>
      <c r="C321" s="831">
        <v>0.97991438789891905</v>
      </c>
      <c r="D321" s="831">
        <v>1.0286669202723937</v>
      </c>
      <c r="E321" s="831">
        <v>1.0135130038674327</v>
      </c>
      <c r="F321" s="831">
        <v>1.0221840968744844</v>
      </c>
      <c r="G321" s="831">
        <v>0.99920772500955923</v>
      </c>
      <c r="H321" s="831">
        <v>1.0294140033997168</v>
      </c>
      <c r="I321" s="831">
        <v>0.97990188374859621</v>
      </c>
      <c r="K321">
        <v>1.7475602235346015</v>
      </c>
      <c r="L321">
        <v>0</v>
      </c>
      <c r="M321">
        <v>1.3967073811459601E-3</v>
      </c>
      <c r="N321">
        <v>0.14675742372065814</v>
      </c>
      <c r="O321">
        <v>1.797060551110807E-2</v>
      </c>
      <c r="P321">
        <v>2.0012775189910792E-2</v>
      </c>
      <c r="Q321">
        <v>2.2131719351087004E-3</v>
      </c>
      <c r="R321">
        <v>1.3883326935125112E-3</v>
      </c>
      <c r="S321">
        <v>0.15304092023347274</v>
      </c>
      <c r="T321">
        <v>1.0701664016175536</v>
      </c>
      <c r="U321">
        <v>2.3800577056848921E-2</v>
      </c>
      <c r="V321">
        <v>0.20577003286320286</v>
      </c>
      <c r="W321">
        <v>8.6919933108755704E-2</v>
      </c>
      <c r="X321">
        <v>1.713817305762378E-2</v>
      </c>
      <c r="Y321">
        <v>3.7785839279916387E-3</v>
      </c>
    </row>
    <row r="322" spans="1:25" x14ac:dyDescent="0.25">
      <c r="A322" s="827"/>
      <c r="B322" s="1066">
        <v>72</v>
      </c>
      <c r="C322" s="831">
        <v>1.0269552804483066</v>
      </c>
      <c r="D322" s="831">
        <v>0.99465186017682194</v>
      </c>
      <c r="E322" s="831">
        <v>1.0325908488240296</v>
      </c>
      <c r="F322" s="831">
        <v>1.0240547549124694</v>
      </c>
      <c r="G322" s="831">
        <v>1.0063195468968329</v>
      </c>
      <c r="H322" s="831">
        <v>1.0167940346255115</v>
      </c>
      <c r="I322" s="831">
        <v>1.003127009642671</v>
      </c>
      <c r="K322">
        <v>1.7332395207555817</v>
      </c>
      <c r="L322">
        <v>0</v>
      </c>
      <c r="M322">
        <v>1.2837306839778872E-3</v>
      </c>
      <c r="N322">
        <v>0.14311202987864058</v>
      </c>
      <c r="O322">
        <v>1.741026465232583E-2</v>
      </c>
      <c r="P322">
        <v>2.019556872973206E-2</v>
      </c>
      <c r="Q322">
        <v>2.17916990952445E-3</v>
      </c>
      <c r="R322">
        <v>1.2759590617168208E-3</v>
      </c>
      <c r="S322">
        <v>0.15070608449629824</v>
      </c>
      <c r="T322">
        <v>1.068490103713347</v>
      </c>
      <c r="U322">
        <v>2.2710363676324816E-2</v>
      </c>
      <c r="V322">
        <v>0.20383647874235722</v>
      </c>
      <c r="W322">
        <v>8.3678986142363784E-2</v>
      </c>
      <c r="X322">
        <v>1.7455502490725198E-2</v>
      </c>
      <c r="Y322">
        <v>3.4727399462015341E-3</v>
      </c>
    </row>
    <row r="323" spans="1:25" x14ac:dyDescent="0.25">
      <c r="A323" s="827"/>
      <c r="B323" s="1066">
        <v>73</v>
      </c>
      <c r="C323" s="831">
        <v>1.0280060730623128</v>
      </c>
      <c r="D323" s="831">
        <v>0.99665112678848944</v>
      </c>
      <c r="E323" s="831">
        <v>0.98769913649782215</v>
      </c>
      <c r="F323" s="831">
        <v>1.0111853997466869</v>
      </c>
      <c r="G323" s="831">
        <v>0.96527778218606097</v>
      </c>
      <c r="H323" s="831">
        <v>0.97485294460074379</v>
      </c>
      <c r="I323" s="831">
        <v>0.99339238904121541</v>
      </c>
      <c r="K323">
        <v>1.7126587286951178</v>
      </c>
      <c r="L323">
        <v>0</v>
      </c>
      <c r="M323">
        <v>1.3503992050440197E-3</v>
      </c>
      <c r="N323">
        <v>0.13090031647920827</v>
      </c>
      <c r="O323">
        <v>1.7376648173671835E-2</v>
      </c>
      <c r="P323">
        <v>1.9522453933563635E-2</v>
      </c>
      <c r="Q323">
        <v>2.079864354259899E-3</v>
      </c>
      <c r="R323">
        <v>1.3418708548183721E-3</v>
      </c>
      <c r="S323">
        <v>0.14605279261456897</v>
      </c>
      <c r="T323">
        <v>1.0724564830057508</v>
      </c>
      <c r="U323">
        <v>2.268714992006619E-2</v>
      </c>
      <c r="V323">
        <v>0.20354819992322717</v>
      </c>
      <c r="W323">
        <v>7.8909229485299451E-2</v>
      </c>
      <c r="X323">
        <v>1.5481989036518182E-2</v>
      </c>
      <c r="Y323">
        <v>3.6521301192072009E-3</v>
      </c>
    </row>
    <row r="324" spans="1:25" x14ac:dyDescent="0.25">
      <c r="A324" s="827"/>
      <c r="B324" s="1066">
        <v>74</v>
      </c>
      <c r="C324" s="831">
        <v>0.99485872982351853</v>
      </c>
      <c r="D324" s="831">
        <v>0.99867226218651883</v>
      </c>
      <c r="E324" s="831">
        <v>1.0034336870392524</v>
      </c>
      <c r="F324" s="831">
        <v>0.99528907352920915</v>
      </c>
      <c r="G324" s="831">
        <v>0.97181077064504007</v>
      </c>
      <c r="H324" s="831">
        <v>1.0014435707242375</v>
      </c>
      <c r="I324" s="831">
        <v>0.9678556001647679</v>
      </c>
      <c r="K324">
        <v>1.7355521577928839</v>
      </c>
      <c r="L324">
        <v>0</v>
      </c>
      <c r="M324">
        <v>1.3854945275097764E-3</v>
      </c>
      <c r="N324">
        <v>0.14106611915829287</v>
      </c>
      <c r="O324">
        <v>1.7939140575001098E-2</v>
      </c>
      <c r="P324">
        <v>1.9827750624529666E-2</v>
      </c>
      <c r="Q324">
        <v>2.1818685712157357E-3</v>
      </c>
      <c r="R324">
        <v>1.3769754600045645E-3</v>
      </c>
      <c r="S324">
        <v>0.14877409240659847</v>
      </c>
      <c r="T324">
        <v>1.0710575960249078</v>
      </c>
      <c r="U324">
        <v>2.3443054977705685E-2</v>
      </c>
      <c r="V324">
        <v>0.20685992570329201</v>
      </c>
      <c r="W324">
        <v>8.4123934002326359E-2</v>
      </c>
      <c r="X324">
        <v>1.6539521534223684E-2</v>
      </c>
      <c r="Y324">
        <v>3.7476732822940288E-3</v>
      </c>
    </row>
    <row r="325" spans="1:25" x14ac:dyDescent="0.25">
      <c r="A325" s="827"/>
      <c r="B325" s="1066">
        <v>75</v>
      </c>
      <c r="C325" s="831">
        <v>1.0103278029397036</v>
      </c>
      <c r="D325" s="831">
        <v>1.0149284463187707</v>
      </c>
      <c r="E325" s="831">
        <v>0.98288674506113871</v>
      </c>
      <c r="F325" s="831">
        <v>1.033173046486807</v>
      </c>
      <c r="G325" s="831">
        <v>1.0017315588958884</v>
      </c>
      <c r="H325" s="831">
        <v>0.97139165060099297</v>
      </c>
      <c r="I325" s="831">
        <v>0.97051799329505284</v>
      </c>
      <c r="K325">
        <v>1.7119077441006971</v>
      </c>
      <c r="L325">
        <v>0</v>
      </c>
      <c r="M325">
        <v>1.3717455104172345E-3</v>
      </c>
      <c r="N325">
        <v>0.13098719595810232</v>
      </c>
      <c r="O325">
        <v>1.7535852192708132E-2</v>
      </c>
      <c r="P325">
        <v>1.9435675424909163E-2</v>
      </c>
      <c r="Q325">
        <v>2.0918128986348828E-3</v>
      </c>
      <c r="R325">
        <v>1.363038638620343E-3</v>
      </c>
      <c r="S325">
        <v>0.14385999139496347</v>
      </c>
      <c r="T325">
        <v>1.072886193301718</v>
      </c>
      <c r="U325">
        <v>2.308411965942412E-2</v>
      </c>
      <c r="V325">
        <v>0.20373792556089257</v>
      </c>
      <c r="W325">
        <v>7.9224736634900275E-2</v>
      </c>
      <c r="X325">
        <v>1.5363206097482457E-2</v>
      </c>
      <c r="Y325">
        <v>3.7097418487581114E-3</v>
      </c>
    </row>
    <row r="326" spans="1:25" x14ac:dyDescent="0.25">
      <c r="A326" s="827"/>
      <c r="B326" s="1066">
        <v>76</v>
      </c>
      <c r="C326" s="831">
        <v>1.0078683314935166</v>
      </c>
      <c r="D326" s="831">
        <v>1.0047241232095683</v>
      </c>
      <c r="E326" s="831">
        <v>0.98404389970716488</v>
      </c>
      <c r="F326" s="831">
        <v>1.0195586260686449</v>
      </c>
      <c r="G326" s="831">
        <v>1.0255208738084849</v>
      </c>
      <c r="H326" s="831">
        <v>1.0144529236273752</v>
      </c>
      <c r="I326" s="831">
        <v>0.99365357373548002</v>
      </c>
      <c r="K326">
        <v>1.7324179415535765</v>
      </c>
      <c r="L326">
        <v>0</v>
      </c>
      <c r="M326">
        <v>1.439121246376462E-3</v>
      </c>
      <c r="N326">
        <v>0.13795517389109932</v>
      </c>
      <c r="O326">
        <v>1.7659198070436567E-2</v>
      </c>
      <c r="P326">
        <v>1.9568374825095602E-2</v>
      </c>
      <c r="Q326">
        <v>2.1072635757399569E-3</v>
      </c>
      <c r="R326">
        <v>1.4303816217407623E-3</v>
      </c>
      <c r="S326">
        <v>0.15130919544709553</v>
      </c>
      <c r="T326">
        <v>1.0727827885542667</v>
      </c>
      <c r="U326">
        <v>2.3140451157684969E-2</v>
      </c>
      <c r="V326">
        <v>0.20491196952644658</v>
      </c>
      <c r="W326">
        <v>8.3372358457948506E-2</v>
      </c>
      <c r="X326">
        <v>1.5726880423195765E-2</v>
      </c>
      <c r="Y326">
        <v>3.8930272492034741E-3</v>
      </c>
    </row>
    <row r="327" spans="1:25" x14ac:dyDescent="0.25">
      <c r="A327" s="827"/>
      <c r="B327" s="1066">
        <v>77</v>
      </c>
      <c r="C327" s="831">
        <v>1.0217250709677366</v>
      </c>
      <c r="D327" s="831">
        <v>1.0011324900027845</v>
      </c>
      <c r="E327" s="831">
        <v>0.98337221909346295</v>
      </c>
      <c r="F327" s="831">
        <v>0.9807405436382739</v>
      </c>
      <c r="G327" s="831">
        <v>1.0012212145176287</v>
      </c>
      <c r="H327" s="831">
        <v>0.99751551087232282</v>
      </c>
      <c r="I327" s="831">
        <v>1.0144264540362911</v>
      </c>
      <c r="K327">
        <v>1.7241051313694458</v>
      </c>
      <c r="L327">
        <v>0</v>
      </c>
      <c r="M327">
        <v>1.4001388344482173E-3</v>
      </c>
      <c r="N327">
        <v>0.1339241217994542</v>
      </c>
      <c r="O327">
        <v>1.7447972526789694E-2</v>
      </c>
      <c r="P327">
        <v>1.954106624833099E-2</v>
      </c>
      <c r="Q327">
        <v>2.0800303888426149E-3</v>
      </c>
      <c r="R327">
        <v>1.3914940885987295E-3</v>
      </c>
      <c r="S327">
        <v>0.15139762381584732</v>
      </c>
      <c r="T327">
        <v>1.0728428046201326</v>
      </c>
      <c r="U327">
        <v>2.2826618002250876E-2</v>
      </c>
      <c r="V327">
        <v>0.2037896982231186</v>
      </c>
      <c r="W327">
        <v>8.0973849861643049E-2</v>
      </c>
      <c r="X327">
        <v>1.5502802425620934E-2</v>
      </c>
      <c r="Y327">
        <v>3.7871882032627156E-3</v>
      </c>
    </row>
    <row r="328" spans="1:25" x14ac:dyDescent="0.25">
      <c r="A328" s="827"/>
      <c r="B328" s="1066">
        <v>78</v>
      </c>
      <c r="C328" s="831">
        <v>0.99687791905824064</v>
      </c>
      <c r="D328" s="831">
        <v>0.99709808562519464</v>
      </c>
      <c r="E328" s="831">
        <v>1.0356098617361711</v>
      </c>
      <c r="F328" s="831">
        <v>1.0187677225415406</v>
      </c>
      <c r="G328" s="831">
        <v>1.0083097316975389</v>
      </c>
      <c r="H328" s="831">
        <v>1.0130660871668566</v>
      </c>
      <c r="I328" s="831">
        <v>0.97869718215045465</v>
      </c>
      <c r="K328">
        <v>1.7443559571497504</v>
      </c>
      <c r="L328">
        <v>0</v>
      </c>
      <c r="M328">
        <v>1.3077656709181123E-3</v>
      </c>
      <c r="N328">
        <v>0.14716031630979057</v>
      </c>
      <c r="O328">
        <v>1.791560496860331E-2</v>
      </c>
      <c r="P328">
        <v>2.0291870556813293E-2</v>
      </c>
      <c r="Q328">
        <v>2.2495634271921653E-3</v>
      </c>
      <c r="R328">
        <v>1.2998178146179881E-3</v>
      </c>
      <c r="S328">
        <v>0.15105448264590768</v>
      </c>
      <c r="T328">
        <v>1.0682260994556161</v>
      </c>
      <c r="U328">
        <v>2.3395570763906748E-2</v>
      </c>
      <c r="V328">
        <v>0.20678612442401212</v>
      </c>
      <c r="W328">
        <v>8.5872647746441183E-2</v>
      </c>
      <c r="X328">
        <v>1.7873949101204854E-2</v>
      </c>
      <c r="Y328">
        <v>3.5376756065627329E-3</v>
      </c>
    </row>
    <row r="329" spans="1:25" x14ac:dyDescent="0.25">
      <c r="A329" s="827"/>
      <c r="B329" s="1066">
        <v>79</v>
      </c>
      <c r="C329" s="831">
        <v>0.98574369987327448</v>
      </c>
      <c r="D329" s="831">
        <v>1.000886676273953</v>
      </c>
      <c r="E329" s="831">
        <v>1.0134087285487487</v>
      </c>
      <c r="F329" s="831">
        <v>0.96884777285027213</v>
      </c>
      <c r="G329" s="831">
        <v>0.96636976248208417</v>
      </c>
      <c r="H329" s="831">
        <v>1.0084539591603963</v>
      </c>
      <c r="I329" s="831">
        <v>1.0051208563394243</v>
      </c>
      <c r="K329">
        <v>1.7493412903983552</v>
      </c>
      <c r="L329">
        <v>0</v>
      </c>
      <c r="M329">
        <v>1.3774049381940427E-3</v>
      </c>
      <c r="N329">
        <v>0.14466617408715354</v>
      </c>
      <c r="O329">
        <v>1.8086865574854682E-2</v>
      </c>
      <c r="P329">
        <v>2.0080299615500681E-2</v>
      </c>
      <c r="Q329">
        <v>2.2223039054090105E-3</v>
      </c>
      <c r="R329">
        <v>1.3689929692146719E-3</v>
      </c>
      <c r="S329">
        <v>0.15630059774710592</v>
      </c>
      <c r="T329">
        <v>1.0701756017789918</v>
      </c>
      <c r="U329">
        <v>2.3659829529015967E-2</v>
      </c>
      <c r="V329">
        <v>0.20765225289978456</v>
      </c>
      <c r="W329">
        <v>8.5687406363999685E-2</v>
      </c>
      <c r="X329">
        <v>1.7092423291728182E-2</v>
      </c>
      <c r="Y329">
        <v>3.7259475737913229E-3</v>
      </c>
    </row>
    <row r="330" spans="1:25" x14ac:dyDescent="0.25">
      <c r="A330" s="827"/>
      <c r="B330" s="1066">
        <v>80</v>
      </c>
      <c r="C330" s="831">
        <v>1.0147273965844976</v>
      </c>
      <c r="D330" s="831">
        <v>0.99997065342947511</v>
      </c>
      <c r="E330" s="831">
        <v>1.0057407348411549</v>
      </c>
      <c r="F330" s="831">
        <v>1.0165599428852077</v>
      </c>
      <c r="G330" s="831">
        <v>0.96161366298545181</v>
      </c>
      <c r="H330" s="831">
        <v>0.99610430722207965</v>
      </c>
      <c r="I330" s="831">
        <v>1.0251028197261665</v>
      </c>
      <c r="K330">
        <v>1.7319779950827807</v>
      </c>
      <c r="L330">
        <v>0</v>
      </c>
      <c r="M330">
        <v>1.3437805285860356E-3</v>
      </c>
      <c r="N330">
        <v>0.13779949990746448</v>
      </c>
      <c r="O330">
        <v>1.7577538129789239E-2</v>
      </c>
      <c r="P330">
        <v>1.9893891411389326E-2</v>
      </c>
      <c r="Q330">
        <v>2.1430674915731453E-3</v>
      </c>
      <c r="R330">
        <v>1.3354727820210569E-3</v>
      </c>
      <c r="S330">
        <v>0.15401798151157164</v>
      </c>
      <c r="T330">
        <v>1.0708532722669799</v>
      </c>
      <c r="U330">
        <v>2.2984032930228552E-2</v>
      </c>
      <c r="V330">
        <v>0.20462216944022965</v>
      </c>
      <c r="W330">
        <v>8.2046700480947268E-2</v>
      </c>
      <c r="X330">
        <v>1.6413432584993427E-2</v>
      </c>
      <c r="Y330">
        <v>3.6347166741770411E-3</v>
      </c>
    </row>
    <row r="331" spans="1:25" x14ac:dyDescent="0.25">
      <c r="A331" s="827"/>
      <c r="B331" s="1066">
        <v>81</v>
      </c>
      <c r="C331" s="831">
        <v>1.0045510091373677</v>
      </c>
      <c r="D331" s="831">
        <v>0.97257319146542076</v>
      </c>
      <c r="E331" s="831">
        <v>0.99766664819619433</v>
      </c>
      <c r="F331" s="831">
        <v>0.99377506333334997</v>
      </c>
      <c r="G331" s="831">
        <v>1.0168579197805838</v>
      </c>
      <c r="H331" s="831">
        <v>1.0112811722315573</v>
      </c>
      <c r="I331" s="831">
        <v>0.99392553149449203</v>
      </c>
      <c r="K331">
        <v>1.7439510710371642</v>
      </c>
      <c r="L331">
        <v>0</v>
      </c>
      <c r="M331">
        <v>1.4194731007389314E-3</v>
      </c>
      <c r="N331">
        <v>0.14196629094527138</v>
      </c>
      <c r="O331">
        <v>1.7980817791268346E-2</v>
      </c>
      <c r="P331">
        <v>1.983279269140472E-2</v>
      </c>
      <c r="Q331">
        <v>2.1695493144465237E-3</v>
      </c>
      <c r="R331">
        <v>1.4108487829814569E-3</v>
      </c>
      <c r="S331">
        <v>0.15369058578964023</v>
      </c>
      <c r="T331">
        <v>1.0715692331355349</v>
      </c>
      <c r="U331">
        <v>2.3216867721163086E-2</v>
      </c>
      <c r="V331">
        <v>0.20827565867999431</v>
      </c>
      <c r="W331">
        <v>8.4995352599050208E-2</v>
      </c>
      <c r="X331">
        <v>1.6422681386048788E-2</v>
      </c>
      <c r="Y331">
        <v>3.8398653010992103E-3</v>
      </c>
    </row>
    <row r="332" spans="1:25" x14ac:dyDescent="0.25">
      <c r="A332" s="827"/>
      <c r="B332" s="1066">
        <v>82</v>
      </c>
      <c r="C332" s="831">
        <v>0.96947490592919006</v>
      </c>
      <c r="D332" s="831">
        <v>0.9578127936313201</v>
      </c>
      <c r="E332" s="831">
        <v>1.0042294443754833</v>
      </c>
      <c r="F332" s="831">
        <v>0.98061263180216318</v>
      </c>
      <c r="G332" s="831">
        <v>0.99117459745242675</v>
      </c>
      <c r="H332" s="831">
        <v>0.98257807275281539</v>
      </c>
      <c r="I332" s="831">
        <v>1.0134374982286789</v>
      </c>
      <c r="K332">
        <v>1.7631570152779563</v>
      </c>
      <c r="L332">
        <v>0</v>
      </c>
      <c r="M332">
        <v>1.419293625428015E-3</v>
      </c>
      <c r="N332">
        <v>0.14485145213533601</v>
      </c>
      <c r="O332">
        <v>1.8761431032660033E-2</v>
      </c>
      <c r="P332">
        <v>2.0111484755433763E-2</v>
      </c>
      <c r="Q332">
        <v>2.2758033137105049E-3</v>
      </c>
      <c r="R332">
        <v>1.4104297565022011E-3</v>
      </c>
      <c r="S332">
        <v>0.16122007961056506</v>
      </c>
      <c r="T332">
        <v>1.0709870970366198</v>
      </c>
      <c r="U332">
        <v>2.4056865995876139E-2</v>
      </c>
      <c r="V332">
        <v>0.21373747046048844</v>
      </c>
      <c r="W332">
        <v>8.6334399220389657E-2</v>
      </c>
      <c r="X332">
        <v>1.6991070736648666E-2</v>
      </c>
      <c r="Y332">
        <v>3.8387248491547183E-3</v>
      </c>
    </row>
    <row r="333" spans="1:25" x14ac:dyDescent="0.25">
      <c r="A333" s="827"/>
      <c r="B333" s="1066">
        <v>83</v>
      </c>
      <c r="C333" s="831">
        <v>0.99569445339710572</v>
      </c>
      <c r="D333" s="831">
        <v>1.0070564687712726</v>
      </c>
      <c r="E333" s="831">
        <v>1.0365934893685111</v>
      </c>
      <c r="F333" s="831">
        <v>0.98666017915452198</v>
      </c>
      <c r="G333" s="831">
        <v>1.0064150272413599</v>
      </c>
      <c r="H333" s="831">
        <v>1.0003651309148809</v>
      </c>
      <c r="I333" s="831">
        <v>0.99034684087771885</v>
      </c>
      <c r="K333">
        <v>1.7402178551244645</v>
      </c>
      <c r="L333">
        <v>0</v>
      </c>
      <c r="M333">
        <v>1.2844279353768048E-3</v>
      </c>
      <c r="N333">
        <v>0.14496397933828137</v>
      </c>
      <c r="O333">
        <v>1.7856357477906183E-2</v>
      </c>
      <c r="P333">
        <v>2.0300657993859297E-2</v>
      </c>
      <c r="Q333">
        <v>2.2461253063035536E-3</v>
      </c>
      <c r="R333">
        <v>1.2765164091518878E-3</v>
      </c>
      <c r="S333">
        <v>0.15149993642980322</v>
      </c>
      <c r="T333">
        <v>1.0681401587002555</v>
      </c>
      <c r="U333">
        <v>2.34233783453664E-2</v>
      </c>
      <c r="V333">
        <v>0.20599609042035069</v>
      </c>
      <c r="W333">
        <v>8.4535511814367026E-2</v>
      </c>
      <c r="X333">
        <v>1.7789313962003696E-2</v>
      </c>
      <c r="Y333">
        <v>3.4742568621902556E-3</v>
      </c>
    </row>
    <row r="334" spans="1:25" x14ac:dyDescent="0.25">
      <c r="A334" s="827"/>
      <c r="B334" s="1066">
        <v>84</v>
      </c>
      <c r="C334" s="831">
        <v>0.98455040026007856</v>
      </c>
      <c r="D334" s="831">
        <v>1.0040047732697193</v>
      </c>
      <c r="E334" s="831">
        <v>0.9946498636673724</v>
      </c>
      <c r="F334" s="831">
        <v>0.98660790652084973</v>
      </c>
      <c r="G334" s="831">
        <v>0.97511466848612605</v>
      </c>
      <c r="H334" s="831">
        <v>0.99900646826605444</v>
      </c>
      <c r="I334" s="831">
        <v>0.99695918934593741</v>
      </c>
      <c r="K334">
        <v>1.7424969080675869</v>
      </c>
      <c r="L334">
        <v>0</v>
      </c>
      <c r="M334">
        <v>1.4192413423577042E-3</v>
      </c>
      <c r="N334">
        <v>0.14060392069430908</v>
      </c>
      <c r="O334">
        <v>1.8083298342119344E-2</v>
      </c>
      <c r="P334">
        <v>1.979620482034716E-2</v>
      </c>
      <c r="Q334">
        <v>2.1810091518332142E-3</v>
      </c>
      <c r="R334">
        <v>1.4104896918735587E-3</v>
      </c>
      <c r="S334">
        <v>0.15433348683597217</v>
      </c>
      <c r="T334">
        <v>1.071837374570443</v>
      </c>
      <c r="U334">
        <v>2.3688505831841948E-2</v>
      </c>
      <c r="V334">
        <v>0.2074940722995369</v>
      </c>
      <c r="W334">
        <v>8.435411208880933E-2</v>
      </c>
      <c r="X334">
        <v>1.6294787109378733E-2</v>
      </c>
      <c r="Y334">
        <v>3.8388879734778635E-3</v>
      </c>
    </row>
    <row r="335" spans="1:25" x14ac:dyDescent="0.25">
      <c r="A335" s="827"/>
      <c r="B335" s="1066">
        <v>85</v>
      </c>
      <c r="C335" s="831">
        <v>1.0030172207400019</v>
      </c>
      <c r="D335" s="831">
        <v>1.0269441103512238</v>
      </c>
      <c r="E335" s="831">
        <v>1.0288658561879451</v>
      </c>
      <c r="F335" s="831">
        <v>0.97321054157823572</v>
      </c>
      <c r="G335" s="831">
        <v>1.0137966526393398</v>
      </c>
      <c r="H335" s="831">
        <v>0.99374974664356719</v>
      </c>
      <c r="I335" s="831">
        <v>1.011874916372355</v>
      </c>
      <c r="K335">
        <v>1.7311400672165207</v>
      </c>
      <c r="L335">
        <v>0</v>
      </c>
      <c r="M335">
        <v>1.2761844111257997E-3</v>
      </c>
      <c r="N335">
        <v>0.14061308757139579</v>
      </c>
      <c r="O335">
        <v>1.7569974799885275E-2</v>
      </c>
      <c r="P335">
        <v>2.0165001080689308E-2</v>
      </c>
      <c r="Q335">
        <v>2.1967927114329364E-3</v>
      </c>
      <c r="R335">
        <v>1.2682588281010525E-3</v>
      </c>
      <c r="S335">
        <v>0.15194967222720066</v>
      </c>
      <c r="T335">
        <v>1.0688163206357226</v>
      </c>
      <c r="U335">
        <v>2.3252370364186148E-2</v>
      </c>
      <c r="V335">
        <v>0.20344585141408791</v>
      </c>
      <c r="W335">
        <v>8.2423213318329844E-2</v>
      </c>
      <c r="X335">
        <v>1.7263926227933046E-2</v>
      </c>
      <c r="Y335">
        <v>3.4517824486807428E-3</v>
      </c>
    </row>
    <row r="336" spans="1:25" x14ac:dyDescent="0.25">
      <c r="A336" s="827"/>
      <c r="B336" s="1066">
        <v>86</v>
      </c>
      <c r="C336" s="831">
        <v>0.96876194328448173</v>
      </c>
      <c r="D336" s="831">
        <v>0.98904604969237675</v>
      </c>
      <c r="E336" s="831">
        <v>1.0099372763121253</v>
      </c>
      <c r="F336" s="831">
        <v>0.99900112379078898</v>
      </c>
      <c r="G336" s="831">
        <v>0.99669810306411988</v>
      </c>
      <c r="H336" s="831">
        <v>0.99277560195068537</v>
      </c>
      <c r="I336" s="831">
        <v>1.0060103228611639</v>
      </c>
      <c r="K336">
        <v>1.7571938623108359</v>
      </c>
      <c r="L336">
        <v>0</v>
      </c>
      <c r="M336">
        <v>1.3974109566703486E-3</v>
      </c>
      <c r="N336">
        <v>0.14517894392007566</v>
      </c>
      <c r="O336">
        <v>1.8503451724098851E-2</v>
      </c>
      <c r="P336">
        <v>2.0114992496419574E-2</v>
      </c>
      <c r="Q336">
        <v>2.2634055931504094E-3</v>
      </c>
      <c r="R336">
        <v>1.3887504568303429E-3</v>
      </c>
      <c r="S336">
        <v>0.15879572849633355</v>
      </c>
      <c r="T336">
        <v>1.0704821211535669</v>
      </c>
      <c r="U336">
        <v>2.4074570703335723E-2</v>
      </c>
      <c r="V336">
        <v>0.21069913686906502</v>
      </c>
      <c r="W336">
        <v>8.6193964824805347E-2</v>
      </c>
      <c r="X336">
        <v>1.7116486087797745E-2</v>
      </c>
      <c r="Y336">
        <v>3.7797209420271359E-3</v>
      </c>
    </row>
    <row r="337" spans="1:25" x14ac:dyDescent="0.25">
      <c r="A337" s="827"/>
      <c r="B337" s="1066">
        <v>87</v>
      </c>
      <c r="C337" s="831">
        <v>1.0392344632043975</v>
      </c>
      <c r="D337" s="831">
        <v>1.0277642936191107</v>
      </c>
      <c r="E337" s="831">
        <v>0.9898187335179619</v>
      </c>
      <c r="F337" s="831">
        <v>1.0281521650634406</v>
      </c>
      <c r="G337" s="831">
        <v>0.97802490096435923</v>
      </c>
      <c r="H337" s="831">
        <v>0.99333727491798984</v>
      </c>
      <c r="I337" s="831">
        <v>1.0251707177233673</v>
      </c>
      <c r="K337">
        <v>1.7094032410424991</v>
      </c>
      <c r="L337">
        <v>0</v>
      </c>
      <c r="M337">
        <v>1.3363947233492107E-3</v>
      </c>
      <c r="N337">
        <v>0.13041397783643485</v>
      </c>
      <c r="O337">
        <v>1.695155073517705E-2</v>
      </c>
      <c r="P337">
        <v>1.9529107344859162E-2</v>
      </c>
      <c r="Q337">
        <v>2.0384352393346189E-3</v>
      </c>
      <c r="R337">
        <v>1.3280912331387461E-3</v>
      </c>
      <c r="S337">
        <v>0.14850332133207947</v>
      </c>
      <c r="T337">
        <v>1.0722674954487177</v>
      </c>
      <c r="U337">
        <v>2.2442027015145392E-2</v>
      </c>
      <c r="V337">
        <v>0.1997177191644196</v>
      </c>
      <c r="W337">
        <v>7.8501221211386085E-2</v>
      </c>
      <c r="X337">
        <v>1.5432062673707737E-2</v>
      </c>
      <c r="Y337">
        <v>3.6146265314463254E-3</v>
      </c>
    </row>
    <row r="338" spans="1:25" x14ac:dyDescent="0.25">
      <c r="A338" s="827"/>
      <c r="B338" s="1066">
        <v>88</v>
      </c>
      <c r="C338" s="831">
        <v>0.99887574278339186</v>
      </c>
      <c r="D338" s="831">
        <v>1.0164180822437625</v>
      </c>
      <c r="E338" s="831">
        <v>0.99520479808871198</v>
      </c>
      <c r="F338" s="831">
        <v>1.0286081339013977</v>
      </c>
      <c r="G338" s="831">
        <v>1.0171759113210657</v>
      </c>
      <c r="H338" s="831">
        <v>0.99343064273071646</v>
      </c>
      <c r="I338" s="831">
        <v>1.0080752761307366</v>
      </c>
      <c r="K338">
        <v>1.7313480153926746</v>
      </c>
      <c r="L338">
        <v>0</v>
      </c>
      <c r="M338">
        <v>1.3817616055293027E-3</v>
      </c>
      <c r="N338">
        <v>0.13712181377751109</v>
      </c>
      <c r="O338">
        <v>1.7725141942761424E-2</v>
      </c>
      <c r="P338">
        <v>1.9739543584587231E-2</v>
      </c>
      <c r="Q338">
        <v>2.1411524954339971E-3</v>
      </c>
      <c r="R338">
        <v>1.3731847123493184E-3</v>
      </c>
      <c r="S338">
        <v>0.15263353516722608</v>
      </c>
      <c r="T338">
        <v>1.0717880244686657</v>
      </c>
      <c r="U338">
        <v>2.3348777930390422E-2</v>
      </c>
      <c r="V338">
        <v>0.20481077422051935</v>
      </c>
      <c r="W338">
        <v>8.2233710301031993E-2</v>
      </c>
      <c r="X338">
        <v>1.6076762280929691E-2</v>
      </c>
      <c r="Y338">
        <v>3.7373561167960748E-3</v>
      </c>
    </row>
    <row r="339" spans="1:25" x14ac:dyDescent="0.25">
      <c r="A339" s="827"/>
      <c r="B339" s="1066">
        <v>89</v>
      </c>
      <c r="C339" s="831">
        <v>1.0014017618492919</v>
      </c>
      <c r="D339" s="831">
        <v>1.0086638394707281</v>
      </c>
      <c r="E339" s="831">
        <v>1.0246333682956821</v>
      </c>
      <c r="F339" s="831">
        <v>0.98929737590590761</v>
      </c>
      <c r="G339" s="831">
        <v>0.97826003203538447</v>
      </c>
      <c r="H339" s="831">
        <v>0.99196289276228333</v>
      </c>
      <c r="I339" s="831">
        <v>1.0174593193505355</v>
      </c>
      <c r="K339">
        <v>1.7366900857965657</v>
      </c>
      <c r="L339">
        <v>0</v>
      </c>
      <c r="M339">
        <v>1.2978984163724168E-3</v>
      </c>
      <c r="N339">
        <v>0.14113823865900355</v>
      </c>
      <c r="O339">
        <v>1.7741778840729774E-2</v>
      </c>
      <c r="P339">
        <v>2.0162678244576685E-2</v>
      </c>
      <c r="Q339">
        <v>2.2057741063482052E-3</v>
      </c>
      <c r="R339">
        <v>1.2898351586150224E-3</v>
      </c>
      <c r="S339">
        <v>0.15404763041553574</v>
      </c>
      <c r="T339">
        <v>1.0691876203344126</v>
      </c>
      <c r="U339">
        <v>2.3289881031598531E-2</v>
      </c>
      <c r="V339">
        <v>0.20524075232949474</v>
      </c>
      <c r="W339">
        <v>8.2966551330965088E-2</v>
      </c>
      <c r="X339">
        <v>1.7206737653954116E-2</v>
      </c>
      <c r="Y339">
        <v>3.5105061077043268E-3</v>
      </c>
    </row>
    <row r="340" spans="1:25" x14ac:dyDescent="0.25">
      <c r="A340" s="827"/>
      <c r="B340" s="1066">
        <v>90</v>
      </c>
      <c r="C340" s="831">
        <v>1.0434046143205253</v>
      </c>
      <c r="D340" s="831">
        <v>1.0410163173071103</v>
      </c>
      <c r="E340" s="831">
        <v>1.0067252021919415</v>
      </c>
      <c r="F340" s="831">
        <v>1.0249287219745036</v>
      </c>
      <c r="G340" s="831">
        <v>1.0258646494393688</v>
      </c>
      <c r="H340" s="831">
        <v>1.0342822265611007</v>
      </c>
      <c r="I340" s="831">
        <v>1.0025305813582444</v>
      </c>
      <c r="K340">
        <v>1.7145062321891984</v>
      </c>
      <c r="L340">
        <v>0</v>
      </c>
      <c r="M340">
        <v>1.3297558572555621E-3</v>
      </c>
      <c r="N340">
        <v>0.13680816349041883</v>
      </c>
      <c r="O340">
        <v>1.6786489642711552E-2</v>
      </c>
      <c r="P340">
        <v>1.97097013310269E-2</v>
      </c>
      <c r="Q340">
        <v>2.0553361122870105E-3</v>
      </c>
      <c r="R340">
        <v>1.3218125619929837E-3</v>
      </c>
      <c r="S340">
        <v>0.14665265564658897</v>
      </c>
      <c r="T340">
        <v>1.0707661441028948</v>
      </c>
      <c r="U340">
        <v>2.2352333484255322E-2</v>
      </c>
      <c r="V340">
        <v>0.19821759164081054</v>
      </c>
      <c r="W340">
        <v>8.1401838740734894E-2</v>
      </c>
      <c r="X340">
        <v>1.6166383234380539E-2</v>
      </c>
      <c r="Y340">
        <v>3.5975380583509473E-3</v>
      </c>
    </row>
    <row r="341" spans="1:25" x14ac:dyDescent="0.25">
      <c r="A341" s="827"/>
      <c r="B341" s="1066">
        <v>91</v>
      </c>
      <c r="C341" s="831">
        <v>1.0195894242332928</v>
      </c>
      <c r="D341" s="831">
        <v>0.9837803465510554</v>
      </c>
      <c r="E341" s="831">
        <v>1.0044601323555564</v>
      </c>
      <c r="F341" s="831">
        <v>1.0154614286083006</v>
      </c>
      <c r="G341" s="831">
        <v>1.0066351303077217</v>
      </c>
      <c r="H341" s="831">
        <v>1.0116597193613557</v>
      </c>
      <c r="I341" s="831">
        <v>1.0018515961577021</v>
      </c>
      <c r="K341">
        <v>1.7348479726022472</v>
      </c>
      <c r="L341">
        <v>0</v>
      </c>
      <c r="M341">
        <v>1.3720338754734181E-3</v>
      </c>
      <c r="N341">
        <v>0.14015209809411952</v>
      </c>
      <c r="O341">
        <v>1.7623669393659648E-2</v>
      </c>
      <c r="P341">
        <v>1.9859851416553914E-2</v>
      </c>
      <c r="Q341">
        <v>2.1430535628946821E-3</v>
      </c>
      <c r="R341">
        <v>1.3636930307823871E-3</v>
      </c>
      <c r="S341">
        <v>0.15193164886286928</v>
      </c>
      <c r="T341">
        <v>1.0709666640357032</v>
      </c>
      <c r="U341">
        <v>2.2874430966014759E-2</v>
      </c>
      <c r="V341">
        <v>0.20560040551151362</v>
      </c>
      <c r="W341">
        <v>8.3520344543973224E-2</v>
      </c>
      <c r="X341">
        <v>1.6472624171132749E-2</v>
      </c>
      <c r="Y341">
        <v>3.7115228885028777E-3</v>
      </c>
    </row>
    <row r="342" spans="1:25" x14ac:dyDescent="0.25">
      <c r="A342" s="827"/>
      <c r="B342" s="1066">
        <v>92</v>
      </c>
      <c r="C342" s="831">
        <v>0.96754209475003994</v>
      </c>
      <c r="D342" s="831">
        <v>1.022793009817295</v>
      </c>
      <c r="E342" s="831">
        <v>1.0141336289194776</v>
      </c>
      <c r="F342" s="831">
        <v>0.97457309574720685</v>
      </c>
      <c r="G342" s="831">
        <v>0.99971259029345705</v>
      </c>
      <c r="H342" s="831">
        <v>1.0257315698059388</v>
      </c>
      <c r="I342" s="831">
        <v>0.9778592414319508</v>
      </c>
      <c r="K342">
        <v>1.7548963898303973</v>
      </c>
      <c r="L342">
        <v>0</v>
      </c>
      <c r="M342">
        <v>1.4113036304908438E-3</v>
      </c>
      <c r="N342">
        <v>0.14857461276082851</v>
      </c>
      <c r="O342">
        <v>1.8247532900127615E-2</v>
      </c>
      <c r="P342">
        <v>2.0075562268635789E-2</v>
      </c>
      <c r="Q342">
        <v>2.2476275042886194E-3</v>
      </c>
      <c r="R342">
        <v>1.4028149515438084E-3</v>
      </c>
      <c r="S342">
        <v>0.15477786496169799</v>
      </c>
      <c r="T342">
        <v>1.0701116526787109</v>
      </c>
      <c r="U342">
        <v>2.4104923211975014E-2</v>
      </c>
      <c r="V342">
        <v>0.20767203468031911</v>
      </c>
      <c r="W342">
        <v>8.7959196429145584E-2</v>
      </c>
      <c r="X342">
        <v>1.7315871253338479E-2</v>
      </c>
      <c r="Y342">
        <v>3.8179998602777517E-3</v>
      </c>
    </row>
    <row r="343" spans="1:25" x14ac:dyDescent="0.25">
      <c r="A343" s="827"/>
      <c r="B343" s="1066">
        <v>93</v>
      </c>
      <c r="C343" s="831">
        <v>1.0183479049883051</v>
      </c>
      <c r="D343" s="831">
        <v>0.98847367483373816</v>
      </c>
      <c r="E343" s="831">
        <v>0.99141141938286748</v>
      </c>
      <c r="F343" s="831">
        <v>1.017580341352083</v>
      </c>
      <c r="G343" s="831">
        <v>0.9617927852362198</v>
      </c>
      <c r="H343" s="831">
        <v>0.99684531799228171</v>
      </c>
      <c r="I343" s="831">
        <v>0.99606272120406825</v>
      </c>
      <c r="K343">
        <v>1.7272371417705392</v>
      </c>
      <c r="L343">
        <v>0</v>
      </c>
      <c r="M343">
        <v>1.3882925297973323E-3</v>
      </c>
      <c r="N343">
        <v>0.13615760710507097</v>
      </c>
      <c r="O343">
        <v>1.76070937424803E-2</v>
      </c>
      <c r="P343">
        <v>1.9651304958501575E-2</v>
      </c>
      <c r="Q343">
        <v>2.113937751793507E-3</v>
      </c>
      <c r="R343">
        <v>1.3797240748402396E-3</v>
      </c>
      <c r="S343">
        <v>0.14989306582174181</v>
      </c>
      <c r="T343">
        <v>1.072125599687402</v>
      </c>
      <c r="U343">
        <v>2.2902318337436018E-2</v>
      </c>
      <c r="V343">
        <v>0.20529336419740501</v>
      </c>
      <c r="W343">
        <v>8.1868678442870935E-2</v>
      </c>
      <c r="X343">
        <v>1.5877586074996307E-2</v>
      </c>
      <c r="Y343">
        <v>3.755154105796099E-3</v>
      </c>
    </row>
    <row r="344" spans="1:25" x14ac:dyDescent="0.25">
      <c r="A344" s="827"/>
      <c r="B344" s="1066">
        <v>94</v>
      </c>
      <c r="C344" s="831">
        <v>1.0177170210381521</v>
      </c>
      <c r="D344" s="831">
        <v>0.96976582442447612</v>
      </c>
      <c r="E344" s="831">
        <v>1.0321583798413447</v>
      </c>
      <c r="F344" s="831">
        <v>0.98141623412344547</v>
      </c>
      <c r="G344" s="831">
        <v>0.98088319335156904</v>
      </c>
      <c r="H344" s="831">
        <v>0.96795734146335344</v>
      </c>
      <c r="I344" s="831">
        <v>0.98790886218025142</v>
      </c>
      <c r="K344">
        <v>1.7276040844841676</v>
      </c>
      <c r="L344">
        <v>0</v>
      </c>
      <c r="M344">
        <v>1.2485578804360669E-3</v>
      </c>
      <c r="N344">
        <v>0.13896335131667395</v>
      </c>
      <c r="O344">
        <v>1.7771538592201326E-2</v>
      </c>
      <c r="P344">
        <v>2.019946445019663E-2</v>
      </c>
      <c r="Q344">
        <v>2.2187816787085824E-3</v>
      </c>
      <c r="R344">
        <v>1.2406343617078499E-3</v>
      </c>
      <c r="S344">
        <v>0.1479044845213533</v>
      </c>
      <c r="T344">
        <v>1.0685279502487393</v>
      </c>
      <c r="U344">
        <v>2.2916515510875857E-2</v>
      </c>
      <c r="V344">
        <v>0.20712606099704756</v>
      </c>
      <c r="W344">
        <v>8.1276725971969416E-2</v>
      </c>
      <c r="X344">
        <v>1.7330536957566915E-2</v>
      </c>
      <c r="Y344">
        <v>3.3765977575613455E-3</v>
      </c>
    </row>
    <row r="345" spans="1:25" x14ac:dyDescent="0.25">
      <c r="A345" s="827"/>
      <c r="B345" s="1066">
        <v>95</v>
      </c>
      <c r="C345" s="831">
        <v>1.0038779314638031</v>
      </c>
      <c r="D345" s="831">
        <v>1.008389858913584</v>
      </c>
      <c r="E345" s="831">
        <v>0.98777223300077543</v>
      </c>
      <c r="F345" s="831">
        <v>0.98281442389197604</v>
      </c>
      <c r="G345" s="831">
        <v>0.99270492470074856</v>
      </c>
      <c r="H345" s="831">
        <v>0.97054703284399768</v>
      </c>
      <c r="I345" s="831">
        <v>1.046022017944775</v>
      </c>
      <c r="K345">
        <v>1.7287538024803564</v>
      </c>
      <c r="L345">
        <v>0</v>
      </c>
      <c r="M345">
        <v>1.36926490202177E-3</v>
      </c>
      <c r="N345">
        <v>0.13275471779975773</v>
      </c>
      <c r="O345">
        <v>1.7700192668111313E-2</v>
      </c>
      <c r="P345">
        <v>1.9690447543844969E-2</v>
      </c>
      <c r="Q345">
        <v>2.1207790609426322E-3</v>
      </c>
      <c r="R345">
        <v>1.3605707628376268E-3</v>
      </c>
      <c r="S345">
        <v>0.15640342163174889</v>
      </c>
      <c r="T345">
        <v>1.0724499627576962</v>
      </c>
      <c r="U345">
        <v>2.323243411108308E-2</v>
      </c>
      <c r="V345">
        <v>0.20500156131879055</v>
      </c>
      <c r="W345">
        <v>8.0023061296868314E-2</v>
      </c>
      <c r="X345">
        <v>1.5682893326283212E-2</v>
      </c>
      <c r="Y345">
        <v>3.7030251044125923E-3</v>
      </c>
    </row>
    <row r="346" spans="1:25" x14ac:dyDescent="0.25">
      <c r="A346" s="827"/>
      <c r="B346" s="1066">
        <v>96</v>
      </c>
      <c r="C346" s="831">
        <v>1.0207594344037321</v>
      </c>
      <c r="D346" s="831">
        <v>0.9594806725529178</v>
      </c>
      <c r="E346" s="831">
        <v>0.99491930902417958</v>
      </c>
      <c r="F346" s="831">
        <v>0.99724935843074713</v>
      </c>
      <c r="G346" s="831">
        <v>1.0062667972308001</v>
      </c>
      <c r="H346" s="831">
        <v>1.0169876323121116</v>
      </c>
      <c r="I346" s="831">
        <v>0.9795610246940577</v>
      </c>
      <c r="K346">
        <v>1.7380755652644992</v>
      </c>
      <c r="L346">
        <v>0</v>
      </c>
      <c r="M346">
        <v>1.421689871794349E-3</v>
      </c>
      <c r="N346">
        <v>0.14098332425260715</v>
      </c>
      <c r="O346">
        <v>1.7804720239393813E-2</v>
      </c>
      <c r="P346">
        <v>1.9737909892797431E-2</v>
      </c>
      <c r="Q346">
        <v>2.139942051359504E-3</v>
      </c>
      <c r="R346">
        <v>1.4131102075754013E-3</v>
      </c>
      <c r="S346">
        <v>0.15030977056046202</v>
      </c>
      <c r="T346">
        <v>1.0718134114497404</v>
      </c>
      <c r="U346">
        <v>2.2848211941265916E-2</v>
      </c>
      <c r="V346">
        <v>0.20780025461645177</v>
      </c>
      <c r="W346">
        <v>8.4566082545837029E-2</v>
      </c>
      <c r="X346">
        <v>1.6234497225435893E-2</v>
      </c>
      <c r="Y346">
        <v>3.8460201533655112E-3</v>
      </c>
    </row>
    <row r="347" spans="1:25" x14ac:dyDescent="0.25">
      <c r="A347" s="827"/>
      <c r="B347" s="1066">
        <v>97</v>
      </c>
      <c r="C347" s="831">
        <v>0.99887688023871746</v>
      </c>
      <c r="D347" s="831">
        <v>0.95522561721940435</v>
      </c>
      <c r="E347" s="831">
        <v>1.0023044510866346</v>
      </c>
      <c r="F347" s="831">
        <v>0.9969898020369935</v>
      </c>
      <c r="G347" s="831">
        <v>0.98974593014676449</v>
      </c>
      <c r="H347" s="831">
        <v>0.98184897860559073</v>
      </c>
      <c r="I347" s="831">
        <v>0.97353128446629855</v>
      </c>
      <c r="K347">
        <v>1.7403377967905937</v>
      </c>
      <c r="L347">
        <v>0</v>
      </c>
      <c r="M347">
        <v>1.3837902207398086E-3</v>
      </c>
      <c r="N347">
        <v>0.14038449518642013</v>
      </c>
      <c r="O347">
        <v>1.8231628801810382E-2</v>
      </c>
      <c r="P347">
        <v>1.9885171774649234E-2</v>
      </c>
      <c r="Q347">
        <v>2.2067687268024884E-3</v>
      </c>
      <c r="R347">
        <v>1.3751436136697649E-3</v>
      </c>
      <c r="S347">
        <v>0.15043061351057385</v>
      </c>
      <c r="T347">
        <v>1.0711576801268554</v>
      </c>
      <c r="U347">
        <v>2.3348751342337017E-2</v>
      </c>
      <c r="V347">
        <v>0.21061642079994058</v>
      </c>
      <c r="W347">
        <v>8.3782033047610158E-2</v>
      </c>
      <c r="X347">
        <v>1.656019248022482E-2</v>
      </c>
      <c r="Y347">
        <v>3.7426876004386846E-3</v>
      </c>
    </row>
    <row r="348" spans="1:25" x14ac:dyDescent="0.25">
      <c r="A348" s="827"/>
      <c r="B348" s="1066">
        <v>98</v>
      </c>
      <c r="C348" s="831">
        <v>0.9941189404848999</v>
      </c>
      <c r="D348" s="831">
        <v>0.99441763378139569</v>
      </c>
      <c r="E348" s="831">
        <v>1.0143582261945487</v>
      </c>
      <c r="F348" s="831">
        <v>1.0035585264093325</v>
      </c>
      <c r="G348" s="831">
        <v>0.98483429478379969</v>
      </c>
      <c r="H348" s="831">
        <v>0.99680384688075196</v>
      </c>
      <c r="I348" s="831">
        <v>1.0089884846109332</v>
      </c>
      <c r="K348">
        <v>1.7435288962650344</v>
      </c>
      <c r="L348">
        <v>0</v>
      </c>
      <c r="M348">
        <v>1.3512795197734217E-3</v>
      </c>
      <c r="N348">
        <v>0.14233194275512304</v>
      </c>
      <c r="O348">
        <v>1.7987256057058535E-2</v>
      </c>
      <c r="P348">
        <v>2.0070213162056188E-2</v>
      </c>
      <c r="Q348">
        <v>2.2109822459893298E-3</v>
      </c>
      <c r="R348">
        <v>1.3429350665685412E-3</v>
      </c>
      <c r="S348">
        <v>0.15514883120242134</v>
      </c>
      <c r="T348">
        <v>1.0700918432412279</v>
      </c>
      <c r="U348">
        <v>2.3460500497985884E-2</v>
      </c>
      <c r="V348">
        <v>0.20733660643837099</v>
      </c>
      <c r="W348">
        <v>8.425058806464146E-2</v>
      </c>
      <c r="X348">
        <v>1.6993450500589039E-2</v>
      </c>
      <c r="Y348">
        <v>3.6550265527738528E-3</v>
      </c>
    </row>
    <row r="349" spans="1:25" x14ac:dyDescent="0.25">
      <c r="A349" s="827"/>
      <c r="B349" s="1066">
        <v>99</v>
      </c>
      <c r="C349" s="831">
        <v>1.0168990816845906</v>
      </c>
      <c r="D349" s="831">
        <v>1.0300337027527879</v>
      </c>
      <c r="E349" s="831">
        <v>0.99726429941381844</v>
      </c>
      <c r="F349" s="831">
        <v>1.0179531631837704</v>
      </c>
      <c r="G349" s="831">
        <v>0.97949293455468023</v>
      </c>
      <c r="H349" s="831">
        <v>0.959442859455789</v>
      </c>
      <c r="I349" s="831">
        <v>0.9905048077732157</v>
      </c>
      <c r="K349">
        <v>1.7057770753948793</v>
      </c>
      <c r="L349">
        <v>0</v>
      </c>
      <c r="M349">
        <v>1.2973525484211324E-3</v>
      </c>
      <c r="N349">
        <v>0.12954354337975399</v>
      </c>
      <c r="O349">
        <v>1.7306636339540826E-2</v>
      </c>
      <c r="P349">
        <v>1.9604801705759907E-2</v>
      </c>
      <c r="Q349">
        <v>2.0971981288773682E-3</v>
      </c>
      <c r="R349">
        <v>1.2890053946188536E-3</v>
      </c>
      <c r="S349">
        <v>0.14416090335420415</v>
      </c>
      <c r="T349">
        <v>1.0716049753418684</v>
      </c>
      <c r="U349">
        <v>2.2934948332992051E-2</v>
      </c>
      <c r="V349">
        <v>0.20175039499184655</v>
      </c>
      <c r="W349">
        <v>7.7579234617955184E-2</v>
      </c>
      <c r="X349">
        <v>1.5694538592246548E-2</v>
      </c>
      <c r="Y349">
        <v>3.5082477636383834E-3</v>
      </c>
    </row>
    <row r="350" spans="1:25" x14ac:dyDescent="0.25">
      <c r="A350" s="827"/>
      <c r="B350" s="1066">
        <v>100</v>
      </c>
      <c r="C350" s="831">
        <v>1.0115102755109278</v>
      </c>
      <c r="D350" s="831">
        <v>1.0158439129291095</v>
      </c>
      <c r="E350" s="831">
        <v>0.96259636700484763</v>
      </c>
      <c r="F350" s="831">
        <v>0.98263648056557718</v>
      </c>
      <c r="G350" s="831">
        <v>0.99856294358265829</v>
      </c>
      <c r="H350" s="831">
        <v>1.0180548251239996</v>
      </c>
      <c r="I350" s="831">
        <v>1.0114373169896103</v>
      </c>
      <c r="K350">
        <v>1.728747573622802</v>
      </c>
      <c r="L350">
        <v>0</v>
      </c>
      <c r="M350">
        <v>1.4977634816347029E-3</v>
      </c>
      <c r="N350">
        <v>0.13429347141323944</v>
      </c>
      <c r="O350">
        <v>1.750821366651174E-2</v>
      </c>
      <c r="P350">
        <v>1.9278969677143657E-2</v>
      </c>
      <c r="Q350">
        <v>2.0458641222561896E-3</v>
      </c>
      <c r="R350">
        <v>1.4886918233968666E-3</v>
      </c>
      <c r="S350">
        <v>0.15302016879573208</v>
      </c>
      <c r="T350">
        <v>1.074707534433909</v>
      </c>
      <c r="U350">
        <v>2.3057133934227845E-2</v>
      </c>
      <c r="V350">
        <v>0.20353767788235816</v>
      </c>
      <c r="W350">
        <v>8.2382082019131928E-2</v>
      </c>
      <c r="X350">
        <v>1.4873800940370965E-2</v>
      </c>
      <c r="Y350">
        <v>4.05172839615858E-3</v>
      </c>
    </row>
    <row r="351" spans="1:25" x14ac:dyDescent="0.25">
      <c r="A351" s="827"/>
      <c r="B351" s="1066">
        <v>101</v>
      </c>
      <c r="C351" s="831">
        <v>1.0088154424305242</v>
      </c>
      <c r="D351" s="831">
        <v>0.98703210575739597</v>
      </c>
      <c r="E351" s="831">
        <v>1.0160504821341698</v>
      </c>
      <c r="F351" s="831">
        <v>1.000427686802484</v>
      </c>
      <c r="G351" s="831">
        <v>1.0205768908535786</v>
      </c>
      <c r="H351" s="831">
        <v>0.99937096335706899</v>
      </c>
      <c r="I351" s="831">
        <v>1.0305632308831694</v>
      </c>
      <c r="K351">
        <v>1.7418743866680062</v>
      </c>
      <c r="L351">
        <v>0</v>
      </c>
      <c r="M351">
        <v>1.3347624276653744E-3</v>
      </c>
      <c r="N351">
        <v>0.14133627127382428</v>
      </c>
      <c r="O351">
        <v>1.778523667798778E-2</v>
      </c>
      <c r="P351">
        <v>2.0099326540860708E-2</v>
      </c>
      <c r="Q351">
        <v>2.188496450577844E-3</v>
      </c>
      <c r="R351">
        <v>1.3265461600740912E-3</v>
      </c>
      <c r="S351">
        <v>0.15683163969833328</v>
      </c>
      <c r="T351">
        <v>1.0699426479731855</v>
      </c>
      <c r="U351">
        <v>2.31187260993077E-2</v>
      </c>
      <c r="V351">
        <v>0.20644095826979325</v>
      </c>
      <c r="W351">
        <v>8.3565423455012791E-2</v>
      </c>
      <c r="X351">
        <v>1.6963455144815058E-2</v>
      </c>
      <c r="Y351">
        <v>3.6104213518975354E-3</v>
      </c>
    </row>
    <row r="352" spans="1:25" x14ac:dyDescent="0.25">
      <c r="A352" s="827"/>
      <c r="B352" s="1066">
        <v>102</v>
      </c>
      <c r="C352" s="831">
        <v>0.99629839569049727</v>
      </c>
      <c r="D352" s="831">
        <v>1.0112986294683852</v>
      </c>
      <c r="E352" s="831">
        <v>1.0318192685727121</v>
      </c>
      <c r="F352" s="831">
        <v>1.0362019460657437</v>
      </c>
      <c r="G352" s="831">
        <v>0.99882552217546683</v>
      </c>
      <c r="H352" s="831">
        <v>0.9699354169236365</v>
      </c>
      <c r="I352" s="831">
        <v>1.0045044170717115</v>
      </c>
      <c r="K352">
        <v>1.7307851510956715</v>
      </c>
      <c r="L352">
        <v>0</v>
      </c>
      <c r="M352">
        <v>1.2548581177276592E-3</v>
      </c>
      <c r="N352">
        <v>0.13951639786122058</v>
      </c>
      <c r="O352">
        <v>1.7811622685567109E-2</v>
      </c>
      <c r="P352">
        <v>2.022460770389976E-2</v>
      </c>
      <c r="Q352">
        <v>2.2307364640617305E-3</v>
      </c>
      <c r="R352">
        <v>1.2468835181166022E-3</v>
      </c>
      <c r="S352">
        <v>0.15111379075021017</v>
      </c>
      <c r="T352">
        <v>1.0685576317620222</v>
      </c>
      <c r="U352">
        <v>2.3409179417717706E-2</v>
      </c>
      <c r="V352">
        <v>0.20554977880425368</v>
      </c>
      <c r="W352">
        <v>8.1618710928605315E-2</v>
      </c>
      <c r="X352">
        <v>1.7367063416452291E-2</v>
      </c>
      <c r="Y352">
        <v>3.393605901272113E-3</v>
      </c>
    </row>
    <row r="353" spans="1:25" x14ac:dyDescent="0.25">
      <c r="A353" s="827"/>
      <c r="B353" s="1066">
        <v>103</v>
      </c>
      <c r="C353" s="831">
        <v>1.0071429327702925</v>
      </c>
      <c r="D353" s="831">
        <v>0.98234607414276309</v>
      </c>
      <c r="E353" s="831">
        <v>1.0156515731509839</v>
      </c>
      <c r="F353" s="831">
        <v>0.98749230842676461</v>
      </c>
      <c r="G353" s="831">
        <v>1.0067169255996544</v>
      </c>
      <c r="H353" s="831">
        <v>0.97587260363489092</v>
      </c>
      <c r="I353" s="831">
        <v>1.0035672479796203</v>
      </c>
      <c r="K353">
        <v>1.7325655912422313</v>
      </c>
      <c r="L353">
        <v>0</v>
      </c>
      <c r="M353">
        <v>1.3094639270573125E-3</v>
      </c>
      <c r="N353">
        <v>0.13846536255459613</v>
      </c>
      <c r="O353">
        <v>1.78532851164112E-2</v>
      </c>
      <c r="P353">
        <v>2.0030540858236332E-2</v>
      </c>
      <c r="Q353">
        <v>2.1951333261333843E-3</v>
      </c>
      <c r="R353">
        <v>1.3012125205953831E-3</v>
      </c>
      <c r="S353">
        <v>0.15158557798739761</v>
      </c>
      <c r="T353">
        <v>1.0699778074351958</v>
      </c>
      <c r="U353">
        <v>2.3157118160131645E-2</v>
      </c>
      <c r="V353">
        <v>0.20705874088138185</v>
      </c>
      <c r="W353">
        <v>8.1890094922277501E-2</v>
      </c>
      <c r="X353">
        <v>1.6818709870462644E-2</v>
      </c>
      <c r="Y353">
        <v>3.5414715364685007E-3</v>
      </c>
    </row>
    <row r="354" spans="1:25" x14ac:dyDescent="0.25">
      <c r="A354" s="827"/>
      <c r="B354" s="1066">
        <v>104</v>
      </c>
      <c r="C354" s="831">
        <v>0.97547082781582328</v>
      </c>
      <c r="D354" s="831">
        <v>1.0106069560237632</v>
      </c>
      <c r="E354" s="831">
        <v>1.0216905687257742</v>
      </c>
      <c r="F354" s="831">
        <v>0.99303319907605969</v>
      </c>
      <c r="G354" s="831">
        <v>0.97975746938157915</v>
      </c>
      <c r="H354" s="831">
        <v>0.9836432335444707</v>
      </c>
      <c r="I354" s="831">
        <v>0.98490634558996859</v>
      </c>
      <c r="K354">
        <v>1.7425257317211698</v>
      </c>
      <c r="L354">
        <v>0</v>
      </c>
      <c r="M354">
        <v>1.328312211006158E-3</v>
      </c>
      <c r="N354">
        <v>0.14312366402296406</v>
      </c>
      <c r="O354">
        <v>1.8197555438776172E-2</v>
      </c>
      <c r="P354">
        <v>2.0144942831328155E-2</v>
      </c>
      <c r="Q354">
        <v>2.2561955672311764E-3</v>
      </c>
      <c r="R354">
        <v>1.3199889105953975E-3</v>
      </c>
      <c r="S354">
        <v>0.15236076755790215</v>
      </c>
      <c r="T354">
        <v>1.0694461809597409</v>
      </c>
      <c r="U354">
        <v>2.3908995772353992E-2</v>
      </c>
      <c r="V354">
        <v>0.20789581001287244</v>
      </c>
      <c r="W354">
        <v>8.4300528034359792E-2</v>
      </c>
      <c r="X354">
        <v>1.7306840143638005E-2</v>
      </c>
      <c r="Y354">
        <v>3.5925746804132391E-3</v>
      </c>
    </row>
    <row r="355" spans="1:25" x14ac:dyDescent="0.25">
      <c r="A355" s="827"/>
      <c r="B355" s="1066">
        <v>105</v>
      </c>
      <c r="C355" s="831">
        <v>1.0155689093182625</v>
      </c>
      <c r="D355" s="831">
        <v>1.0223791988957223</v>
      </c>
      <c r="E355" s="831">
        <v>1.0111102672572236</v>
      </c>
      <c r="F355" s="831">
        <v>1.0026212455657377</v>
      </c>
      <c r="G355" s="831">
        <v>0.99806648918282825</v>
      </c>
      <c r="H355" s="831">
        <v>0.96373449282560386</v>
      </c>
      <c r="I355" s="831">
        <v>1.0221044574005809</v>
      </c>
      <c r="K355">
        <v>1.7159413160950605</v>
      </c>
      <c r="L355">
        <v>0</v>
      </c>
      <c r="M355">
        <v>1.2716114460823336E-3</v>
      </c>
      <c r="N355">
        <v>0.13256485827213974</v>
      </c>
      <c r="O355">
        <v>1.7387775559721846E-2</v>
      </c>
      <c r="P355">
        <v>1.9878665683347684E-2</v>
      </c>
      <c r="Q355">
        <v>2.1352037050861366E-3</v>
      </c>
      <c r="R355">
        <v>1.2634712240835446E-3</v>
      </c>
      <c r="S355">
        <v>0.1497216031421556</v>
      </c>
      <c r="T355">
        <v>1.0703784983919489</v>
      </c>
      <c r="U355">
        <v>2.2964988081369375E-2</v>
      </c>
      <c r="V355">
        <v>0.20254427725592669</v>
      </c>
      <c r="W355">
        <v>7.8642193251014514E-2</v>
      </c>
      <c r="X355">
        <v>1.6292640805568245E-2</v>
      </c>
      <c r="Y355">
        <v>3.4387521687783275E-3</v>
      </c>
    </row>
    <row r="356" spans="1:25" x14ac:dyDescent="0.25">
      <c r="A356" s="827"/>
      <c r="B356" s="1066">
        <v>106</v>
      </c>
      <c r="C356" s="831">
        <v>1.0205092870005776</v>
      </c>
      <c r="D356" s="831">
        <v>0.98582744683287116</v>
      </c>
      <c r="E356" s="831">
        <v>1.0386020034606864</v>
      </c>
      <c r="F356" s="831">
        <v>1.0036887919480693</v>
      </c>
      <c r="G356" s="831">
        <v>1.0241841537983938</v>
      </c>
      <c r="H356" s="831">
        <v>0.97028185778533604</v>
      </c>
      <c r="I356" s="831">
        <v>0.9815556398631119</v>
      </c>
      <c r="K356">
        <v>1.7222220928076821</v>
      </c>
      <c r="L356">
        <v>0</v>
      </c>
      <c r="M356">
        <v>1.2220787486235025E-3</v>
      </c>
      <c r="N356">
        <v>0.13876411052527685</v>
      </c>
      <c r="O356">
        <v>1.7591182647707471E-2</v>
      </c>
      <c r="P356">
        <v>2.0228875629398093E-2</v>
      </c>
      <c r="Q356">
        <v>2.2132732699398361E-3</v>
      </c>
      <c r="R356">
        <v>1.214331364548955E-3</v>
      </c>
      <c r="S356">
        <v>0.14571546611265479</v>
      </c>
      <c r="T356">
        <v>1.0679647864669675</v>
      </c>
      <c r="U356">
        <v>2.2853812498709762E-2</v>
      </c>
      <c r="V356">
        <v>0.20531437683504572</v>
      </c>
      <c r="W356">
        <v>8.0811798287475423E-2</v>
      </c>
      <c r="X356">
        <v>1.7467148248503189E-2</v>
      </c>
      <c r="Y356">
        <v>3.3050096700755162E-3</v>
      </c>
    </row>
    <row r="357" spans="1:25" x14ac:dyDescent="0.25">
      <c r="A357" s="827"/>
      <c r="B357" s="1066">
        <v>107</v>
      </c>
      <c r="C357" s="831">
        <v>0.97893528570866184</v>
      </c>
      <c r="D357" s="831">
        <v>0.97836159227527197</v>
      </c>
      <c r="E357" s="831">
        <v>0.9721179912862985</v>
      </c>
      <c r="F357" s="831">
        <v>0.98109701406062277</v>
      </c>
      <c r="G357" s="831">
        <v>1.0113401648864948</v>
      </c>
      <c r="H357" s="831">
        <v>0.99429097314456816</v>
      </c>
      <c r="I357" s="831">
        <v>0.99382053935572723</v>
      </c>
      <c r="K357">
        <v>1.7480738761993488</v>
      </c>
      <c r="L357">
        <v>0</v>
      </c>
      <c r="M357">
        <v>1.5070534893538712E-3</v>
      </c>
      <c r="N357">
        <v>0.13918152500865855</v>
      </c>
      <c r="O357">
        <v>1.8401646394426683E-2</v>
      </c>
      <c r="P357">
        <v>1.9553993227610877E-2</v>
      </c>
      <c r="Q357">
        <v>2.1646303091136911E-3</v>
      </c>
      <c r="R357">
        <v>1.4977360319981957E-3</v>
      </c>
      <c r="S357">
        <v>0.15605565135484342</v>
      </c>
      <c r="T357">
        <v>1.0738509147827351</v>
      </c>
      <c r="U357">
        <v>2.3824381691808928E-2</v>
      </c>
      <c r="V357">
        <v>0.21057186872952699</v>
      </c>
      <c r="W357">
        <v>8.4813395650094756E-2</v>
      </c>
      <c r="X357">
        <v>1.5588842757336368E-2</v>
      </c>
      <c r="Y357">
        <v>4.0763437505488337E-3</v>
      </c>
    </row>
    <row r="358" spans="1:25" x14ac:dyDescent="0.25">
      <c r="A358" s="827"/>
      <c r="B358" s="1066">
        <v>108</v>
      </c>
      <c r="C358" s="831">
        <v>1.0411823875147539</v>
      </c>
      <c r="D358" s="831">
        <v>0.97297969862774625</v>
      </c>
      <c r="E358" s="831">
        <v>1.0212183299026354</v>
      </c>
      <c r="F358" s="831">
        <v>0.98822309075445858</v>
      </c>
      <c r="G358" s="831">
        <v>1.0048710793642557</v>
      </c>
      <c r="H358" s="831">
        <v>0.97810556710908159</v>
      </c>
      <c r="I358" s="831">
        <v>1.0028327779246555</v>
      </c>
      <c r="K358">
        <v>1.7186005309107737</v>
      </c>
      <c r="L358">
        <v>0</v>
      </c>
      <c r="M358">
        <v>1.2601793341560444E-3</v>
      </c>
      <c r="N358">
        <v>0.13558124579275388</v>
      </c>
      <c r="O358">
        <v>1.7344913823418209E-2</v>
      </c>
      <c r="P358">
        <v>1.9998203778010811E-2</v>
      </c>
      <c r="Q358">
        <v>2.1427685049524503E-3</v>
      </c>
      <c r="R358">
        <v>1.2522628721800852E-3</v>
      </c>
      <c r="S358">
        <v>0.14726368503855133</v>
      </c>
      <c r="T358">
        <v>1.0694877034252788</v>
      </c>
      <c r="U358">
        <v>2.2400040740194235E-2</v>
      </c>
      <c r="V358">
        <v>0.20437800423671332</v>
      </c>
      <c r="W358">
        <v>7.9883432973176932E-2</v>
      </c>
      <c r="X358">
        <v>1.6720202329969257E-2</v>
      </c>
      <c r="Y358">
        <v>3.4082467297293214E-3</v>
      </c>
    </row>
    <row r="359" spans="1:25" x14ac:dyDescent="0.25">
      <c r="A359" s="827"/>
      <c r="B359" s="1066">
        <v>109</v>
      </c>
      <c r="C359" s="831">
        <v>0.98835397850506435</v>
      </c>
      <c r="D359" s="831">
        <v>0.95916907448340716</v>
      </c>
      <c r="E359" s="831">
        <v>1.0272954199703948</v>
      </c>
      <c r="F359" s="831">
        <v>0.99389643926163729</v>
      </c>
      <c r="G359" s="831">
        <v>1.005110578983994</v>
      </c>
      <c r="H359" s="831">
        <v>1.010116036573357</v>
      </c>
      <c r="I359" s="831">
        <v>1.0192059191937288</v>
      </c>
      <c r="K359">
        <v>1.7646452279874707</v>
      </c>
      <c r="L359">
        <v>0</v>
      </c>
      <c r="M359">
        <v>1.3623045465903239E-3</v>
      </c>
      <c r="N359">
        <v>0.14939218600524057</v>
      </c>
      <c r="O359">
        <v>1.8391207898591208E-2</v>
      </c>
      <c r="P359">
        <v>2.0385909840437828E-2</v>
      </c>
      <c r="Q359">
        <v>2.2830355393776264E-3</v>
      </c>
      <c r="R359">
        <v>1.3540275593609936E-3</v>
      </c>
      <c r="S359">
        <v>0.16102433770307137</v>
      </c>
      <c r="T359">
        <v>1.0689540096262649</v>
      </c>
      <c r="U359">
        <v>2.3597343062836309E-2</v>
      </c>
      <c r="V359">
        <v>0.21140740661791635</v>
      </c>
      <c r="W359">
        <v>8.7661586758905424E-2</v>
      </c>
      <c r="X359">
        <v>1.787126526054332E-2</v>
      </c>
      <c r="Y359">
        <v>3.6852166615156416E-3</v>
      </c>
    </row>
    <row r="360" spans="1:25" x14ac:dyDescent="0.25">
      <c r="A360" s="827"/>
      <c r="B360" s="1066">
        <v>110</v>
      </c>
      <c r="C360" s="831">
        <v>1.0036408554642442</v>
      </c>
      <c r="D360" s="831">
        <v>1.0012382290421162</v>
      </c>
      <c r="E360" s="831">
        <v>0.99777851971271203</v>
      </c>
      <c r="F360" s="831">
        <v>1.0152309886909336</v>
      </c>
      <c r="G360" s="831">
        <v>0.96838266430261466</v>
      </c>
      <c r="H360" s="831">
        <v>1.0327112714904381</v>
      </c>
      <c r="I360" s="831">
        <v>0.98749349837689637</v>
      </c>
      <c r="K360">
        <v>1.7419481418824831</v>
      </c>
      <c r="L360">
        <v>0</v>
      </c>
      <c r="M360">
        <v>1.4315573832951306E-3</v>
      </c>
      <c r="N360">
        <v>0.14324085148149801</v>
      </c>
      <c r="O360">
        <v>1.7761511178911407E-2</v>
      </c>
      <c r="P360">
        <v>1.9783102216869564E-2</v>
      </c>
      <c r="Q360">
        <v>2.1484750786739141E-3</v>
      </c>
      <c r="R360">
        <v>1.4230198115897442E-3</v>
      </c>
      <c r="S360">
        <v>0.15251154665820793</v>
      </c>
      <c r="T360">
        <v>1.0715592962389509</v>
      </c>
      <c r="U360">
        <v>2.3237921983073444E-2</v>
      </c>
      <c r="V360">
        <v>0.20567486956033221</v>
      </c>
      <c r="W360">
        <v>8.5751858441389564E-2</v>
      </c>
      <c r="X360">
        <v>1.6414255787487949E-2</v>
      </c>
      <c r="Y360">
        <v>3.8729908287924658E-3</v>
      </c>
    </row>
    <row r="361" spans="1:25" x14ac:dyDescent="0.25">
      <c r="A361" s="827"/>
      <c r="B361" s="1066">
        <v>111</v>
      </c>
      <c r="C361" s="831">
        <v>1.0425143127858387</v>
      </c>
      <c r="D361" s="831">
        <v>1.0282700971076755</v>
      </c>
      <c r="E361" s="831">
        <v>1.0062400113165515</v>
      </c>
      <c r="F361" s="831">
        <v>0.99876759750849842</v>
      </c>
      <c r="G361" s="831">
        <v>1.0278701709504581</v>
      </c>
      <c r="H361" s="831">
        <v>0.99965338580620078</v>
      </c>
      <c r="I361" s="831">
        <v>0.97357820640199633</v>
      </c>
      <c r="K361">
        <v>1.7037401974148392</v>
      </c>
      <c r="L361">
        <v>0</v>
      </c>
      <c r="M361">
        <v>1.2948170597416354E-3</v>
      </c>
      <c r="N361">
        <v>0.13298587413107521</v>
      </c>
      <c r="O361">
        <v>1.6894466092742918E-2</v>
      </c>
      <c r="P361">
        <v>1.9641222908895788E-2</v>
      </c>
      <c r="Q361">
        <v>2.0655023098594531E-3</v>
      </c>
      <c r="R361">
        <v>1.2868224221077983E-3</v>
      </c>
      <c r="S361">
        <v>0.14097560302834283</v>
      </c>
      <c r="T361">
        <v>1.0708090802998516</v>
      </c>
      <c r="U361">
        <v>2.2371422255086371E-2</v>
      </c>
      <c r="V361">
        <v>0.19935576947353104</v>
      </c>
      <c r="W361">
        <v>7.9153704294087759E-2</v>
      </c>
      <c r="X361">
        <v>1.5993240826918474E-2</v>
      </c>
      <c r="Y361">
        <v>3.5023064320799861E-3</v>
      </c>
    </row>
    <row r="362" spans="1:25" x14ac:dyDescent="0.25">
      <c r="A362" s="827"/>
      <c r="B362" s="1066">
        <v>112</v>
      </c>
      <c r="C362" s="831">
        <v>0.97046065943887461</v>
      </c>
      <c r="D362" s="831">
        <v>1.0266088015105717</v>
      </c>
      <c r="E362" s="831">
        <v>0.9826193538986765</v>
      </c>
      <c r="F362" s="831">
        <v>1.0083410894871545</v>
      </c>
      <c r="G362" s="831">
        <v>0.99397306612897118</v>
      </c>
      <c r="H362" s="831">
        <v>1.0231741122704479</v>
      </c>
      <c r="I362" s="831">
        <v>1.013080346181827</v>
      </c>
      <c r="K362">
        <v>1.7528255923519287</v>
      </c>
      <c r="L362">
        <v>0</v>
      </c>
      <c r="M362">
        <v>1.4973173765348664E-3</v>
      </c>
      <c r="N362">
        <v>0.14290432327275293</v>
      </c>
      <c r="O362">
        <v>1.8162082172614905E-2</v>
      </c>
      <c r="P362">
        <v>1.9698580859705196E-2</v>
      </c>
      <c r="Q362">
        <v>2.1679371437200515E-3</v>
      </c>
      <c r="R362">
        <v>1.4882861290379894E-3</v>
      </c>
      <c r="S362">
        <v>0.15943458324654181</v>
      </c>
      <c r="T362">
        <v>1.0729100948631072</v>
      </c>
      <c r="U362">
        <v>2.4032430033576409E-2</v>
      </c>
      <c r="V362">
        <v>0.20700004144211001</v>
      </c>
      <c r="W362">
        <v>8.6448557317896607E-2</v>
      </c>
      <c r="X362">
        <v>1.6025369017549217E-2</v>
      </c>
      <c r="Y362">
        <v>4.0506242298508268E-3</v>
      </c>
    </row>
    <row r="363" spans="1:25" x14ac:dyDescent="0.25">
      <c r="A363" s="827"/>
      <c r="B363" s="1066">
        <v>113</v>
      </c>
      <c r="C363" s="831">
        <v>1.0187408204565249</v>
      </c>
      <c r="D363" s="831">
        <v>0.97638126545775983</v>
      </c>
      <c r="E363" s="831">
        <v>0.97458682231549421</v>
      </c>
      <c r="F363" s="831">
        <v>0.99740088891128087</v>
      </c>
      <c r="G363" s="831">
        <v>1.0122211230543561</v>
      </c>
      <c r="H363" s="831">
        <v>1.0209380268005233</v>
      </c>
      <c r="I363" s="831">
        <v>0.97053560184501708</v>
      </c>
      <c r="K363">
        <v>1.7315959713956284</v>
      </c>
      <c r="L363">
        <v>0</v>
      </c>
      <c r="M363">
        <v>1.4806606672661019E-3</v>
      </c>
      <c r="N363">
        <v>0.13782301450303025</v>
      </c>
      <c r="O363">
        <v>1.7698914255909144E-2</v>
      </c>
      <c r="P363">
        <v>1.9417098223602363E-2</v>
      </c>
      <c r="Q363">
        <v>2.0868656431386021E-3</v>
      </c>
      <c r="R363">
        <v>1.4717468066679743E-3</v>
      </c>
      <c r="S363">
        <v>0.14841034789988125</v>
      </c>
      <c r="T363">
        <v>1.0736293593158897</v>
      </c>
      <c r="U363">
        <v>2.289348520249903E-2</v>
      </c>
      <c r="V363">
        <v>0.20638574956923358</v>
      </c>
      <c r="W363">
        <v>8.3841131815008421E-2</v>
      </c>
      <c r="X363">
        <v>1.5413309181487376E-2</v>
      </c>
      <c r="Y363">
        <v>4.0056096465457981E-3</v>
      </c>
    </row>
    <row r="364" spans="1:25" x14ac:dyDescent="0.25">
      <c r="A364" s="827"/>
      <c r="B364" s="1066">
        <v>114</v>
      </c>
      <c r="C364" s="831">
        <v>0.97364400590399525</v>
      </c>
      <c r="D364" s="831">
        <v>0.96203444845051578</v>
      </c>
      <c r="E364" s="831">
        <v>1.0025918852264724</v>
      </c>
      <c r="F364" s="831">
        <v>0.97146188781019316</v>
      </c>
      <c r="G364" s="831">
        <v>1.0091687624674226</v>
      </c>
      <c r="H364" s="831">
        <v>0.98886061101607758</v>
      </c>
      <c r="I364" s="831">
        <v>1.0224832107100814</v>
      </c>
      <c r="K364">
        <v>1.7627154175588367</v>
      </c>
      <c r="L364">
        <v>0</v>
      </c>
      <c r="M364">
        <v>1.4243173043509065E-3</v>
      </c>
      <c r="N364">
        <v>0.14463109972525645</v>
      </c>
      <c r="O364">
        <v>1.8643737361809215E-2</v>
      </c>
      <c r="P364">
        <v>2.0087653812155253E-2</v>
      </c>
      <c r="Q364">
        <v>2.2586462715571479E-3</v>
      </c>
      <c r="R364">
        <v>1.4154753385442237E-3</v>
      </c>
      <c r="S364">
        <v>0.16214795175822749</v>
      </c>
      <c r="T364">
        <v>1.0711322002907102</v>
      </c>
      <c r="U364">
        <v>2.3953855574398591E-2</v>
      </c>
      <c r="V364">
        <v>0.21281567677043089</v>
      </c>
      <c r="W364">
        <v>8.6299478201968358E-2</v>
      </c>
      <c r="X364">
        <v>1.6901502497930571E-2</v>
      </c>
      <c r="Y364">
        <v>3.8524572601974314E-3</v>
      </c>
    </row>
    <row r="365" spans="1:25" x14ac:dyDescent="0.25">
      <c r="A365" s="827"/>
      <c r="B365" s="1066">
        <v>115</v>
      </c>
      <c r="C365" s="831">
        <v>1.0314568165321707</v>
      </c>
      <c r="D365" s="831">
        <v>0.97698649612961297</v>
      </c>
      <c r="E365" s="831">
        <v>0.97068421805269456</v>
      </c>
      <c r="F365" s="831">
        <v>0.96941974278399368</v>
      </c>
      <c r="G365" s="831">
        <v>1.0226099388171024</v>
      </c>
      <c r="H365" s="831">
        <v>1.0032421390230173</v>
      </c>
      <c r="I365" s="831">
        <v>0.97330863330351747</v>
      </c>
      <c r="K365">
        <v>1.7195606812944249</v>
      </c>
      <c r="L365">
        <v>0</v>
      </c>
      <c r="M365">
        <v>1.4484596185755576E-3</v>
      </c>
      <c r="N365">
        <v>0.13318103720641836</v>
      </c>
      <c r="O365">
        <v>1.7475798944055126E-2</v>
      </c>
      <c r="P365">
        <v>1.9306115347169965E-2</v>
      </c>
      <c r="Q365">
        <v>2.0524731717417827E-3</v>
      </c>
      <c r="R365">
        <v>1.4395853512657879E-3</v>
      </c>
      <c r="S365">
        <v>0.14575015027579413</v>
      </c>
      <c r="T365">
        <v>1.0739796880036681</v>
      </c>
      <c r="U365">
        <v>2.2611249956847587E-2</v>
      </c>
      <c r="V365">
        <v>0.20500070194698566</v>
      </c>
      <c r="W365">
        <v>8.1238134949895069E-2</v>
      </c>
      <c r="X365">
        <v>1.5056128992195458E-2</v>
      </c>
      <c r="Y365">
        <v>3.91807676696197E-3</v>
      </c>
    </row>
    <row r="366" spans="1:25" x14ac:dyDescent="0.25">
      <c r="A366" s="827"/>
      <c r="B366" s="1066">
        <v>116</v>
      </c>
      <c r="C366" s="831">
        <v>0.98460638427659153</v>
      </c>
      <c r="D366" s="831">
        <v>0.98333074368516005</v>
      </c>
      <c r="E366" s="831">
        <v>0.99607372406024275</v>
      </c>
      <c r="F366" s="831">
        <v>1.0303939510175162</v>
      </c>
      <c r="G366" s="831">
        <v>0.99372750111769992</v>
      </c>
      <c r="H366" s="831">
        <v>1.0232200529172064</v>
      </c>
      <c r="I366" s="831">
        <v>0.9921036237682278</v>
      </c>
      <c r="K366">
        <v>1.7552505402103589</v>
      </c>
      <c r="L366">
        <v>0</v>
      </c>
      <c r="M366">
        <v>1.4629267102542582E-3</v>
      </c>
      <c r="N366">
        <v>0.14559835650824365</v>
      </c>
      <c r="O366">
        <v>1.8253624520358662E-2</v>
      </c>
      <c r="P366">
        <v>1.9873960594256345E-2</v>
      </c>
      <c r="Q366">
        <v>2.2009434568227718E-3</v>
      </c>
      <c r="R366">
        <v>1.4541341193157215E-3</v>
      </c>
      <c r="S366">
        <v>0.15667119556672279</v>
      </c>
      <c r="T366">
        <v>1.0717107745466543</v>
      </c>
      <c r="U366">
        <v>2.3687158920301613E-2</v>
      </c>
      <c r="V366">
        <v>0.20944505287069973</v>
      </c>
      <c r="W366">
        <v>8.7265143943131951E-2</v>
      </c>
      <c r="X366">
        <v>1.6595448156509859E-2</v>
      </c>
      <c r="Y366">
        <v>3.9576737175937909E-3</v>
      </c>
    </row>
    <row r="367" spans="1:25" x14ac:dyDescent="0.25">
      <c r="A367" s="827"/>
      <c r="B367" s="1066">
        <v>117</v>
      </c>
      <c r="C367" s="831">
        <v>1.0006323681498221</v>
      </c>
      <c r="D367" s="831">
        <v>0.99056711700074285</v>
      </c>
      <c r="E367" s="831">
        <v>1.0040924237466347</v>
      </c>
      <c r="F367" s="831">
        <v>0.994814060123413</v>
      </c>
      <c r="G367" s="831">
        <v>0.98716546359074797</v>
      </c>
      <c r="H367" s="831">
        <v>1.0385905540477458</v>
      </c>
      <c r="I367" s="831">
        <v>0.99274893119433771</v>
      </c>
      <c r="K367">
        <v>1.750061125739899</v>
      </c>
      <c r="L367">
        <v>0</v>
      </c>
      <c r="M367">
        <v>1.4318880062445603E-3</v>
      </c>
      <c r="N367">
        <v>0.14612164961228719</v>
      </c>
      <c r="O367">
        <v>1.7901631044790031E-2</v>
      </c>
      <c r="P367">
        <v>1.9920300218732308E-2</v>
      </c>
      <c r="Q367">
        <v>2.177286520089168E-3</v>
      </c>
      <c r="R367">
        <v>1.4234042289302173E-3</v>
      </c>
      <c r="S367">
        <v>0.15489161978744201</v>
      </c>
      <c r="T367">
        <v>1.0709992344794397</v>
      </c>
      <c r="U367">
        <v>2.3307788795026412E-2</v>
      </c>
      <c r="V367">
        <v>0.20698677087657635</v>
      </c>
      <c r="W367">
        <v>8.7099604618926019E-2</v>
      </c>
      <c r="X367">
        <v>1.6789686477833597E-2</v>
      </c>
      <c r="Y367">
        <v>3.8740370860700919E-3</v>
      </c>
    </row>
    <row r="368" spans="1:25" x14ac:dyDescent="0.25">
      <c r="A368" s="827"/>
      <c r="B368" s="1066">
        <v>118</v>
      </c>
      <c r="C368" s="831">
        <v>1.0254148867009876</v>
      </c>
      <c r="D368" s="831">
        <v>1.0397585911219567</v>
      </c>
      <c r="E368" s="831">
        <v>0.98301189083366503</v>
      </c>
      <c r="F368" s="831">
        <v>0.99542592443362865</v>
      </c>
      <c r="G368" s="831">
        <v>1.0063078600958604</v>
      </c>
      <c r="H368" s="831">
        <v>1.0214871343154857</v>
      </c>
      <c r="I368" s="831">
        <v>0.98065293975576295</v>
      </c>
      <c r="K368">
        <v>1.7141074320379941</v>
      </c>
      <c r="L368">
        <v>0</v>
      </c>
      <c r="M368">
        <v>1.4054843856383785E-3</v>
      </c>
      <c r="N368">
        <v>0.13430170683552156</v>
      </c>
      <c r="O368">
        <v>1.7090301966523554E-2</v>
      </c>
      <c r="P368">
        <v>1.9401170894197035E-2</v>
      </c>
      <c r="Q368">
        <v>2.0429093265866166E-3</v>
      </c>
      <c r="R368">
        <v>1.3969843822035904E-3</v>
      </c>
      <c r="S368">
        <v>0.14517899156746147</v>
      </c>
      <c r="T368">
        <v>1.0728750076948614</v>
      </c>
      <c r="U368">
        <v>2.2744479528025476E-2</v>
      </c>
      <c r="V368">
        <v>0.20007228725451529</v>
      </c>
      <c r="W368">
        <v>8.1222407079612036E-2</v>
      </c>
      <c r="X368">
        <v>1.5384538921543895E-2</v>
      </c>
      <c r="Y368">
        <v>3.8021309725803456E-3</v>
      </c>
    </row>
    <row r="369" spans="1:25" x14ac:dyDescent="0.25">
      <c r="A369" s="827"/>
      <c r="B369" s="1066">
        <v>119</v>
      </c>
      <c r="C369" s="831">
        <v>0.9921327290701728</v>
      </c>
      <c r="D369" s="831">
        <v>1.0048363000037479</v>
      </c>
      <c r="E369" s="831">
        <v>1.0279343897410591</v>
      </c>
      <c r="F369" s="831">
        <v>1.023927640259827</v>
      </c>
      <c r="G369" s="831">
        <v>0.98709939200516916</v>
      </c>
      <c r="H369" s="831">
        <v>0.98392091149220084</v>
      </c>
      <c r="I369" s="831">
        <v>0.99393123811135886</v>
      </c>
      <c r="K369">
        <v>1.7370866632059458</v>
      </c>
      <c r="L369">
        <v>0</v>
      </c>
      <c r="M369">
        <v>1.2925857346242863E-3</v>
      </c>
      <c r="N369">
        <v>0.14200167696133587</v>
      </c>
      <c r="O369">
        <v>1.7938373003863594E-2</v>
      </c>
      <c r="P369">
        <v>2.0194289467192015E-2</v>
      </c>
      <c r="Q369">
        <v>2.2368268251446305E-3</v>
      </c>
      <c r="R369">
        <v>1.2844923458772408E-3</v>
      </c>
      <c r="S369">
        <v>0.15155386125405954</v>
      </c>
      <c r="T369">
        <v>1.0688979762594173</v>
      </c>
      <c r="U369">
        <v>2.3507467514110793E-2</v>
      </c>
      <c r="V369">
        <v>0.20658811253389886</v>
      </c>
      <c r="W369">
        <v>8.3289192831798559E-2</v>
      </c>
      <c r="X369">
        <v>1.7391015211182317E-2</v>
      </c>
      <c r="Y369">
        <v>3.495964732689831E-3</v>
      </c>
    </row>
    <row r="370" spans="1:25" x14ac:dyDescent="0.25">
      <c r="A370" s="827"/>
      <c r="B370" s="1066">
        <v>120</v>
      </c>
      <c r="C370" s="831">
        <v>1.0032457484672461</v>
      </c>
      <c r="D370" s="831">
        <v>0.95368129359848575</v>
      </c>
      <c r="E370" s="831">
        <v>1.0062866860976676</v>
      </c>
      <c r="F370" s="831">
        <v>1.0247935461522588</v>
      </c>
      <c r="G370" s="831">
        <v>1.0253271986706367</v>
      </c>
      <c r="H370" s="831">
        <v>0.96870992961344349</v>
      </c>
      <c r="I370" s="831">
        <v>0.99024628898143896</v>
      </c>
      <c r="K370">
        <v>1.73740110271776</v>
      </c>
      <c r="L370">
        <v>0</v>
      </c>
      <c r="M370">
        <v>1.3489601003865727E-3</v>
      </c>
      <c r="N370">
        <v>0.13854477922995243</v>
      </c>
      <c r="O370">
        <v>1.8165617484626494E-2</v>
      </c>
      <c r="P370">
        <v>1.9947976876719981E-2</v>
      </c>
      <c r="Q370">
        <v>2.2072766430123528E-3</v>
      </c>
      <c r="R370">
        <v>1.3404179575041979E-3</v>
      </c>
      <c r="S370">
        <v>0.15149871086035122</v>
      </c>
      <c r="T370">
        <v>1.0708049495023744</v>
      </c>
      <c r="U370">
        <v>2.3247073744329546E-2</v>
      </c>
      <c r="V370">
        <v>0.2102830413573501</v>
      </c>
      <c r="W370">
        <v>8.2459763951235762E-2</v>
      </c>
      <c r="X370">
        <v>1.6602279399025231E-2</v>
      </c>
      <c r="Y370">
        <v>3.6481758116654901E-3</v>
      </c>
    </row>
    <row r="371" spans="1:25" x14ac:dyDescent="0.25">
      <c r="A371" s="827"/>
      <c r="B371" s="1066">
        <v>121</v>
      </c>
      <c r="C371" s="831">
        <v>1.007583796033841</v>
      </c>
      <c r="D371" s="831">
        <v>1.0123371284487568</v>
      </c>
      <c r="E371" s="831">
        <v>0.98523485377994213</v>
      </c>
      <c r="F371" s="831">
        <v>0.97630103672130564</v>
      </c>
      <c r="G371" s="831">
        <v>0.9941339063084822</v>
      </c>
      <c r="H371" s="831">
        <v>1.0266761930921897</v>
      </c>
      <c r="I371" s="831">
        <v>0.99363606962772721</v>
      </c>
      <c r="K371">
        <v>1.7343334804577744</v>
      </c>
      <c r="L371">
        <v>0</v>
      </c>
      <c r="M371">
        <v>1.4482820182356263E-3</v>
      </c>
      <c r="N371">
        <v>0.13935889973360929</v>
      </c>
      <c r="O371">
        <v>1.7603949514303288E-2</v>
      </c>
      <c r="P371">
        <v>1.9581609504252674E-2</v>
      </c>
      <c r="Q371">
        <v>2.104504564010564E-3</v>
      </c>
      <c r="R371">
        <v>1.4395861527129728E-3</v>
      </c>
      <c r="S371">
        <v>0.15173641302874522</v>
      </c>
      <c r="T371">
        <v>1.0726764160380482</v>
      </c>
      <c r="U371">
        <v>2.3146985878601648E-2</v>
      </c>
      <c r="V371">
        <v>0.2042578698311931</v>
      </c>
      <c r="W371">
        <v>8.4151347012089664E-2</v>
      </c>
      <c r="X371">
        <v>1.5806102270206134E-2</v>
      </c>
      <c r="Y371">
        <v>3.9180789482370117E-3</v>
      </c>
    </row>
    <row r="372" spans="1:25" x14ac:dyDescent="0.25">
      <c r="A372" s="827"/>
      <c r="B372" s="1066">
        <v>122</v>
      </c>
      <c r="C372" s="831">
        <v>1.044343330085338</v>
      </c>
      <c r="D372" s="831">
        <v>0.97786649194281294</v>
      </c>
      <c r="E372" s="831">
        <v>1.0384214228326278</v>
      </c>
      <c r="F372" s="831">
        <v>1.014470969766047</v>
      </c>
      <c r="G372" s="831">
        <v>0.97621315098772088</v>
      </c>
      <c r="H372" s="831">
        <v>0.98222556988272425</v>
      </c>
      <c r="I372" s="831">
        <v>0.95127568955861364</v>
      </c>
      <c r="K372">
        <v>1.7112618646311548</v>
      </c>
      <c r="L372">
        <v>0</v>
      </c>
      <c r="M372">
        <v>1.2138052378264702E-3</v>
      </c>
      <c r="N372">
        <v>0.13775874954689288</v>
      </c>
      <c r="O372">
        <v>1.7253102518601047E-2</v>
      </c>
      <c r="P372">
        <v>2.0104402376928707E-2</v>
      </c>
      <c r="Q372">
        <v>2.1688951180705938E-3</v>
      </c>
      <c r="R372">
        <v>1.2062089415669803E-3</v>
      </c>
      <c r="S372">
        <v>0.13925203670244002</v>
      </c>
      <c r="T372">
        <v>1.0679805474904815</v>
      </c>
      <c r="U372">
        <v>2.2332241923158944E-2</v>
      </c>
      <c r="V372">
        <v>0.20360409957820486</v>
      </c>
      <c r="W372">
        <v>8.0235959856384181E-2</v>
      </c>
      <c r="X372">
        <v>1.7296522703975074E-2</v>
      </c>
      <c r="Y372">
        <v>3.2829031122745974E-3</v>
      </c>
    </row>
    <row r="373" spans="1:25" x14ac:dyDescent="0.25">
      <c r="A373" s="827"/>
      <c r="B373" s="1066">
        <v>123</v>
      </c>
      <c r="C373" s="831">
        <v>0.99439244930341775</v>
      </c>
      <c r="D373" s="831">
        <v>0.98992445825008324</v>
      </c>
      <c r="E373" s="831">
        <v>0.97660271049136671</v>
      </c>
      <c r="F373" s="831">
        <v>0.98714438813089311</v>
      </c>
      <c r="G373" s="831">
        <v>1.0019811242431067</v>
      </c>
      <c r="H373" s="831">
        <v>0.98896478115618991</v>
      </c>
      <c r="I373" s="831">
        <v>1.0014776909579406</v>
      </c>
      <c r="K373">
        <v>1.7363409276642392</v>
      </c>
      <c r="L373">
        <v>0</v>
      </c>
      <c r="M373">
        <v>1.4540987642196145E-3</v>
      </c>
      <c r="N373">
        <v>0.13617602764633327</v>
      </c>
      <c r="O373">
        <v>1.8019268152598661E-2</v>
      </c>
      <c r="P373">
        <v>1.9540666398060527E-2</v>
      </c>
      <c r="Q373">
        <v>2.1314340682639494E-3</v>
      </c>
      <c r="R373">
        <v>1.4450515562181576E-3</v>
      </c>
      <c r="S373">
        <v>0.15367215661081907</v>
      </c>
      <c r="T373">
        <v>1.073448621018777</v>
      </c>
      <c r="U373">
        <v>2.3454047659594406E-2</v>
      </c>
      <c r="V373">
        <v>0.20773001141910727</v>
      </c>
      <c r="W373">
        <v>8.2723075556129302E-2</v>
      </c>
      <c r="X373">
        <v>1.5521712367648969E-2</v>
      </c>
      <c r="Y373">
        <v>3.9329539749083427E-3</v>
      </c>
    </row>
    <row r="374" spans="1:25" x14ac:dyDescent="0.25">
      <c r="A374" s="827"/>
      <c r="B374" s="1066">
        <v>124</v>
      </c>
      <c r="C374" s="831">
        <v>0.97261222282335813</v>
      </c>
      <c r="D374" s="831">
        <v>0.9960136932184982</v>
      </c>
      <c r="E374" s="831">
        <v>0.98764783844580029</v>
      </c>
      <c r="F374" s="831">
        <v>1.0019351732978656</v>
      </c>
      <c r="G374" s="831">
        <v>0.98150176646966436</v>
      </c>
      <c r="H374" s="831">
        <v>1.0000896075728527</v>
      </c>
      <c r="I374" s="831">
        <v>1.0145961648206108</v>
      </c>
      <c r="K374">
        <v>1.7537646731700447</v>
      </c>
      <c r="L374">
        <v>0</v>
      </c>
      <c r="M374">
        <v>1.4648411640091599E-3</v>
      </c>
      <c r="N374">
        <v>0.1419938292008335</v>
      </c>
      <c r="O374">
        <v>1.837163791709576E-2</v>
      </c>
      <c r="P374">
        <v>1.9804100046386264E-2</v>
      </c>
      <c r="Q374">
        <v>2.1987280304451152E-3</v>
      </c>
      <c r="R374">
        <v>1.4558239806241968E-3</v>
      </c>
      <c r="S374">
        <v>0.15960119517147142</v>
      </c>
      <c r="T374">
        <v>1.0724610589401573</v>
      </c>
      <c r="U374">
        <v>2.3979266711867047E-2</v>
      </c>
      <c r="V374">
        <v>0.20958744240996538</v>
      </c>
      <c r="W374">
        <v>8.5599642939040071E-2</v>
      </c>
      <c r="X374">
        <v>1.6214516023154466E-2</v>
      </c>
      <c r="Y374">
        <v>3.9622729630128303E-3</v>
      </c>
    </row>
    <row r="375" spans="1:25" x14ac:dyDescent="0.25">
      <c r="A375" s="827"/>
      <c r="B375" s="1066">
        <v>125</v>
      </c>
      <c r="C375" s="831">
        <v>0.9656665452048192</v>
      </c>
      <c r="D375" s="831">
        <v>0.9532043356585912</v>
      </c>
      <c r="E375" s="831">
        <v>1.0149409230535589</v>
      </c>
      <c r="F375" s="831">
        <v>0.9990239508016131</v>
      </c>
      <c r="G375" s="831">
        <v>1.0013663335572569</v>
      </c>
      <c r="H375" s="831">
        <v>0.98502470347856086</v>
      </c>
      <c r="I375" s="831">
        <v>1.0171343771916832</v>
      </c>
      <c r="K375">
        <v>1.7696639000419363</v>
      </c>
      <c r="L375">
        <v>0</v>
      </c>
      <c r="M375">
        <v>1.3995984361522497E-3</v>
      </c>
      <c r="N375">
        <v>0.14768090558071209</v>
      </c>
      <c r="O375">
        <v>1.8876839102003048E-2</v>
      </c>
      <c r="P375">
        <v>2.02967169864866E-2</v>
      </c>
      <c r="Q375">
        <v>2.3135211527163745E-3</v>
      </c>
      <c r="R375">
        <v>1.3908827887499833E-3</v>
      </c>
      <c r="S375">
        <v>0.16296249551498915</v>
      </c>
      <c r="T375">
        <v>1.0700404583894407</v>
      </c>
      <c r="U375">
        <v>2.4151740592148647E-2</v>
      </c>
      <c r="V375">
        <v>0.21467238226790145</v>
      </c>
      <c r="W375">
        <v>8.7382308447962534E-2</v>
      </c>
      <c r="X375">
        <v>1.7509723208387454E-2</v>
      </c>
      <c r="Y375">
        <v>3.7855244465893685E-3</v>
      </c>
    </row>
    <row r="376" spans="1:25" x14ac:dyDescent="0.25">
      <c r="A376" s="827"/>
      <c r="B376" s="1066">
        <v>126</v>
      </c>
      <c r="C376" s="831">
        <v>1.0360505749701536</v>
      </c>
      <c r="D376" s="831">
        <v>1.0045152003142206</v>
      </c>
      <c r="E376" s="831">
        <v>0.98080440782341272</v>
      </c>
      <c r="F376" s="831">
        <v>1.0019695461345446</v>
      </c>
      <c r="G376" s="831">
        <v>1.0148118763923948</v>
      </c>
      <c r="H376" s="831">
        <v>1.0189854518189618</v>
      </c>
      <c r="I376" s="831">
        <v>1.0008685166762485</v>
      </c>
      <c r="K376">
        <v>1.71981652551547</v>
      </c>
      <c r="L376">
        <v>0</v>
      </c>
      <c r="M376">
        <v>1.4159627457302358E-3</v>
      </c>
      <c r="N376">
        <v>0.13437595848550823</v>
      </c>
      <c r="O376">
        <v>1.7180456892009411E-2</v>
      </c>
      <c r="P376">
        <v>1.9440453549381669E-2</v>
      </c>
      <c r="Q376">
        <v>2.0433707366119512E-3</v>
      </c>
      <c r="R376">
        <v>1.4074021537670166E-3</v>
      </c>
      <c r="S376">
        <v>0.14858860477139588</v>
      </c>
      <c r="T376">
        <v>1.0730724003024403</v>
      </c>
      <c r="U376">
        <v>2.2510993634625474E-2</v>
      </c>
      <c r="V376">
        <v>0.20203218561505951</v>
      </c>
      <c r="W376">
        <v>8.1391722490155971E-2</v>
      </c>
      <c r="X376">
        <v>1.5358454917685716E-2</v>
      </c>
      <c r="Y376">
        <v>3.8304847125585199E-3</v>
      </c>
    </row>
    <row r="377" spans="1:25" x14ac:dyDescent="0.25">
      <c r="A377" s="827"/>
      <c r="B377" s="1066">
        <v>127</v>
      </c>
      <c r="C377" s="831">
        <v>1.0150450977693302</v>
      </c>
      <c r="D377" s="831">
        <v>0.99387959380209268</v>
      </c>
      <c r="E377" s="831">
        <v>1.0158556709935105</v>
      </c>
      <c r="F377" s="831">
        <v>0.9991380374486819</v>
      </c>
      <c r="G377" s="831">
        <v>0.99647599025701683</v>
      </c>
      <c r="H377" s="831">
        <v>1.0016225070669942</v>
      </c>
      <c r="I377" s="831">
        <v>0.99896981988152034</v>
      </c>
      <c r="K377">
        <v>1.7323974728674396</v>
      </c>
      <c r="L377">
        <v>0</v>
      </c>
      <c r="M377">
        <v>1.3259473209121212E-3</v>
      </c>
      <c r="N377">
        <v>0.14031934451461295</v>
      </c>
      <c r="O377">
        <v>1.7620753153188465E-2</v>
      </c>
      <c r="P377">
        <v>1.9993775423998311E-2</v>
      </c>
      <c r="Q377">
        <v>2.1690708937269591E-3</v>
      </c>
      <c r="R377">
        <v>1.3177990514736623E-3</v>
      </c>
      <c r="S377">
        <v>0.15081671739731886</v>
      </c>
      <c r="T377">
        <v>1.0699598176910259</v>
      </c>
      <c r="U377">
        <v>2.2976839107500643E-2</v>
      </c>
      <c r="V377">
        <v>0.20514554321875422</v>
      </c>
      <c r="W377">
        <v>8.2975100391770265E-2</v>
      </c>
      <c r="X377">
        <v>1.6842044739210905E-2</v>
      </c>
      <c r="Y377">
        <v>3.586614605770741E-3</v>
      </c>
    </row>
    <row r="378" spans="1:25" x14ac:dyDescent="0.25">
      <c r="A378" s="827"/>
      <c r="B378" s="1066">
        <v>128</v>
      </c>
      <c r="C378" s="831">
        <v>0.9905268232293768</v>
      </c>
      <c r="D378" s="831">
        <v>0.96672241316764163</v>
      </c>
      <c r="E378" s="831">
        <v>1.0152546165428091</v>
      </c>
      <c r="F378" s="831">
        <v>1.0007007522373357</v>
      </c>
      <c r="G378" s="831">
        <v>1.0144728362292144</v>
      </c>
      <c r="H378" s="831">
        <v>1.0123353353033342</v>
      </c>
      <c r="I378" s="831">
        <v>0.99617530827999012</v>
      </c>
      <c r="K378">
        <v>1.7565081653591625</v>
      </c>
      <c r="L378">
        <v>0</v>
      </c>
      <c r="M378">
        <v>1.3924305915167853E-3</v>
      </c>
      <c r="N378">
        <v>0.14709168731535599</v>
      </c>
      <c r="O378">
        <v>1.8285486924155481E-2</v>
      </c>
      <c r="P378">
        <v>2.0147157089430334E-2</v>
      </c>
      <c r="Q378">
        <v>2.2443926950294424E-3</v>
      </c>
      <c r="R378">
        <v>1.3839836078531971E-3</v>
      </c>
      <c r="S378">
        <v>0.15669011943067104</v>
      </c>
      <c r="T378">
        <v>1.0700128007963108</v>
      </c>
      <c r="U378">
        <v>2.3545579333496176E-2</v>
      </c>
      <c r="V378">
        <v>0.21040344273193026</v>
      </c>
      <c r="W378">
        <v>8.7015186310093265E-2</v>
      </c>
      <c r="X378">
        <v>1.7314012565846883E-2</v>
      </c>
      <c r="Y378">
        <v>3.7667471505026875E-3</v>
      </c>
    </row>
    <row r="379" spans="1:25" x14ac:dyDescent="0.25">
      <c r="A379" s="827"/>
      <c r="B379" s="1066">
        <v>129</v>
      </c>
      <c r="C379" s="831">
        <v>1.0150384602255911</v>
      </c>
      <c r="D379" s="831">
        <v>1.0074006128290052</v>
      </c>
      <c r="E379" s="831">
        <v>0.97240986890761838</v>
      </c>
      <c r="F379" s="831">
        <v>1.0325407840354879</v>
      </c>
      <c r="G379" s="831">
        <v>0.98594133538068462</v>
      </c>
      <c r="H379" s="831">
        <v>0.99614583678183122</v>
      </c>
      <c r="I379" s="831">
        <v>0.9680962643633092</v>
      </c>
      <c r="K379">
        <v>1.7171772216401888</v>
      </c>
      <c r="L379">
        <v>0</v>
      </c>
      <c r="M379">
        <v>1.4361221083831392E-3</v>
      </c>
      <c r="N379">
        <v>0.13275107391415591</v>
      </c>
      <c r="O379">
        <v>1.751335311339966E-2</v>
      </c>
      <c r="P379">
        <v>1.9309502885574883E-2</v>
      </c>
      <c r="Q379">
        <v>2.0657181313213347E-3</v>
      </c>
      <c r="R379">
        <v>1.4272384968125329E-3</v>
      </c>
      <c r="S379">
        <v>0.14496528056976513</v>
      </c>
      <c r="T379">
        <v>1.0738247094650808</v>
      </c>
      <c r="U379">
        <v>2.2976989357742911E-2</v>
      </c>
      <c r="V379">
        <v>0.20391809594168997</v>
      </c>
      <c r="W379">
        <v>8.0878384139323869E-2</v>
      </c>
      <c r="X379">
        <v>1.5098525034425008E-2</v>
      </c>
      <c r="Y379">
        <v>3.8844726992796875E-3</v>
      </c>
    </row>
    <row r="380" spans="1:25" x14ac:dyDescent="0.25">
      <c r="A380" s="827"/>
      <c r="B380" s="1066">
        <v>130</v>
      </c>
      <c r="C380" s="831">
        <v>1.0062692108401725</v>
      </c>
      <c r="D380" s="831">
        <v>1.0049168576110317</v>
      </c>
      <c r="E380" s="831">
        <v>1.0048514260140993</v>
      </c>
      <c r="F380" s="831">
        <v>1.014973931745992</v>
      </c>
      <c r="G380" s="831">
        <v>0.98170789537514247</v>
      </c>
      <c r="H380" s="831">
        <v>0.9846625652782568</v>
      </c>
      <c r="I380" s="831">
        <v>0.97454839329559739</v>
      </c>
      <c r="K380">
        <v>1.7238085912376653</v>
      </c>
      <c r="L380">
        <v>0</v>
      </c>
      <c r="M380">
        <v>1.3390317886737505E-3</v>
      </c>
      <c r="N380">
        <v>0.13692305638417535</v>
      </c>
      <c r="O380">
        <v>1.768572553728184E-2</v>
      </c>
      <c r="P380">
        <v>1.9788316021069931E-2</v>
      </c>
      <c r="Q380">
        <v>2.1552071706037726E-3</v>
      </c>
      <c r="R380">
        <v>1.3306538433357437E-3</v>
      </c>
      <c r="S380">
        <v>0.14655738768419202</v>
      </c>
      <c r="T380">
        <v>1.07093201011406</v>
      </c>
      <c r="U380">
        <v>2.3177224988162271E-2</v>
      </c>
      <c r="V380">
        <v>0.20506217014838321</v>
      </c>
      <c r="W380">
        <v>8.1574300431097729E-2</v>
      </c>
      <c r="X380">
        <v>1.6339969592339194E-2</v>
      </c>
      <c r="Y380">
        <v>3.6216011116383283E-3</v>
      </c>
    </row>
    <row r="381" spans="1:25" x14ac:dyDescent="0.25">
      <c r="A381" s="827"/>
      <c r="B381" s="1066">
        <v>131</v>
      </c>
      <c r="C381" s="831">
        <v>1.0185740289371381</v>
      </c>
      <c r="D381" s="831">
        <v>0.9672091015831551</v>
      </c>
      <c r="E381" s="831">
        <v>1.0093255212442287</v>
      </c>
      <c r="F381" s="831">
        <v>0.98722422496564388</v>
      </c>
      <c r="G381" s="831">
        <v>0.96523929088195692</v>
      </c>
      <c r="H381" s="831">
        <v>1.0320704861524042</v>
      </c>
      <c r="I381" s="831">
        <v>0.98108907364216091</v>
      </c>
      <c r="K381">
        <v>1.7437178339064807</v>
      </c>
      <c r="L381">
        <v>0</v>
      </c>
      <c r="M381">
        <v>1.397545041845034E-3</v>
      </c>
      <c r="N381">
        <v>0.14495300392133306</v>
      </c>
      <c r="O381">
        <v>1.7777912524255868E-2</v>
      </c>
      <c r="P381">
        <v>1.9942141168020344E-2</v>
      </c>
      <c r="Q381">
        <v>2.1693045523468435E-3</v>
      </c>
      <c r="R381">
        <v>1.3892288006359685E-3</v>
      </c>
      <c r="S381">
        <v>0.15142181218715442</v>
      </c>
      <c r="T381">
        <v>1.0705361846281596</v>
      </c>
      <c r="U381">
        <v>2.2897234011198746E-2</v>
      </c>
      <c r="V381">
        <v>0.20728101930184173</v>
      </c>
      <c r="W381">
        <v>8.6095612248361167E-2</v>
      </c>
      <c r="X381">
        <v>1.6870902768837515E-2</v>
      </c>
      <c r="Y381">
        <v>3.7810228361800568E-3</v>
      </c>
    </row>
    <row r="382" spans="1:25" x14ac:dyDescent="0.25">
      <c r="A382" s="827"/>
      <c r="B382" s="1066">
        <v>132</v>
      </c>
      <c r="C382" s="831">
        <v>1.0317404615488825</v>
      </c>
      <c r="D382" s="831">
        <v>1.0230919397991312</v>
      </c>
      <c r="E382" s="831">
        <v>1.0137182514670033</v>
      </c>
      <c r="F382" s="831">
        <v>1.0066538216637395</v>
      </c>
      <c r="G382" s="831">
        <v>0.96354788390722246</v>
      </c>
      <c r="H382" s="831">
        <v>0.98911356345634927</v>
      </c>
      <c r="I382" s="831">
        <v>0.98949311594338274</v>
      </c>
      <c r="K382">
        <v>1.7105461792841123</v>
      </c>
      <c r="L382">
        <v>0</v>
      </c>
      <c r="M382">
        <v>1.2771906866733327E-3</v>
      </c>
      <c r="N382">
        <v>0.13425234218087995</v>
      </c>
      <c r="O382">
        <v>1.7109851020485154E-2</v>
      </c>
      <c r="P382">
        <v>1.9811598731798968E-2</v>
      </c>
      <c r="Q382">
        <v>2.1066711521803205E-3</v>
      </c>
      <c r="R382">
        <v>1.269224083724292E-3</v>
      </c>
      <c r="S382">
        <v>0.14436095466412893</v>
      </c>
      <c r="T382">
        <v>1.0701482939221134</v>
      </c>
      <c r="U382">
        <v>2.2605033695480628E-2</v>
      </c>
      <c r="V382">
        <v>0.20085248900865077</v>
      </c>
      <c r="W382">
        <v>7.9502495255584338E-2</v>
      </c>
      <c r="X382">
        <v>1.6350006699464886E-2</v>
      </c>
      <c r="Y382">
        <v>3.4544095562907707E-3</v>
      </c>
    </row>
    <row r="383" spans="1:25" x14ac:dyDescent="0.25">
      <c r="A383" s="827"/>
      <c r="B383" s="1066">
        <v>133</v>
      </c>
      <c r="C383" s="831">
        <v>1.007273415521833</v>
      </c>
      <c r="D383" s="831">
        <v>1.0268279719688447</v>
      </c>
      <c r="E383" s="831">
        <v>1.0273157271121316</v>
      </c>
      <c r="F383" s="831">
        <v>1.0138064925210379</v>
      </c>
      <c r="G383" s="831">
        <v>0.97649251987358365</v>
      </c>
      <c r="H383" s="831">
        <v>0.97667704870742655</v>
      </c>
      <c r="I383" s="831">
        <v>1.0050996109127999</v>
      </c>
      <c r="K383">
        <v>1.7224237680101622</v>
      </c>
      <c r="L383">
        <v>0</v>
      </c>
      <c r="M383">
        <v>1.2531248697864046E-3</v>
      </c>
      <c r="N383">
        <v>0.13739443722136571</v>
      </c>
      <c r="O383">
        <v>1.7496627081112243E-2</v>
      </c>
      <c r="P383">
        <v>2.0097005566022678E-2</v>
      </c>
      <c r="Q383">
        <v>2.1842483001385496E-3</v>
      </c>
      <c r="R383">
        <v>1.2452065281202541E-3</v>
      </c>
      <c r="S383">
        <v>0.14909311388772387</v>
      </c>
      <c r="T383">
        <v>1.0689522285877866</v>
      </c>
      <c r="U383">
        <v>2.3154118374325027E-2</v>
      </c>
      <c r="V383">
        <v>0.20301496016812506</v>
      </c>
      <c r="W383">
        <v>8.0620349004899158E-2</v>
      </c>
      <c r="X383">
        <v>1.7035556473006315E-2</v>
      </c>
      <c r="Y383">
        <v>3.3890416873216568E-3</v>
      </c>
    </row>
    <row r="384" spans="1:25" x14ac:dyDescent="0.25">
      <c r="A384" s="827"/>
      <c r="B384" s="1066">
        <v>134</v>
      </c>
      <c r="C384" s="831">
        <v>1.0024814801063258</v>
      </c>
      <c r="D384" s="831">
        <v>0.98470399545986009</v>
      </c>
      <c r="E384" s="831">
        <v>1.0137861748513111</v>
      </c>
      <c r="F384" s="831">
        <v>0.99594681867297363</v>
      </c>
      <c r="G384" s="831">
        <v>1.022014517153869</v>
      </c>
      <c r="H384" s="831">
        <v>0.9563113963020633</v>
      </c>
      <c r="I384" s="831">
        <v>0.99078689869794756</v>
      </c>
      <c r="K384">
        <v>1.7261551800621122</v>
      </c>
      <c r="L384">
        <v>0</v>
      </c>
      <c r="M384">
        <v>1.2928627126268435E-3</v>
      </c>
      <c r="N384">
        <v>0.13590187913126686</v>
      </c>
      <c r="O384">
        <v>1.7916795843967836E-2</v>
      </c>
      <c r="P384">
        <v>1.9972302102656138E-2</v>
      </c>
      <c r="Q384">
        <v>2.1992848261293448E-3</v>
      </c>
      <c r="R384">
        <v>1.2845476366506025E-3</v>
      </c>
      <c r="S384">
        <v>0.14880374452098788</v>
      </c>
      <c r="T384">
        <v>1.0701423018232881</v>
      </c>
      <c r="U384">
        <v>2.326479676794584E-2</v>
      </c>
      <c r="V384">
        <v>0.20733932259487184</v>
      </c>
      <c r="W384">
        <v>8.0475625044549984E-2</v>
      </c>
      <c r="X384">
        <v>1.6651327266474114E-2</v>
      </c>
      <c r="Y384">
        <v>3.4961152159483236E-3</v>
      </c>
    </row>
    <row r="385" spans="1:25" x14ac:dyDescent="0.25">
      <c r="A385" s="827"/>
      <c r="B385" s="1066">
        <v>135</v>
      </c>
      <c r="C385" s="831">
        <v>0.98320273291876148</v>
      </c>
      <c r="D385" s="831">
        <v>1.0132335665282111</v>
      </c>
      <c r="E385" s="831">
        <v>1.0021456679974308</v>
      </c>
      <c r="F385" s="831">
        <v>0.96308887639084606</v>
      </c>
      <c r="G385" s="831">
        <v>0.97502754102867517</v>
      </c>
      <c r="H385" s="831">
        <v>1.0125402552944853</v>
      </c>
      <c r="I385" s="831">
        <v>0.99870858453328881</v>
      </c>
      <c r="K385">
        <v>1.7461497467970497</v>
      </c>
      <c r="L385">
        <v>0</v>
      </c>
      <c r="M385">
        <v>1.412033615725462E-3</v>
      </c>
      <c r="N385">
        <v>0.14320208034011203</v>
      </c>
      <c r="O385">
        <v>1.8033264417721889E-2</v>
      </c>
      <c r="P385">
        <v>1.990121147341543E-2</v>
      </c>
      <c r="Q385">
        <v>2.1930756121532652E-3</v>
      </c>
      <c r="R385">
        <v>1.403436416103628E-3</v>
      </c>
      <c r="S385">
        <v>0.15521086616080731</v>
      </c>
      <c r="T385">
        <v>1.0711717569223567</v>
      </c>
      <c r="U385">
        <v>2.3720975458507199E-2</v>
      </c>
      <c r="V385">
        <v>0.20679527861616992</v>
      </c>
      <c r="W385">
        <v>8.5472850592797966E-2</v>
      </c>
      <c r="X385">
        <v>1.663729312068685E-2</v>
      </c>
      <c r="Y385">
        <v>3.8196912819438451E-3</v>
      </c>
    </row>
    <row r="386" spans="1:25" x14ac:dyDescent="0.25">
      <c r="A386" s="827"/>
      <c r="B386" s="1066">
        <v>136</v>
      </c>
      <c r="C386" s="831">
        <v>1.0006582998242792</v>
      </c>
      <c r="D386" s="831">
        <v>1.0006044045913054</v>
      </c>
      <c r="E386" s="831">
        <v>1.0000085112393997</v>
      </c>
      <c r="F386" s="831">
        <v>0.96811865249860396</v>
      </c>
      <c r="G386" s="831">
        <v>0.9971182583433511</v>
      </c>
      <c r="H386" s="831">
        <v>1.0071808835364482</v>
      </c>
      <c r="I386" s="831">
        <v>0.99748451629357116</v>
      </c>
      <c r="K386">
        <v>1.7378095734010288</v>
      </c>
      <c r="L386">
        <v>0</v>
      </c>
      <c r="M386">
        <v>1.3941678982318619E-3</v>
      </c>
      <c r="N386">
        <v>0.14044962065160238</v>
      </c>
      <c r="O386">
        <v>1.7819561026440486E-2</v>
      </c>
      <c r="P386">
        <v>1.9822472239229359E-2</v>
      </c>
      <c r="Q386">
        <v>2.1602248676526859E-3</v>
      </c>
      <c r="R386">
        <v>1.38564298964179E-3</v>
      </c>
      <c r="S386">
        <v>0.1527280097405459</v>
      </c>
      <c r="T386">
        <v>1.0713613175773189</v>
      </c>
      <c r="U386">
        <v>2.3307184782656348E-2</v>
      </c>
      <c r="V386">
        <v>0.20605486124807418</v>
      </c>
      <c r="W386">
        <v>8.3952577881085524E-2</v>
      </c>
      <c r="X386">
        <v>1.6391004854294431E-2</v>
      </c>
      <c r="Y386">
        <v>3.7712634407161797E-3</v>
      </c>
    </row>
    <row r="387" spans="1:25" x14ac:dyDescent="0.25">
      <c r="A387" s="827"/>
      <c r="B387" s="1066">
        <v>137</v>
      </c>
      <c r="C387" s="831">
        <v>0.96261287301630849</v>
      </c>
      <c r="D387" s="831">
        <v>0.99240316794057437</v>
      </c>
      <c r="E387" s="831">
        <v>0.98015265093037285</v>
      </c>
      <c r="F387" s="831">
        <v>1.0209004591709481</v>
      </c>
      <c r="G387" s="831">
        <v>0.99710313386145832</v>
      </c>
      <c r="H387" s="831">
        <v>1.0125271672412846</v>
      </c>
      <c r="I387" s="831">
        <v>1.000165274638213</v>
      </c>
      <c r="K387">
        <v>1.761246953443252</v>
      </c>
      <c r="L387">
        <v>0</v>
      </c>
      <c r="M387">
        <v>1.5247486358630602E-3</v>
      </c>
      <c r="N387">
        <v>0.14440156201382076</v>
      </c>
      <c r="O387">
        <v>1.8593058090192245E-2</v>
      </c>
      <c r="P387">
        <v>1.9731732123680443E-2</v>
      </c>
      <c r="Q387">
        <v>2.2077172314431512E-3</v>
      </c>
      <c r="R387">
        <v>1.5154807225291936E-3</v>
      </c>
      <c r="S387">
        <v>0.16013635864213441</v>
      </c>
      <c r="T387">
        <v>1.0731307152706444</v>
      </c>
      <c r="U387">
        <v>2.4228356540904133E-2</v>
      </c>
      <c r="V387">
        <v>0.21108761194765413</v>
      </c>
      <c r="W387">
        <v>8.7503796963293273E-2</v>
      </c>
      <c r="X387">
        <v>1.6110673584179034E-2</v>
      </c>
      <c r="Y387">
        <v>4.1246389486385478E-3</v>
      </c>
    </row>
    <row r="388" spans="1:25" x14ac:dyDescent="0.25">
      <c r="A388" s="827"/>
      <c r="B388" s="1066">
        <v>138</v>
      </c>
      <c r="C388" s="831">
        <v>0.95989854721249002</v>
      </c>
      <c r="D388" s="831">
        <v>0.9922606035423549</v>
      </c>
      <c r="E388" s="831">
        <v>0.99682899391188773</v>
      </c>
      <c r="F388" s="831">
        <v>1.0115471234215891</v>
      </c>
      <c r="G388" s="831">
        <v>1.008807505876389</v>
      </c>
      <c r="H388" s="831">
        <v>0.96401174721174676</v>
      </c>
      <c r="I388" s="831">
        <v>1.0206369928929198</v>
      </c>
      <c r="K388">
        <v>1.7528679327013268</v>
      </c>
      <c r="L388">
        <v>0</v>
      </c>
      <c r="M388">
        <v>1.4057360809333938E-3</v>
      </c>
      <c r="N388">
        <v>0.1401829044467541</v>
      </c>
      <c r="O388">
        <v>1.8646848599977235E-2</v>
      </c>
      <c r="P388">
        <v>1.996713824613874E-2</v>
      </c>
      <c r="Q388">
        <v>2.2517466029041127E-3</v>
      </c>
      <c r="R388">
        <v>1.3967616533584215E-3</v>
      </c>
      <c r="S388">
        <v>0.16016977396267579</v>
      </c>
      <c r="T388">
        <v>1.0716436520991477</v>
      </c>
      <c r="U388">
        <v>2.4296867586716255E-2</v>
      </c>
      <c r="V388">
        <v>0.21142166062876097</v>
      </c>
      <c r="W388">
        <v>8.3975847568045547E-2</v>
      </c>
      <c r="X388">
        <v>1.6518942609693905E-2</v>
      </c>
      <c r="Y388">
        <v>3.8015247780863412E-3</v>
      </c>
    </row>
    <row r="389" spans="1:25" x14ac:dyDescent="0.25">
      <c r="A389" s="827"/>
      <c r="B389" s="1066">
        <v>139</v>
      </c>
      <c r="C389" s="831">
        <v>1.011089814951194</v>
      </c>
      <c r="D389" s="831">
        <v>0.99495033784514841</v>
      </c>
      <c r="E389" s="831">
        <v>1.014610793776495</v>
      </c>
      <c r="F389" s="831">
        <v>0.97346171146929328</v>
      </c>
      <c r="G389" s="831">
        <v>0.97653485280844321</v>
      </c>
      <c r="H389" s="831">
        <v>0.98601360309773423</v>
      </c>
      <c r="I389" s="831">
        <v>1.032866597139102</v>
      </c>
      <c r="K389">
        <v>1.7344673994397555</v>
      </c>
      <c r="L389">
        <v>0</v>
      </c>
      <c r="M389">
        <v>1.3131979508677661E-3</v>
      </c>
      <c r="N389">
        <v>0.13841992701011543</v>
      </c>
      <c r="O389">
        <v>1.7681052343541254E-2</v>
      </c>
      <c r="P389">
        <v>2.0044820160407144E-2</v>
      </c>
      <c r="Q389">
        <v>2.1739870159628591E-3</v>
      </c>
      <c r="R389">
        <v>1.3049995587494081E-3</v>
      </c>
      <c r="S389">
        <v>0.15532690239539465</v>
      </c>
      <c r="T389">
        <v>1.0700695691084763</v>
      </c>
      <c r="U389">
        <v>2.3066722217381836E-2</v>
      </c>
      <c r="V389">
        <v>0.20546329757425252</v>
      </c>
      <c r="W389">
        <v>8.1920931095231325E-2</v>
      </c>
      <c r="X389">
        <v>1.6756610305181267E-2</v>
      </c>
      <c r="Y389">
        <v>3.5517786059269646E-3</v>
      </c>
    </row>
    <row r="390" spans="1:25" x14ac:dyDescent="0.25">
      <c r="A390" s="827"/>
      <c r="B390" s="1066">
        <v>140</v>
      </c>
      <c r="C390" s="831">
        <v>0.96565231756680692</v>
      </c>
      <c r="D390" s="831">
        <v>1.0263238200566087</v>
      </c>
      <c r="E390" s="831">
        <v>0.99877652936541417</v>
      </c>
      <c r="F390" s="831">
        <v>0.99538573972461142</v>
      </c>
      <c r="G390" s="831">
        <v>0.99547090902862723</v>
      </c>
      <c r="H390" s="831">
        <v>1.014595552850788</v>
      </c>
      <c r="I390" s="831">
        <v>1.0166261653352358</v>
      </c>
      <c r="K390">
        <v>1.7556954603817045</v>
      </c>
      <c r="L390">
        <v>0</v>
      </c>
      <c r="M390">
        <v>1.4424905574011672E-3</v>
      </c>
      <c r="N390">
        <v>0.14476643950556445</v>
      </c>
      <c r="O390">
        <v>1.8254806450329456E-2</v>
      </c>
      <c r="P390">
        <v>1.9939283345092061E-2</v>
      </c>
      <c r="Q390">
        <v>2.2148194948183493E-3</v>
      </c>
      <c r="R390">
        <v>1.4337166355850766E-3</v>
      </c>
      <c r="S390">
        <v>0.16016699921622318</v>
      </c>
      <c r="T390">
        <v>1.0714706697377201</v>
      </c>
      <c r="U390">
        <v>2.4152096436810624E-2</v>
      </c>
      <c r="V390">
        <v>0.20756513596530099</v>
      </c>
      <c r="W390">
        <v>8.6605926595711119E-2</v>
      </c>
      <c r="X390">
        <v>1.6665953498447895E-2</v>
      </c>
      <c r="Y390">
        <v>3.9021040575006778E-3</v>
      </c>
    </row>
    <row r="391" spans="1:25" x14ac:dyDescent="0.25">
      <c r="A391" s="827"/>
      <c r="B391" s="1066">
        <v>141</v>
      </c>
      <c r="C391" s="831">
        <v>1.0043293940954814</v>
      </c>
      <c r="D391" s="831">
        <v>1.036377591772907</v>
      </c>
      <c r="E391" s="831">
        <v>0.9992287656319806</v>
      </c>
      <c r="F391" s="831">
        <v>0.99852900163126113</v>
      </c>
      <c r="G391" s="831">
        <v>1.0031061859074759</v>
      </c>
      <c r="H391" s="831">
        <v>0.99975918531366204</v>
      </c>
      <c r="I391" s="831">
        <v>0.99282332042119403</v>
      </c>
      <c r="K391">
        <v>1.7232776154656915</v>
      </c>
      <c r="L391">
        <v>0</v>
      </c>
      <c r="M391">
        <v>1.3593705435301674E-3</v>
      </c>
      <c r="N391">
        <v>0.13660364796718708</v>
      </c>
      <c r="O391">
        <v>1.7474755236529936E-2</v>
      </c>
      <c r="P391">
        <v>1.9707939323860377E-2</v>
      </c>
      <c r="Q391">
        <v>2.12280998292085E-3</v>
      </c>
      <c r="R391">
        <v>1.3509729381006406E-3</v>
      </c>
      <c r="S391">
        <v>0.14875164764980894</v>
      </c>
      <c r="T391">
        <v>1.0714305220608371</v>
      </c>
      <c r="U391">
        <v>2.3221990748670568E-2</v>
      </c>
      <c r="V391">
        <v>0.20249619545462183</v>
      </c>
      <c r="W391">
        <v>8.1697268337534767E-2</v>
      </c>
      <c r="X391">
        <v>1.6102333319747985E-2</v>
      </c>
      <c r="Y391">
        <v>3.6769029894005889E-3</v>
      </c>
    </row>
    <row r="392" spans="1:25" x14ac:dyDescent="0.25">
      <c r="A392" s="827"/>
      <c r="B392" s="1066">
        <v>142</v>
      </c>
      <c r="C392" s="831">
        <v>0.9837974536570544</v>
      </c>
      <c r="D392" s="831">
        <v>0.99097827176679942</v>
      </c>
      <c r="E392" s="831">
        <v>0.98541415889762729</v>
      </c>
      <c r="F392" s="831">
        <v>0.99540814961741986</v>
      </c>
      <c r="G392" s="831">
        <v>0.97348110907333152</v>
      </c>
      <c r="H392" s="831">
        <v>1.0230981261073717</v>
      </c>
      <c r="I392" s="831">
        <v>0.99624600244663442</v>
      </c>
      <c r="K392">
        <v>1.7527431643325433</v>
      </c>
      <c r="L392">
        <v>0</v>
      </c>
      <c r="M392">
        <v>1.491895021170373E-3</v>
      </c>
      <c r="N392">
        <v>0.1436341654577421</v>
      </c>
      <c r="O392">
        <v>1.8204540861805635E-2</v>
      </c>
      <c r="P392">
        <v>1.9723211478726632E-2</v>
      </c>
      <c r="Q392">
        <v>2.1729007736110604E-3</v>
      </c>
      <c r="R392">
        <v>1.4829215533877136E-3</v>
      </c>
      <c r="S392">
        <v>0.15693894967295227</v>
      </c>
      <c r="T392">
        <v>1.0726604056534295</v>
      </c>
      <c r="U392">
        <v>2.3706635762886657E-2</v>
      </c>
      <c r="V392">
        <v>0.20880445309895287</v>
      </c>
      <c r="W392">
        <v>8.6722199882496936E-2</v>
      </c>
      <c r="X392">
        <v>1.6148651534358648E-2</v>
      </c>
      <c r="Y392">
        <v>4.0360236233626615E-3</v>
      </c>
    </row>
    <row r="393" spans="1:25" x14ac:dyDescent="0.25">
      <c r="A393" s="827"/>
      <c r="B393" s="1066">
        <v>143</v>
      </c>
      <c r="C393" s="831">
        <v>0.99087309875226415</v>
      </c>
      <c r="D393" s="831">
        <v>0.96268671986237786</v>
      </c>
      <c r="E393" s="831">
        <v>1.0358337635758113</v>
      </c>
      <c r="F393" s="831">
        <v>0.9670922006529572</v>
      </c>
      <c r="G393" s="831">
        <v>1.0179289746385425</v>
      </c>
      <c r="H393" s="831">
        <v>0.98925494817413984</v>
      </c>
      <c r="I393" s="831">
        <v>1.0020726686163888</v>
      </c>
      <c r="K393">
        <v>1.7538164042017512</v>
      </c>
      <c r="L393">
        <v>0</v>
      </c>
      <c r="M393">
        <v>1.3047774570119309E-3</v>
      </c>
      <c r="N393">
        <v>0.1469071324152055</v>
      </c>
      <c r="O393">
        <v>1.8313914907611882E-2</v>
      </c>
      <c r="P393">
        <v>2.042382499966542E-2</v>
      </c>
      <c r="Q393">
        <v>2.2933999903613626E-3</v>
      </c>
      <c r="R393">
        <v>1.2966803506163057E-3</v>
      </c>
      <c r="S393">
        <v>0.15613309805150344</v>
      </c>
      <c r="T393">
        <v>1.0682065336471449</v>
      </c>
      <c r="U393">
        <v>2.3537350976297125E-2</v>
      </c>
      <c r="V393">
        <v>0.21076851620804357</v>
      </c>
      <c r="W393">
        <v>8.5712096619719735E-2</v>
      </c>
      <c r="X393">
        <v>1.7999497028779135E-2</v>
      </c>
      <c r="Y393">
        <v>3.5291364638148845E-3</v>
      </c>
    </row>
    <row r="394" spans="1:25" x14ac:dyDescent="0.25">
      <c r="A394" s="827"/>
      <c r="B394" s="1066">
        <v>144</v>
      </c>
      <c r="C394" s="831">
        <v>1.0004229503208553</v>
      </c>
      <c r="D394" s="831">
        <v>1.0046853029805245</v>
      </c>
      <c r="E394" s="831">
        <v>0.9830218817965124</v>
      </c>
      <c r="F394" s="831">
        <v>1.0152822276036986</v>
      </c>
      <c r="G394" s="831">
        <v>0.98186377366576416</v>
      </c>
      <c r="H394" s="831">
        <v>1.0152042202359124</v>
      </c>
      <c r="I394" s="831">
        <v>1.0076961674883</v>
      </c>
      <c r="K394">
        <v>1.7387394818636179</v>
      </c>
      <c r="L394">
        <v>0</v>
      </c>
      <c r="M394">
        <v>1.454048749761166E-3</v>
      </c>
      <c r="N394">
        <v>0.13894373634986187</v>
      </c>
      <c r="O394">
        <v>1.7790933145068237E-2</v>
      </c>
      <c r="P394">
        <v>1.9612447746849063E-2</v>
      </c>
      <c r="Q394">
        <v>2.1207769214918173E-3</v>
      </c>
      <c r="R394">
        <v>1.4452250345505164E-3</v>
      </c>
      <c r="S394">
        <v>0.1546462227298547</v>
      </c>
      <c r="T394">
        <v>1.072874114721782</v>
      </c>
      <c r="U394">
        <v>2.3312667797978019E-2</v>
      </c>
      <c r="V394">
        <v>0.20570598260891765</v>
      </c>
      <c r="W394">
        <v>8.4029212356906524E-2</v>
      </c>
      <c r="X394">
        <v>1.5778785074377074E-2</v>
      </c>
      <c r="Y394">
        <v>3.9334261257419059E-3</v>
      </c>
    </row>
    <row r="395" spans="1:25" x14ac:dyDescent="0.25">
      <c r="A395" s="827"/>
      <c r="B395" s="1066">
        <v>145</v>
      </c>
      <c r="C395" s="831">
        <v>0.98535738527972339</v>
      </c>
      <c r="D395" s="831">
        <v>1.0180290349138263</v>
      </c>
      <c r="E395" s="831">
        <v>0.98814569966675125</v>
      </c>
      <c r="F395" s="831">
        <v>1.0245846743310647</v>
      </c>
      <c r="G395" s="831">
        <v>1.0026354999133336</v>
      </c>
      <c r="H395" s="831">
        <v>0.99955265325055953</v>
      </c>
      <c r="I395" s="831">
        <v>1.0034056757541896</v>
      </c>
      <c r="K395">
        <v>1.7386014803113374</v>
      </c>
      <c r="L395">
        <v>0</v>
      </c>
      <c r="M395">
        <v>1.4294080148156722E-3</v>
      </c>
      <c r="N395">
        <v>0.13877211456537633</v>
      </c>
      <c r="O395">
        <v>1.7955458359152215E-2</v>
      </c>
      <c r="P395">
        <v>1.9688957557725564E-2</v>
      </c>
      <c r="Q395">
        <v>2.1538447077719628E-3</v>
      </c>
      <c r="R395">
        <v>1.420588585304313E-3</v>
      </c>
      <c r="S395">
        <v>0.15435375873007168</v>
      </c>
      <c r="T395">
        <v>1.072416652465878</v>
      </c>
      <c r="U395">
        <v>2.3669105490778185E-2</v>
      </c>
      <c r="V395">
        <v>0.20612749756697121</v>
      </c>
      <c r="W395">
        <v>8.3628726766954639E-2</v>
      </c>
      <c r="X395">
        <v>1.5977809697873626E-2</v>
      </c>
      <c r="Y395">
        <v>3.8663738322970518E-3</v>
      </c>
    </row>
    <row r="396" spans="1:25" x14ac:dyDescent="0.25">
      <c r="A396" s="827"/>
      <c r="B396" s="1066">
        <v>146</v>
      </c>
      <c r="C396" s="831">
        <v>0.99053797481466566</v>
      </c>
      <c r="D396" s="831">
        <v>1.0042414520330669</v>
      </c>
      <c r="E396" s="831">
        <v>0.99147150689664554</v>
      </c>
      <c r="F396" s="831">
        <v>0.99582468462294549</v>
      </c>
      <c r="G396" s="831">
        <v>0.98649498250989343</v>
      </c>
      <c r="H396" s="831">
        <v>0.97543615965780273</v>
      </c>
      <c r="I396" s="831">
        <v>1.0305748606947744</v>
      </c>
      <c r="K396">
        <v>1.7366702359314889</v>
      </c>
      <c r="L396">
        <v>0</v>
      </c>
      <c r="M396">
        <v>1.3864720064060002E-3</v>
      </c>
      <c r="N396">
        <v>0.13598484265988681</v>
      </c>
      <c r="O396">
        <v>1.7972070961285426E-2</v>
      </c>
      <c r="P396">
        <v>1.977514021190294E-2</v>
      </c>
      <c r="Q396">
        <v>2.1606951732246345E-3</v>
      </c>
      <c r="R396">
        <v>1.3777156669977815E-3</v>
      </c>
      <c r="S396">
        <v>0.15680039941409804</v>
      </c>
      <c r="T396">
        <v>1.0721202482339136</v>
      </c>
      <c r="U396">
        <v>2.3545314254778529E-2</v>
      </c>
      <c r="V396">
        <v>0.2068145279416671</v>
      </c>
      <c r="W396">
        <v>8.1761417040491779E-2</v>
      </c>
      <c r="X396">
        <v>1.5994648497926072E-2</v>
      </c>
      <c r="Y396">
        <v>3.7496878817203953E-3</v>
      </c>
    </row>
    <row r="397" spans="1:25" x14ac:dyDescent="0.25">
      <c r="A397" s="827"/>
      <c r="B397" s="1066">
        <v>147</v>
      </c>
      <c r="C397" s="831">
        <v>0.99462906689719299</v>
      </c>
      <c r="D397" s="831">
        <v>1.0106516420158143</v>
      </c>
      <c r="E397" s="831">
        <v>1.0305078482633885</v>
      </c>
      <c r="F397" s="831">
        <v>1.0181538323925723</v>
      </c>
      <c r="G397" s="831">
        <v>0.98031060591541674</v>
      </c>
      <c r="H397" s="831">
        <v>1.0186970126905301</v>
      </c>
      <c r="I397" s="831">
        <v>0.99498743050459559</v>
      </c>
      <c r="K397">
        <v>1.7454896507601392</v>
      </c>
      <c r="L397">
        <v>0</v>
      </c>
      <c r="M397">
        <v>1.324206762013996E-3</v>
      </c>
      <c r="N397">
        <v>0.1466735057311829</v>
      </c>
      <c r="O397">
        <v>1.7846682726744421E-2</v>
      </c>
      <c r="P397">
        <v>2.0243515178663692E-2</v>
      </c>
      <c r="Q397">
        <v>2.232116652787153E-3</v>
      </c>
      <c r="R397">
        <v>1.3161946808930452E-3</v>
      </c>
      <c r="S397">
        <v>0.15345801033895992</v>
      </c>
      <c r="T397">
        <v>1.0686724579862719</v>
      </c>
      <c r="U397">
        <v>2.3448468051571462E-2</v>
      </c>
      <c r="V397">
        <v>0.20578502576999069</v>
      </c>
      <c r="W397">
        <v>8.5881080753138245E-2</v>
      </c>
      <c r="X397">
        <v>1.7674551614018388E-2</v>
      </c>
      <c r="Y397">
        <v>3.5822480379309215E-3</v>
      </c>
    </row>
    <row r="398" spans="1:25" x14ac:dyDescent="0.25">
      <c r="A398" s="827"/>
      <c r="B398" s="1066">
        <v>148</v>
      </c>
      <c r="C398" s="831">
        <v>0.9678039320342986</v>
      </c>
      <c r="D398" s="831">
        <v>0.96747978576374793</v>
      </c>
      <c r="E398" s="831">
        <v>1.0235029177857524</v>
      </c>
      <c r="F398" s="831">
        <v>1.0065033988899486</v>
      </c>
      <c r="G398" s="831">
        <v>1.0126597847043797</v>
      </c>
      <c r="H398" s="831">
        <v>1.0316136471152357</v>
      </c>
      <c r="I398" s="831">
        <v>1.0055692437385613</v>
      </c>
      <c r="K398">
        <v>1.778568878630286</v>
      </c>
      <c r="L398">
        <v>0</v>
      </c>
      <c r="M398">
        <v>1.4266729144929713E-3</v>
      </c>
      <c r="N398">
        <v>0.15463826724231469</v>
      </c>
      <c r="O398">
        <v>1.8708144593161447E-2</v>
      </c>
      <c r="P398">
        <v>2.0394001270344752E-2</v>
      </c>
      <c r="Q398">
        <v>2.3153350732245943E-3</v>
      </c>
      <c r="R398">
        <v>1.4181793881850393E-3</v>
      </c>
      <c r="S398">
        <v>0.1632880842015022</v>
      </c>
      <c r="T398">
        <v>1.0692869052929683</v>
      </c>
      <c r="U398">
        <v>2.4098401676546019E-2</v>
      </c>
      <c r="V398">
        <v>0.21294923166480637</v>
      </c>
      <c r="W398">
        <v>9.0971565175801683E-2</v>
      </c>
      <c r="X398">
        <v>1.8067619173993577E-2</v>
      </c>
      <c r="Y398">
        <v>3.8598167919300062E-3</v>
      </c>
    </row>
    <row r="399" spans="1:25" x14ac:dyDescent="0.25">
      <c r="A399" s="827"/>
      <c r="B399" s="1066">
        <v>149</v>
      </c>
      <c r="C399" s="831">
        <v>0.99229327735777439</v>
      </c>
      <c r="D399" s="831">
        <v>1.0070160292063495</v>
      </c>
      <c r="E399" s="831">
        <v>1.0192577538721908</v>
      </c>
      <c r="F399" s="831">
        <v>1.0199091724454696</v>
      </c>
      <c r="G399" s="831">
        <v>1.026623989400218</v>
      </c>
      <c r="H399" s="831">
        <v>1.0314875877088763</v>
      </c>
      <c r="I399" s="831">
        <v>1.0037612781305074</v>
      </c>
      <c r="K399">
        <v>1.751693918342361</v>
      </c>
      <c r="L399">
        <v>0</v>
      </c>
      <c r="M399">
        <v>1.3785786011288464E-3</v>
      </c>
      <c r="N399">
        <v>0.14746483792057663</v>
      </c>
      <c r="O399">
        <v>1.7917887427010063E-2</v>
      </c>
      <c r="P399">
        <v>2.0140285553831197E-2</v>
      </c>
      <c r="Q399">
        <v>2.2155128120105233E-3</v>
      </c>
      <c r="R399">
        <v>1.3703433815025702E-3</v>
      </c>
      <c r="S399">
        <v>0.15633377864717238</v>
      </c>
      <c r="T399">
        <v>1.0696601810263147</v>
      </c>
      <c r="U399">
        <v>2.3503664118742346E-2</v>
      </c>
      <c r="V399">
        <v>0.206369870755613</v>
      </c>
      <c r="W399">
        <v>8.7000156668787146E-2</v>
      </c>
      <c r="X399">
        <v>1.7366355681053346E-2</v>
      </c>
      <c r="Y399">
        <v>3.7296229508756908E-3</v>
      </c>
    </row>
    <row r="400" spans="1:25" x14ac:dyDescent="0.25">
      <c r="A400" s="827"/>
      <c r="B400" s="1066">
        <v>150</v>
      </c>
      <c r="C400" s="831">
        <v>1.0084731224664965</v>
      </c>
      <c r="D400" s="831">
        <v>0.98465092653930386</v>
      </c>
      <c r="E400" s="831">
        <v>0.98820851493211659</v>
      </c>
      <c r="F400" s="831">
        <v>0.97253284755467284</v>
      </c>
      <c r="G400" s="831">
        <v>1.023215269611061</v>
      </c>
      <c r="H400" s="831">
        <v>1.0263327161826135</v>
      </c>
      <c r="I400" s="831">
        <v>0.97600361721842455</v>
      </c>
      <c r="K400">
        <v>1.7389582175002025</v>
      </c>
      <c r="L400">
        <v>0</v>
      </c>
      <c r="M400">
        <v>1.4556620541485883E-3</v>
      </c>
      <c r="N400">
        <v>0.14137381043075681</v>
      </c>
      <c r="O400">
        <v>1.7810782359534628E-2</v>
      </c>
      <c r="P400">
        <v>1.9639632468706324E-2</v>
      </c>
      <c r="Q400">
        <v>2.1307988259001653E-3</v>
      </c>
      <c r="R400">
        <v>1.4469386979081133E-3</v>
      </c>
      <c r="S400">
        <v>0.15061480712103156</v>
      </c>
      <c r="T400">
        <v>1.0724110503536741</v>
      </c>
      <c r="U400">
        <v>2.3126573607893056E-2</v>
      </c>
      <c r="V400">
        <v>0.20669944115186634</v>
      </c>
      <c r="W400">
        <v>8.5192903742828771E-2</v>
      </c>
      <c r="X400">
        <v>1.6029050641758691E-2</v>
      </c>
      <c r="Y400">
        <v>3.938090152492313E-3</v>
      </c>
    </row>
    <row r="401" spans="1:25" x14ac:dyDescent="0.25">
      <c r="A401" s="827"/>
      <c r="B401" s="1066">
        <v>151</v>
      </c>
      <c r="C401" s="831">
        <v>0.98479100593323587</v>
      </c>
      <c r="D401" s="831">
        <v>0.95874671695028846</v>
      </c>
      <c r="E401" s="831">
        <v>0.99165596528157729</v>
      </c>
      <c r="F401" s="831">
        <v>0.99191620277608938</v>
      </c>
      <c r="G401" s="831">
        <v>1.0052188384575615</v>
      </c>
      <c r="H401" s="831">
        <v>1.0315677659192215</v>
      </c>
      <c r="I401" s="831">
        <v>1.0068158608935469</v>
      </c>
      <c r="K401">
        <v>1.7668350536427961</v>
      </c>
      <c r="L401">
        <v>0</v>
      </c>
      <c r="M401">
        <v>1.5055629796415881E-3</v>
      </c>
      <c r="N401">
        <v>0.14780455376726115</v>
      </c>
      <c r="O401">
        <v>1.8461448313544498E-2</v>
      </c>
      <c r="P401">
        <v>1.990862497863103E-2</v>
      </c>
      <c r="Q401">
        <v>2.2114385465743119E-3</v>
      </c>
      <c r="R401">
        <v>1.4966061445973468E-3</v>
      </c>
      <c r="S401">
        <v>0.16127645213580635</v>
      </c>
      <c r="T401">
        <v>1.0721038210372047</v>
      </c>
      <c r="U401">
        <v>2.3682718219183593E-2</v>
      </c>
      <c r="V401">
        <v>0.21185705507016206</v>
      </c>
      <c r="W401">
        <v>8.8856782424478559E-2</v>
      </c>
      <c r="X401">
        <v>1.6607847415481589E-2</v>
      </c>
      <c r="Y401">
        <v>4.073268569511004E-3</v>
      </c>
    </row>
    <row r="402" spans="1:25" x14ac:dyDescent="0.25">
      <c r="A402" s="827"/>
      <c r="B402" s="1066">
        <v>152</v>
      </c>
      <c r="C402" s="831">
        <v>0.99609503737770111</v>
      </c>
      <c r="D402" s="831">
        <v>0.99718770390310962</v>
      </c>
      <c r="E402" s="831">
        <v>1.0034472774132339</v>
      </c>
      <c r="F402" s="831">
        <v>0.97958535666715674</v>
      </c>
      <c r="G402" s="831">
        <v>1.0077335486939443</v>
      </c>
      <c r="H402" s="831">
        <v>1.0069172194904501</v>
      </c>
      <c r="I402" s="831">
        <v>1.0258897415057353</v>
      </c>
      <c r="K402">
        <v>1.7460679362072391</v>
      </c>
      <c r="L402">
        <v>0</v>
      </c>
      <c r="M402">
        <v>1.3922354752779699E-3</v>
      </c>
      <c r="N402">
        <v>0.14176332391786883</v>
      </c>
      <c r="O402">
        <v>1.7928955599325998E-2</v>
      </c>
      <c r="P402">
        <v>1.9953839179526436E-2</v>
      </c>
      <c r="Q402">
        <v>2.1803933466485988E-3</v>
      </c>
      <c r="R402">
        <v>1.3837225276143947E-3</v>
      </c>
      <c r="S402">
        <v>0.15800163410138401</v>
      </c>
      <c r="T402">
        <v>1.0710563918043174</v>
      </c>
      <c r="U402">
        <v>2.3413958531207608E-2</v>
      </c>
      <c r="V402">
        <v>0.20686304151772864</v>
      </c>
      <c r="W402">
        <v>8.4538923625313581E-2</v>
      </c>
      <c r="X402">
        <v>1.6609950955422E-2</v>
      </c>
      <c r="Y402">
        <v>3.766036576157746E-3</v>
      </c>
    </row>
    <row r="403" spans="1:25" x14ac:dyDescent="0.25">
      <c r="A403" s="827"/>
      <c r="B403" s="1066">
        <v>153</v>
      </c>
      <c r="C403" s="831">
        <v>1.0350283628043759</v>
      </c>
      <c r="D403" s="831">
        <v>1.006001754861988</v>
      </c>
      <c r="E403" s="831">
        <v>0.98866622078542332</v>
      </c>
      <c r="F403" s="831">
        <v>1.0019451047431049</v>
      </c>
      <c r="G403" s="831">
        <v>0.99014191113113437</v>
      </c>
      <c r="H403" s="831">
        <v>1.0174769724263169</v>
      </c>
      <c r="I403" s="831">
        <v>1.0035426183718099</v>
      </c>
      <c r="K403">
        <v>1.7208397992294771</v>
      </c>
      <c r="L403">
        <v>0</v>
      </c>
      <c r="M403">
        <v>1.3911485939921205E-3</v>
      </c>
      <c r="N403">
        <v>0.13529241744009546</v>
      </c>
      <c r="O403">
        <v>1.7185916145043726E-2</v>
      </c>
      <c r="P403">
        <v>1.9551607003290592E-2</v>
      </c>
      <c r="Q403">
        <v>2.0606244802076159E-3</v>
      </c>
      <c r="R403">
        <v>1.3827245415768588E-3</v>
      </c>
      <c r="S403">
        <v>0.1489364859990126</v>
      </c>
      <c r="T403">
        <v>1.0723702348318573</v>
      </c>
      <c r="U403">
        <v>2.2533225886787817E-2</v>
      </c>
      <c r="V403">
        <v>0.20200615433959657</v>
      </c>
      <c r="W403">
        <v>8.1502475005879663E-2</v>
      </c>
      <c r="X403">
        <v>1.564576176297065E-2</v>
      </c>
      <c r="Y403">
        <v>3.763320387149582E-3</v>
      </c>
    </row>
    <row r="404" spans="1:25" x14ac:dyDescent="0.25">
      <c r="A404" s="827"/>
      <c r="B404" s="1066">
        <v>154</v>
      </c>
      <c r="C404" s="831">
        <v>0.96472520310872101</v>
      </c>
      <c r="D404" s="831">
        <v>0.96842308022327395</v>
      </c>
      <c r="E404" s="831">
        <v>1.0148175273298607</v>
      </c>
      <c r="F404" s="831">
        <v>0.98936054258628336</v>
      </c>
      <c r="G404" s="831">
        <v>0.95954424122167581</v>
      </c>
      <c r="H404" s="831">
        <v>1.027906407901384</v>
      </c>
      <c r="I404" s="831">
        <v>0.97863392948645922</v>
      </c>
      <c r="K404">
        <v>1.7732354783623019</v>
      </c>
      <c r="L404">
        <v>0</v>
      </c>
      <c r="M404">
        <v>1.4518418178716304E-3</v>
      </c>
      <c r="N404">
        <v>0.15317353492198177</v>
      </c>
      <c r="O404">
        <v>1.8759533134870846E-2</v>
      </c>
      <c r="P404">
        <v>2.0221740940616944E-2</v>
      </c>
      <c r="Q404">
        <v>2.3019123833862929E-3</v>
      </c>
      <c r="R404">
        <v>1.4431665776791498E-3</v>
      </c>
      <c r="S404">
        <v>0.15908262783205795</v>
      </c>
      <c r="T404">
        <v>1.0700513389114588</v>
      </c>
      <c r="U404">
        <v>2.4175306940410514E-2</v>
      </c>
      <c r="V404">
        <v>0.21321780352757322</v>
      </c>
      <c r="W404">
        <v>9.0639852940032933E-2</v>
      </c>
      <c r="X404">
        <v>1.7692678385395566E-2</v>
      </c>
      <c r="Y404">
        <v>3.9278236847081717E-3</v>
      </c>
    </row>
    <row r="405" spans="1:25" x14ac:dyDescent="0.25">
      <c r="A405" s="827"/>
      <c r="B405" s="1066">
        <v>155</v>
      </c>
      <c r="C405" s="831">
        <v>1.0025750938292843</v>
      </c>
      <c r="D405" s="831">
        <v>1.0199683105256392</v>
      </c>
      <c r="E405" s="831">
        <v>1.0161048404254818</v>
      </c>
      <c r="F405" s="831">
        <v>0.9737260619238256</v>
      </c>
      <c r="G405" s="831">
        <v>1.0281682691829639</v>
      </c>
      <c r="H405" s="831">
        <v>0.99700141415944665</v>
      </c>
      <c r="I405" s="831">
        <v>1.0353946854164797</v>
      </c>
      <c r="K405">
        <v>1.7362591517452923</v>
      </c>
      <c r="L405">
        <v>0</v>
      </c>
      <c r="M405">
        <v>1.3199896460241944E-3</v>
      </c>
      <c r="N405">
        <v>0.13979123412687638</v>
      </c>
      <c r="O405">
        <v>1.7631928082072472E-2</v>
      </c>
      <c r="P405">
        <v>2.0061463723105032E-2</v>
      </c>
      <c r="Q405">
        <v>2.1755847183506172E-3</v>
      </c>
      <c r="R405">
        <v>1.3118232324560355E-3</v>
      </c>
      <c r="S405">
        <v>0.15622850847273498</v>
      </c>
      <c r="T405">
        <v>1.0699378573509604</v>
      </c>
      <c r="U405">
        <v>2.3262624457609401E-2</v>
      </c>
      <c r="V405">
        <v>0.20410537820798297</v>
      </c>
      <c r="W405">
        <v>8.2648876510968847E-2</v>
      </c>
      <c r="X405">
        <v>1.6853512111867017E-2</v>
      </c>
      <c r="Y405">
        <v>3.5703503963329703E-3</v>
      </c>
    </row>
    <row r="406" spans="1:25" x14ac:dyDescent="0.25">
      <c r="A406" s="827"/>
      <c r="B406" s="1066">
        <v>156</v>
      </c>
      <c r="C406" s="831">
        <v>1.0080327650373251</v>
      </c>
      <c r="D406" s="831">
        <v>0.9722646541962604</v>
      </c>
      <c r="E406" s="831">
        <v>0.97296904644448456</v>
      </c>
      <c r="F406" s="831">
        <v>0.96744930734715329</v>
      </c>
      <c r="G406" s="831">
        <v>0.99071885946759441</v>
      </c>
      <c r="H406" s="831">
        <v>1.0127426548651111</v>
      </c>
      <c r="I406" s="831">
        <v>1.0115159940257181</v>
      </c>
      <c r="K406">
        <v>1.7422402988712531</v>
      </c>
      <c r="L406">
        <v>0</v>
      </c>
      <c r="M406">
        <v>1.4922810051828292E-3</v>
      </c>
      <c r="N406">
        <v>0.13819946505971464</v>
      </c>
      <c r="O406">
        <v>1.7921295862742069E-2</v>
      </c>
      <c r="P406">
        <v>1.9520335603987804E-2</v>
      </c>
      <c r="Q406">
        <v>2.1088620780116965E-3</v>
      </c>
      <c r="R406">
        <v>1.4832276487457493E-3</v>
      </c>
      <c r="S406">
        <v>0.1559975923394448</v>
      </c>
      <c r="T406">
        <v>1.0737745143854227</v>
      </c>
      <c r="U406">
        <v>2.3136676412933453E-2</v>
      </c>
      <c r="V406">
        <v>0.20792457876677073</v>
      </c>
      <c r="W406">
        <v>8.4164976629813509E-2</v>
      </c>
      <c r="X406">
        <v>1.5464198374825629E-2</v>
      </c>
      <c r="Y406">
        <v>4.0368567140229286E-3</v>
      </c>
    </row>
    <row r="407" spans="1:25" x14ac:dyDescent="0.25">
      <c r="A407" s="827"/>
      <c r="B407" s="1066">
        <v>157</v>
      </c>
      <c r="C407" s="831">
        <v>1.016442308502731</v>
      </c>
      <c r="D407" s="831">
        <v>0.99273391502681729</v>
      </c>
      <c r="E407" s="831">
        <v>1.0059153519324968</v>
      </c>
      <c r="F407" s="831">
        <v>1.0073886618727896</v>
      </c>
      <c r="G407" s="831">
        <v>1.0070548929612613</v>
      </c>
      <c r="H407" s="831">
        <v>0.99461029531470058</v>
      </c>
      <c r="I407" s="831">
        <v>0.95969334239766257</v>
      </c>
      <c r="K407">
        <v>1.7225879634433119</v>
      </c>
      <c r="L407">
        <v>0</v>
      </c>
      <c r="M407">
        <v>1.3434179079078513E-3</v>
      </c>
      <c r="N407">
        <v>0.1378363633726786</v>
      </c>
      <c r="O407">
        <v>1.7605734490227266E-2</v>
      </c>
      <c r="P407">
        <v>1.9768816995925215E-2</v>
      </c>
      <c r="Q407">
        <v>2.1456004598059391E-3</v>
      </c>
      <c r="R407">
        <v>1.3351048574877103E-3</v>
      </c>
      <c r="S407">
        <v>0.1442804042933496</v>
      </c>
      <c r="T407">
        <v>1.0708378154851552</v>
      </c>
      <c r="U407">
        <v>2.2945254937939741E-2</v>
      </c>
      <c r="V407">
        <v>0.20510164857606081</v>
      </c>
      <c r="W407">
        <v>8.205888401848857E-2</v>
      </c>
      <c r="X407">
        <v>1.6382038559217129E-2</v>
      </c>
      <c r="Y407">
        <v>3.6337153048835616E-3</v>
      </c>
    </row>
    <row r="408" spans="1:25" x14ac:dyDescent="0.25">
      <c r="A408" s="827"/>
      <c r="B408" s="1066">
        <v>158</v>
      </c>
      <c r="C408" s="831">
        <v>0.97241039434373777</v>
      </c>
      <c r="D408" s="831">
        <v>1.0021831353316746</v>
      </c>
      <c r="E408" s="831">
        <v>0.97861528130122666</v>
      </c>
      <c r="F408" s="831">
        <v>1.0272000157833776</v>
      </c>
      <c r="G408" s="831">
        <v>0.99701504434826416</v>
      </c>
      <c r="H408" s="831">
        <v>0.98017022386944741</v>
      </c>
      <c r="I408" s="831">
        <v>1.0138610217989521</v>
      </c>
      <c r="K408">
        <v>1.7446569412738144</v>
      </c>
      <c r="L408">
        <v>0</v>
      </c>
      <c r="M408">
        <v>1.4593822169754087E-3</v>
      </c>
      <c r="N408">
        <v>0.13752207923496593</v>
      </c>
      <c r="O408">
        <v>1.832411993639153E-2</v>
      </c>
      <c r="P408">
        <v>1.9645793873629802E-2</v>
      </c>
      <c r="Q408">
        <v>2.1741350451285062E-3</v>
      </c>
      <c r="R408">
        <v>1.4502114552613033E-3</v>
      </c>
      <c r="S408">
        <v>0.15762075694250366</v>
      </c>
      <c r="T408">
        <v>1.073268332332002</v>
      </c>
      <c r="U408">
        <v>2.39842437246294E-2</v>
      </c>
      <c r="V408">
        <v>0.20902728756722908</v>
      </c>
      <c r="W408">
        <v>8.3423984381155461E-2</v>
      </c>
      <c r="X408">
        <v>1.5728381478747423E-2</v>
      </c>
      <c r="Y408">
        <v>3.9469975191435231E-3</v>
      </c>
    </row>
    <row r="409" spans="1:25" x14ac:dyDescent="0.25">
      <c r="A409" s="827"/>
      <c r="B409" s="1066">
        <v>159</v>
      </c>
      <c r="C409" s="831">
        <v>0.97189273561902534</v>
      </c>
      <c r="D409" s="831">
        <v>1.0066954258173331</v>
      </c>
      <c r="E409" s="831">
        <v>0.97222298197809476</v>
      </c>
      <c r="F409" s="831">
        <v>0.98055153429580055</v>
      </c>
      <c r="G409" s="831">
        <v>1.0019437821999126</v>
      </c>
      <c r="H409" s="831">
        <v>1.0314763449810895</v>
      </c>
      <c r="I409" s="831">
        <v>1.0088029334242785</v>
      </c>
      <c r="K409">
        <v>1.7580333420060621</v>
      </c>
      <c r="L409">
        <v>0</v>
      </c>
      <c r="M409">
        <v>1.5541736645042128E-3</v>
      </c>
      <c r="N409">
        <v>0.14361040962196048</v>
      </c>
      <c r="O409">
        <v>1.8296630016011804E-2</v>
      </c>
      <c r="P409">
        <v>1.9590760834899072E-2</v>
      </c>
      <c r="Q409">
        <v>2.1575714091167158E-3</v>
      </c>
      <c r="R409">
        <v>1.5448896308286845E-3</v>
      </c>
      <c r="S409">
        <v>0.16043740036905518</v>
      </c>
      <c r="T409">
        <v>1.0738414881545613</v>
      </c>
      <c r="U409">
        <v>2.3997018439950012E-2</v>
      </c>
      <c r="V409">
        <v>0.20866039382910245</v>
      </c>
      <c r="W409">
        <v>8.7505825807081564E-2</v>
      </c>
      <c r="X409">
        <v>1.5740447255610648E-2</v>
      </c>
      <c r="Y409">
        <v>4.2046803023857464E-3</v>
      </c>
    </row>
    <row r="410" spans="1:25" x14ac:dyDescent="0.25">
      <c r="A410" s="827"/>
      <c r="B410" s="1066">
        <v>160</v>
      </c>
      <c r="C410" s="831">
        <v>0.97825810724482376</v>
      </c>
      <c r="D410" s="831">
        <v>1.0114193683977648</v>
      </c>
      <c r="E410" s="831">
        <v>0.98892466717444139</v>
      </c>
      <c r="F410" s="831">
        <v>0.98567980768198138</v>
      </c>
      <c r="G410" s="831">
        <v>1.0183784394206861</v>
      </c>
      <c r="H410" s="831">
        <v>1.0282011709897987</v>
      </c>
      <c r="I410" s="831">
        <v>0.99175237893424639</v>
      </c>
      <c r="K410">
        <v>1.7514802088605756</v>
      </c>
      <c r="L410">
        <v>0</v>
      </c>
      <c r="M410">
        <v>1.4829809011154783E-3</v>
      </c>
      <c r="N410">
        <v>0.14434822099822259</v>
      </c>
      <c r="O410">
        <v>1.8139111401138972E-2</v>
      </c>
      <c r="P410">
        <v>1.9745015922223483E-2</v>
      </c>
      <c r="Q410">
        <v>2.1764366182686987E-3</v>
      </c>
      <c r="R410">
        <v>1.4740905534906174E-3</v>
      </c>
      <c r="S410">
        <v>0.15615795266314675</v>
      </c>
      <c r="T410">
        <v>1.0723471915839882</v>
      </c>
      <c r="U410">
        <v>2.3840873615644225E-2</v>
      </c>
      <c r="V410">
        <v>0.2075079283653275</v>
      </c>
      <c r="W410">
        <v>8.6942349363370419E-2</v>
      </c>
      <c r="X410">
        <v>1.6272030124087161E-2</v>
      </c>
      <c r="Y410">
        <v>4.0119885527811015E-3</v>
      </c>
    </row>
    <row r="411" spans="1:25" x14ac:dyDescent="0.25">
      <c r="A411" s="827"/>
      <c r="B411" s="1066">
        <v>161</v>
      </c>
      <c r="C411" s="831">
        <v>0.98178676165298917</v>
      </c>
      <c r="D411" s="831">
        <v>1.0367170917952859</v>
      </c>
      <c r="E411" s="831">
        <v>1.0058721916906577</v>
      </c>
      <c r="F411" s="831">
        <v>0.99204106900292488</v>
      </c>
      <c r="G411" s="831">
        <v>0.99469526916570628</v>
      </c>
      <c r="H411" s="831">
        <v>0.97779121101199251</v>
      </c>
      <c r="I411" s="831">
        <v>1.0341034075578208</v>
      </c>
      <c r="K411">
        <v>1.7358383223672507</v>
      </c>
      <c r="L411">
        <v>0</v>
      </c>
      <c r="M411">
        <v>1.3409267638558986E-3</v>
      </c>
      <c r="N411">
        <v>0.13754451196294409</v>
      </c>
      <c r="O411">
        <v>1.7873349266051799E-2</v>
      </c>
      <c r="P411">
        <v>1.9948088122961193E-2</v>
      </c>
      <c r="Q411">
        <v>2.1858152948068216E-3</v>
      </c>
      <c r="R411">
        <v>1.3324567657825442E-3</v>
      </c>
      <c r="S411">
        <v>0.15683830617523728</v>
      </c>
      <c r="T411">
        <v>1.0708416358427051</v>
      </c>
      <c r="U411">
        <v>2.3755186777051386E-2</v>
      </c>
      <c r="V411">
        <v>0.20485444017819926</v>
      </c>
      <c r="W411">
        <v>8.1887542849984896E-2</v>
      </c>
      <c r="X411">
        <v>1.6491407823176065E-2</v>
      </c>
      <c r="Y411">
        <v>3.6265080722052961E-3</v>
      </c>
    </row>
    <row r="412" spans="1:25" x14ac:dyDescent="0.25">
      <c r="A412" s="827"/>
      <c r="B412" s="1066">
        <v>162</v>
      </c>
      <c r="C412" s="831">
        <v>0.97953493114382661</v>
      </c>
      <c r="D412" s="831">
        <v>1.0113036783913667</v>
      </c>
      <c r="E412" s="831">
        <v>1.0104571561744691</v>
      </c>
      <c r="F412" s="831">
        <v>1.039024377929503</v>
      </c>
      <c r="G412" s="831">
        <v>0.97275935395147295</v>
      </c>
      <c r="H412" s="831">
        <v>0.98036526405826563</v>
      </c>
      <c r="I412" s="831">
        <v>1.0347571693818696</v>
      </c>
      <c r="K412">
        <v>1.7453998478883923</v>
      </c>
      <c r="L412">
        <v>0</v>
      </c>
      <c r="M412">
        <v>1.3496118264054646E-3</v>
      </c>
      <c r="N412">
        <v>0.1404271236775331</v>
      </c>
      <c r="O412">
        <v>1.8116404494146306E-2</v>
      </c>
      <c r="P412">
        <v>2.007715790062739E-2</v>
      </c>
      <c r="Q412">
        <v>2.2212607489393707E-3</v>
      </c>
      <c r="R412">
        <v>1.3411263111961086E-3</v>
      </c>
      <c r="S412">
        <v>0.15911549895017105</v>
      </c>
      <c r="T412">
        <v>1.07043618821715</v>
      </c>
      <c r="U412">
        <v>2.3809797034056685E-2</v>
      </c>
      <c r="V412">
        <v>0.2073768943676261</v>
      </c>
      <c r="W412">
        <v>8.3343326727493325E-2</v>
      </c>
      <c r="X412">
        <v>1.6834577568950803E-2</v>
      </c>
      <c r="Y412">
        <v>3.6501037169061382E-3</v>
      </c>
    </row>
    <row r="413" spans="1:25" x14ac:dyDescent="0.25">
      <c r="A413" s="827"/>
      <c r="B413" s="1066">
        <v>163</v>
      </c>
      <c r="C413" s="831">
        <v>0.9643101427438675</v>
      </c>
      <c r="D413" s="831">
        <v>1.0369530910887388</v>
      </c>
      <c r="E413" s="831">
        <v>1.0227037820226157</v>
      </c>
      <c r="F413" s="831">
        <v>0.98391853675471608</v>
      </c>
      <c r="G413" s="831">
        <v>1.0000695949925278</v>
      </c>
      <c r="H413" s="831">
        <v>0.98685758728650785</v>
      </c>
      <c r="I413" s="831">
        <v>0.98070068166163293</v>
      </c>
      <c r="K413">
        <v>1.7422455182235674</v>
      </c>
      <c r="L413">
        <v>0</v>
      </c>
      <c r="M413">
        <v>1.3296628899576023E-3</v>
      </c>
      <c r="N413">
        <v>0.1437218618907907</v>
      </c>
      <c r="O413">
        <v>1.8195407740848803E-2</v>
      </c>
      <c r="P413">
        <v>2.0142749914326002E-2</v>
      </c>
      <c r="Q413">
        <v>2.262909891151613E-3</v>
      </c>
      <c r="R413">
        <v>1.3213410502794214E-3</v>
      </c>
      <c r="S413">
        <v>0.15207150805370911</v>
      </c>
      <c r="T413">
        <v>1.0693571208367554</v>
      </c>
      <c r="U413">
        <v>2.4185712525993726E-2</v>
      </c>
      <c r="V413">
        <v>0.20676282272637156</v>
      </c>
      <c r="W413">
        <v>8.4595100707395815E-2</v>
      </c>
      <c r="X413">
        <v>1.7362391017003737E-2</v>
      </c>
      <c r="Y413">
        <v>3.5962547589004257E-3</v>
      </c>
    </row>
    <row r="414" spans="1:25" x14ac:dyDescent="0.25">
      <c r="A414" s="827"/>
      <c r="B414" s="1066">
        <v>164</v>
      </c>
      <c r="C414" s="831">
        <v>0.99489535502134507</v>
      </c>
      <c r="D414" s="831">
        <v>1.0072555148760662</v>
      </c>
      <c r="E414" s="831">
        <v>0.97049131072163286</v>
      </c>
      <c r="F414" s="831">
        <v>0.999144374889682</v>
      </c>
      <c r="G414" s="831">
        <v>1.0103487584575572</v>
      </c>
      <c r="H414" s="831">
        <v>1.0183995156185275</v>
      </c>
      <c r="I414" s="831">
        <v>0.99220726767825518</v>
      </c>
      <c r="K414">
        <v>1.7380459681084048</v>
      </c>
      <c r="L414">
        <v>0</v>
      </c>
      <c r="M414">
        <v>1.5040657056238293E-3</v>
      </c>
      <c r="N414">
        <v>0.13822126040945426</v>
      </c>
      <c r="O414">
        <v>1.7869101299896856E-2</v>
      </c>
      <c r="P414">
        <v>1.9427977745371767E-2</v>
      </c>
      <c r="Q414">
        <v>2.1035286659083548E-3</v>
      </c>
      <c r="R414">
        <v>1.4949652179530191E-3</v>
      </c>
      <c r="S414">
        <v>0.15318091622034979</v>
      </c>
      <c r="T414">
        <v>1.073997019706431</v>
      </c>
      <c r="U414">
        <v>2.3442191965810114E-2</v>
      </c>
      <c r="V414">
        <v>0.20606574137902189</v>
      </c>
      <c r="W414">
        <v>8.4323945624757757E-2</v>
      </c>
      <c r="X414">
        <v>1.535458307095704E-2</v>
      </c>
      <c r="Y414">
        <v>4.0688025081164671E-3</v>
      </c>
    </row>
    <row r="415" spans="1:25" x14ac:dyDescent="0.25">
      <c r="A415" s="827"/>
      <c r="B415" s="1066">
        <v>165</v>
      </c>
      <c r="C415" s="831">
        <v>0.97660216820151347</v>
      </c>
      <c r="D415" s="831">
        <v>1.0015662318877148</v>
      </c>
      <c r="E415" s="831">
        <v>1.04142120955721</v>
      </c>
      <c r="F415" s="831">
        <v>0.95909520271927651</v>
      </c>
      <c r="G415" s="831">
        <v>0.97433457189258765</v>
      </c>
      <c r="H415" s="831">
        <v>1.0043519660154654</v>
      </c>
      <c r="I415" s="831">
        <v>0.96600375063311439</v>
      </c>
      <c r="K415">
        <v>1.7505959125798747</v>
      </c>
      <c r="L415">
        <v>0</v>
      </c>
      <c r="M415">
        <v>1.3046013239784422E-3</v>
      </c>
      <c r="N415">
        <v>0.14946660666163752</v>
      </c>
      <c r="O415">
        <v>1.8250557589994325E-2</v>
      </c>
      <c r="P415">
        <v>2.0405792585361068E-2</v>
      </c>
      <c r="Q415">
        <v>2.3056098298979439E-3</v>
      </c>
      <c r="R415">
        <v>1.2966009925049588E-3</v>
      </c>
      <c r="S415">
        <v>0.1512900462076239</v>
      </c>
      <c r="T415">
        <v>1.0677188876287933</v>
      </c>
      <c r="U415">
        <v>2.3881298503825147E-2</v>
      </c>
      <c r="V415">
        <v>0.20861085745821439</v>
      </c>
      <c r="W415">
        <v>8.688143444589988E-2</v>
      </c>
      <c r="X415">
        <v>1.8263901522903577E-2</v>
      </c>
      <c r="Y415">
        <v>3.528920477196191E-3</v>
      </c>
    </row>
    <row r="416" spans="1:25" x14ac:dyDescent="0.25">
      <c r="A416" s="827"/>
      <c r="B416" s="1066">
        <v>166</v>
      </c>
      <c r="C416" s="831">
        <v>1.0363784896508013</v>
      </c>
      <c r="D416" s="831">
        <v>0.97981305378488071</v>
      </c>
      <c r="E416" s="831">
        <v>1.0424738709168666</v>
      </c>
      <c r="F416" s="831">
        <v>0.99998988504646191</v>
      </c>
      <c r="G416" s="831">
        <v>1.005539191499786</v>
      </c>
      <c r="H416" s="831">
        <v>0.97092966278167658</v>
      </c>
      <c r="I416" s="831">
        <v>0.97001334314857213</v>
      </c>
      <c r="K416">
        <v>1.714613659797251</v>
      </c>
      <c r="L416">
        <v>0</v>
      </c>
      <c r="M416">
        <v>1.1976495439319269E-3</v>
      </c>
      <c r="N416">
        <v>0.13763431508463358</v>
      </c>
      <c r="O416">
        <v>1.7370003806349912E-2</v>
      </c>
      <c r="P416">
        <v>2.0210969712688123E-2</v>
      </c>
      <c r="Q416">
        <v>2.192668563424966E-3</v>
      </c>
      <c r="R416">
        <v>1.1900659115765422E-3</v>
      </c>
      <c r="S416">
        <v>0.14220190093288687</v>
      </c>
      <c r="T416">
        <v>1.0676271490638436</v>
      </c>
      <c r="U416">
        <v>2.2503871057919688E-2</v>
      </c>
      <c r="V416">
        <v>0.20423205582095186</v>
      </c>
      <c r="W416">
        <v>7.9947649517711689E-2</v>
      </c>
      <c r="X416">
        <v>1.746169276300601E-2</v>
      </c>
      <c r="Y416">
        <v>3.2389671061890312E-3</v>
      </c>
    </row>
    <row r="417" spans="1:25" x14ac:dyDescent="0.25">
      <c r="A417" s="827"/>
      <c r="B417" s="1066">
        <v>167</v>
      </c>
      <c r="C417" s="831">
        <v>0.99864734749662476</v>
      </c>
      <c r="D417" s="831">
        <v>1.0175316433687065</v>
      </c>
      <c r="E417" s="831">
        <v>0.98835746629656063</v>
      </c>
      <c r="F417" s="831">
        <v>0.99992734183349929</v>
      </c>
      <c r="G417" s="831">
        <v>1.0073247128128915</v>
      </c>
      <c r="H417" s="831">
        <v>0.98299283940535664</v>
      </c>
      <c r="I417" s="831">
        <v>0.99109601421730387</v>
      </c>
      <c r="K417">
        <v>1.7245797121237749</v>
      </c>
      <c r="L417">
        <v>0</v>
      </c>
      <c r="M417">
        <v>1.3867079983202115E-3</v>
      </c>
      <c r="N417">
        <v>0.13470138869800954</v>
      </c>
      <c r="O417">
        <v>1.772042190851085E-2</v>
      </c>
      <c r="P417">
        <v>1.9600270409926384E-2</v>
      </c>
      <c r="Q417">
        <v>2.1260220433755093E-3</v>
      </c>
      <c r="R417">
        <v>1.3780082338723961E-3</v>
      </c>
      <c r="S417">
        <v>0.14929113610352882</v>
      </c>
      <c r="T417">
        <v>1.0723977668794282</v>
      </c>
      <c r="U417">
        <v>2.3354117904350647E-2</v>
      </c>
      <c r="V417">
        <v>0.20473638236197583</v>
      </c>
      <c r="W417">
        <v>8.1163712470111421E-2</v>
      </c>
      <c r="X417">
        <v>1.5746708956694336E-2</v>
      </c>
      <c r="Y417">
        <v>3.750484152308452E-3</v>
      </c>
    </row>
    <row r="418" spans="1:25" x14ac:dyDescent="0.25">
      <c r="A418" s="827"/>
      <c r="B418" s="1066">
        <v>168</v>
      </c>
      <c r="C418" s="831">
        <v>0.99261572358884653</v>
      </c>
      <c r="D418" s="831">
        <v>0.97148232151772107</v>
      </c>
      <c r="E418" s="831">
        <v>0.97059373992683506</v>
      </c>
      <c r="F418" s="831">
        <v>0.97423097251295232</v>
      </c>
      <c r="G418" s="831">
        <v>0.9847728031680778</v>
      </c>
      <c r="H418" s="831">
        <v>1.003640300145449</v>
      </c>
      <c r="I418" s="831">
        <v>0.99359585821959573</v>
      </c>
      <c r="K418">
        <v>1.7450364569974579</v>
      </c>
      <c r="L418">
        <v>0</v>
      </c>
      <c r="M418">
        <v>1.5098875040893826E-3</v>
      </c>
      <c r="N418">
        <v>0.13879070680733649</v>
      </c>
      <c r="O418">
        <v>1.8206304325582508E-2</v>
      </c>
      <c r="P418">
        <v>1.950292785801171E-2</v>
      </c>
      <c r="Q418">
        <v>2.1370671162569271E-3</v>
      </c>
      <c r="R418">
        <v>1.5006448714041574E-3</v>
      </c>
      <c r="S418">
        <v>0.15500341862935069</v>
      </c>
      <c r="T418">
        <v>1.0739878168107482</v>
      </c>
      <c r="U418">
        <v>2.3496029071531886E-2</v>
      </c>
      <c r="V418">
        <v>0.20969930711189755</v>
      </c>
      <c r="W418">
        <v>8.4665286997163358E-2</v>
      </c>
      <c r="X418">
        <v>1.5472574249749608E-2</v>
      </c>
      <c r="Y418">
        <v>4.0842606525132094E-3</v>
      </c>
    </row>
    <row r="419" spans="1:25" x14ac:dyDescent="0.25">
      <c r="A419" s="827"/>
      <c r="B419" s="1066">
        <v>169</v>
      </c>
      <c r="C419" s="831">
        <v>1.0272753163967325</v>
      </c>
      <c r="D419" s="831">
        <v>1.0227131908943636</v>
      </c>
      <c r="E419" s="831">
        <v>1.0269286493829857</v>
      </c>
      <c r="F419" s="831">
        <v>1.0012778986176496</v>
      </c>
      <c r="G419" s="831">
        <v>0.98805219157489577</v>
      </c>
      <c r="H419" s="831">
        <v>1.0129940067522156</v>
      </c>
      <c r="I419" s="831">
        <v>0.97294343110635573</v>
      </c>
      <c r="K419">
        <v>1.7191303302157803</v>
      </c>
      <c r="L419">
        <v>0</v>
      </c>
      <c r="M419">
        <v>1.2777709173877074E-3</v>
      </c>
      <c r="N419">
        <v>0.13996057268333753</v>
      </c>
      <c r="O419">
        <v>1.7187095237270546E-2</v>
      </c>
      <c r="P419">
        <v>1.9993841168512806E-2</v>
      </c>
      <c r="Q419">
        <v>2.144087916343981E-3</v>
      </c>
      <c r="R419">
        <v>1.2699888181104677E-3</v>
      </c>
      <c r="S419">
        <v>0.14419252665270341</v>
      </c>
      <c r="T419">
        <v>1.068986179943779</v>
      </c>
      <c r="U419">
        <v>2.2703288520655961E-2</v>
      </c>
      <c r="V419">
        <v>0.20132888654830572</v>
      </c>
      <c r="W419">
        <v>8.2147454450837279E-2</v>
      </c>
      <c r="X419">
        <v>1.7037688282115937E-2</v>
      </c>
      <c r="Y419">
        <v>3.4564909111953184E-3</v>
      </c>
    </row>
    <row r="420" spans="1:25" x14ac:dyDescent="0.25">
      <c r="A420" s="827"/>
      <c r="B420" s="1066">
        <v>170</v>
      </c>
      <c r="C420" s="831">
        <v>1.0041302303044051</v>
      </c>
      <c r="D420" s="831">
        <v>0.98165061906782247</v>
      </c>
      <c r="E420" s="831">
        <v>0.98615982596940766</v>
      </c>
      <c r="F420" s="831">
        <v>0.9868180115005063</v>
      </c>
      <c r="G420" s="831">
        <v>1.035348202102168</v>
      </c>
      <c r="H420" s="831">
        <v>1.0235883382617206</v>
      </c>
      <c r="I420" s="831">
        <v>1.0243666165471776</v>
      </c>
      <c r="K420">
        <v>1.7487040296446565</v>
      </c>
      <c r="L420">
        <v>0</v>
      </c>
      <c r="M420">
        <v>1.4663675612367011E-3</v>
      </c>
      <c r="N420">
        <v>0.14150578442198944</v>
      </c>
      <c r="O420">
        <v>1.7912608146349717E-2</v>
      </c>
      <c r="P420">
        <v>1.97332869112723E-2</v>
      </c>
      <c r="Q420">
        <v>2.138001132798128E-3</v>
      </c>
      <c r="R420">
        <v>1.4575586997083187E-3</v>
      </c>
      <c r="S420">
        <v>0.15876099811860947</v>
      </c>
      <c r="T420">
        <v>1.0725938370566057</v>
      </c>
      <c r="U420">
        <v>2.3226596704725117E-2</v>
      </c>
      <c r="V420">
        <v>0.20745158367104061</v>
      </c>
      <c r="W420">
        <v>8.5393128624245168E-2</v>
      </c>
      <c r="X420">
        <v>1.60300194220395E-2</v>
      </c>
      <c r="Y420">
        <v>3.9669942965098182E-3</v>
      </c>
    </row>
    <row r="421" spans="1:25" x14ac:dyDescent="0.25">
      <c r="A421" s="827"/>
      <c r="B421" s="1066">
        <v>171</v>
      </c>
      <c r="C421" s="831">
        <v>1.0179047602628926</v>
      </c>
      <c r="D421" s="831">
        <v>1.0277567334646842</v>
      </c>
      <c r="E421" s="831">
        <v>1.0116258349660709</v>
      </c>
      <c r="F421" s="831">
        <v>0.98339980349455547</v>
      </c>
      <c r="G421" s="831">
        <v>1.0124952934492513</v>
      </c>
      <c r="H421" s="831">
        <v>1.0146391947156819</v>
      </c>
      <c r="I421" s="831">
        <v>1.0063657177009859</v>
      </c>
      <c r="K421">
        <v>1.7263770867318804</v>
      </c>
      <c r="L421">
        <v>0</v>
      </c>
      <c r="M421">
        <v>1.3311000026998154E-3</v>
      </c>
      <c r="N421">
        <v>0.13903364868933987</v>
      </c>
      <c r="O421">
        <v>1.7306819779806689E-2</v>
      </c>
      <c r="P421">
        <v>1.9883581093610377E-2</v>
      </c>
      <c r="Q421">
        <v>2.1272598048304985E-3</v>
      </c>
      <c r="R421">
        <v>1.3230030528105109E-3</v>
      </c>
      <c r="S421">
        <v>0.15032774756209369</v>
      </c>
      <c r="T421">
        <v>1.070332969278293</v>
      </c>
      <c r="U421">
        <v>2.291228885920497E-2</v>
      </c>
      <c r="V421">
        <v>0.20184328144256464</v>
      </c>
      <c r="W421">
        <v>8.2450848175935634E-2</v>
      </c>
      <c r="X421">
        <v>1.6565960814177827E-2</v>
      </c>
      <c r="Y421">
        <v>3.6007781819110641E-3</v>
      </c>
    </row>
    <row r="422" spans="1:25" x14ac:dyDescent="0.25">
      <c r="A422" s="827"/>
      <c r="B422" s="1066">
        <v>172</v>
      </c>
      <c r="C422" s="831">
        <v>0.98199004530447687</v>
      </c>
      <c r="D422" s="831">
        <v>1.0105998552610738</v>
      </c>
      <c r="E422" s="831">
        <v>0.9938807776355616</v>
      </c>
      <c r="F422" s="831">
        <v>1.0099546459563273</v>
      </c>
      <c r="G422" s="831">
        <v>0.97887882379051094</v>
      </c>
      <c r="H422" s="831">
        <v>0.99843838323389389</v>
      </c>
      <c r="I422" s="831">
        <v>0.99571229149206542</v>
      </c>
      <c r="K422">
        <v>1.7416539363186923</v>
      </c>
      <c r="L422">
        <v>0</v>
      </c>
      <c r="M422">
        <v>1.4202258492407496E-3</v>
      </c>
      <c r="N422">
        <v>0.14036409854153531</v>
      </c>
      <c r="O422">
        <v>1.8076803302404586E-2</v>
      </c>
      <c r="P422">
        <v>1.9778766897701996E-2</v>
      </c>
      <c r="Q422">
        <v>2.1797006347404331E-3</v>
      </c>
      <c r="R422">
        <v>1.4114584878036228E-3</v>
      </c>
      <c r="S422">
        <v>0.15408207410256239</v>
      </c>
      <c r="T422">
        <v>1.071905788286555</v>
      </c>
      <c r="U422">
        <v>2.37502691700625E-2</v>
      </c>
      <c r="V422">
        <v>0.20717224342164905</v>
      </c>
      <c r="W422">
        <v>8.4254737360748219E-2</v>
      </c>
      <c r="X422">
        <v>1.6256697245531686E-2</v>
      </c>
      <c r="Y422">
        <v>3.8415247166360047E-3</v>
      </c>
    </row>
    <row r="423" spans="1:25" x14ac:dyDescent="0.25">
      <c r="A423" s="827"/>
      <c r="B423" s="1066">
        <v>173</v>
      </c>
      <c r="C423" s="831">
        <v>0.99358451082649468</v>
      </c>
      <c r="D423" s="831">
        <v>1.0013300989981415</v>
      </c>
      <c r="E423" s="831">
        <v>1.0067315751865373</v>
      </c>
      <c r="F423" s="831">
        <v>0.97196116700548441</v>
      </c>
      <c r="G423" s="831">
        <v>0.97220011881412827</v>
      </c>
      <c r="H423" s="831">
        <v>1.0026080407150855</v>
      </c>
      <c r="I423" s="831">
        <v>0.99805923740684277</v>
      </c>
      <c r="K423">
        <v>1.7410298178225943</v>
      </c>
      <c r="L423">
        <v>0</v>
      </c>
      <c r="M423">
        <v>1.3776067309569833E-3</v>
      </c>
      <c r="N423">
        <v>0.14170981330241919</v>
      </c>
      <c r="O423">
        <v>1.794053484379033E-2</v>
      </c>
      <c r="P423">
        <v>1.9936548693975657E-2</v>
      </c>
      <c r="Q423">
        <v>2.1897401947192467E-3</v>
      </c>
      <c r="R423">
        <v>1.3691441694719574E-3</v>
      </c>
      <c r="S423">
        <v>0.1535281004383674</v>
      </c>
      <c r="T423">
        <v>1.0707655801940423</v>
      </c>
      <c r="U423">
        <v>2.347311944195141E-2</v>
      </c>
      <c r="V423">
        <v>0.20675362552622267</v>
      </c>
      <c r="W423">
        <v>8.4317989581942365E-2</v>
      </c>
      <c r="X423">
        <v>1.6696869075600109E-2</v>
      </c>
      <c r="Y423">
        <v>3.7263590910485002E-3</v>
      </c>
    </row>
    <row r="424" spans="1:25" x14ac:dyDescent="0.25">
      <c r="A424" s="827"/>
      <c r="B424" s="1066">
        <v>174</v>
      </c>
      <c r="C424" s="831">
        <v>0.99904653149515121</v>
      </c>
      <c r="D424" s="831">
        <v>0.9601379908836325</v>
      </c>
      <c r="E424" s="831">
        <v>1.0055606272910285</v>
      </c>
      <c r="F424" s="831">
        <v>1.0092436536502636</v>
      </c>
      <c r="G424" s="831">
        <v>1.0064050344833475</v>
      </c>
      <c r="H424" s="831">
        <v>1.0032376132442573</v>
      </c>
      <c r="I424" s="831">
        <v>0.99477147898808038</v>
      </c>
      <c r="K424">
        <v>1.7492668464399104</v>
      </c>
      <c r="L424">
        <v>0</v>
      </c>
      <c r="M424">
        <v>1.400756415430806E-3</v>
      </c>
      <c r="N424">
        <v>0.14357103889972248</v>
      </c>
      <c r="O424">
        <v>1.818601150263633E-2</v>
      </c>
      <c r="P424">
        <v>1.9983832854010723E-2</v>
      </c>
      <c r="Q424">
        <v>2.2093983805510772E-3</v>
      </c>
      <c r="R424">
        <v>1.3921867341374183E-3</v>
      </c>
      <c r="S424">
        <v>0.15491552650252186</v>
      </c>
      <c r="T424">
        <v>1.0708692162611202</v>
      </c>
      <c r="U424">
        <v>2.3344786416904108E-2</v>
      </c>
      <c r="V424">
        <v>0.21010501008633345</v>
      </c>
      <c r="W424">
        <v>8.5493605452224453E-2</v>
      </c>
      <c r="X424">
        <v>1.6807916409090337E-2</v>
      </c>
      <c r="Y424">
        <v>3.7890733560884855E-3</v>
      </c>
    </row>
    <row r="425" spans="1:25" x14ac:dyDescent="0.25">
      <c r="A425" s="827"/>
      <c r="B425" s="1066">
        <v>175</v>
      </c>
      <c r="C425" s="831">
        <v>1.0161221739109114</v>
      </c>
      <c r="D425" s="831">
        <v>0.98904635359621029</v>
      </c>
      <c r="E425" s="831">
        <v>1.0124899867796295</v>
      </c>
      <c r="F425" s="831">
        <v>1.0386638154235894</v>
      </c>
      <c r="G425" s="831">
        <v>1.0073792388578608</v>
      </c>
      <c r="H425" s="831">
        <v>1.0472660921094321</v>
      </c>
      <c r="I425" s="831">
        <v>1.0301770312506104</v>
      </c>
      <c r="K425">
        <v>1.7516026407826359</v>
      </c>
      <c r="L425">
        <v>0</v>
      </c>
      <c r="M425">
        <v>1.3978560635369663E-3</v>
      </c>
      <c r="N425">
        <v>0.14642965567650462</v>
      </c>
      <c r="O425">
        <v>1.7641025667776641E-2</v>
      </c>
      <c r="P425">
        <v>2.0065534950221328E-2</v>
      </c>
      <c r="Q425">
        <v>2.1634206063286809E-3</v>
      </c>
      <c r="R425">
        <v>1.3896435644801084E-3</v>
      </c>
      <c r="S425">
        <v>0.1590169060087146</v>
      </c>
      <c r="T425">
        <v>1.07025667970717</v>
      </c>
      <c r="U425">
        <v>2.2952483960209293E-2</v>
      </c>
      <c r="V425">
        <v>0.2054780998598075</v>
      </c>
      <c r="W425">
        <v>8.6785986568453488E-2</v>
      </c>
      <c r="X425">
        <v>1.70389085898691E-2</v>
      </c>
      <c r="Y425">
        <v>3.7821516866369397E-3</v>
      </c>
    </row>
    <row r="426" spans="1:25" x14ac:dyDescent="0.25">
      <c r="A426" s="827"/>
      <c r="B426" s="1066">
        <v>176</v>
      </c>
      <c r="C426" s="831">
        <v>0.98127472722442177</v>
      </c>
      <c r="D426" s="831">
        <v>0.97833612054570651</v>
      </c>
      <c r="E426" s="831">
        <v>0.99918142616024852</v>
      </c>
      <c r="F426" s="831">
        <v>1.0079455313976546</v>
      </c>
      <c r="G426" s="831">
        <v>1.008257291857356</v>
      </c>
      <c r="H426" s="831">
        <v>0.97316801588072277</v>
      </c>
      <c r="I426" s="831">
        <v>1.0235143723447624</v>
      </c>
      <c r="K426">
        <v>1.748222279696857</v>
      </c>
      <c r="L426">
        <v>0</v>
      </c>
      <c r="M426">
        <v>1.3901928725407341E-3</v>
      </c>
      <c r="N426">
        <v>0.13966085928748351</v>
      </c>
      <c r="O426">
        <v>1.8357992378890443E-2</v>
      </c>
      <c r="P426">
        <v>1.9957518536224648E-2</v>
      </c>
      <c r="Q426">
        <v>2.2195259781351696E-3</v>
      </c>
      <c r="R426">
        <v>1.3814113758470255E-3</v>
      </c>
      <c r="S426">
        <v>0.15873953273015592</v>
      </c>
      <c r="T426">
        <v>1.0714347243028945</v>
      </c>
      <c r="U426">
        <v>2.3767582361233285E-2</v>
      </c>
      <c r="V426">
        <v>0.21030775747991773</v>
      </c>
      <c r="W426">
        <v>8.3528373244686413E-2</v>
      </c>
      <c r="X426">
        <v>1.6497448511011065E-2</v>
      </c>
      <c r="Y426">
        <v>3.7597463829179417E-3</v>
      </c>
    </row>
    <row r="427" spans="1:25" x14ac:dyDescent="0.25">
      <c r="A427" s="827"/>
      <c r="B427" s="1066">
        <v>177</v>
      </c>
      <c r="C427" s="831">
        <v>1.0293305426497903</v>
      </c>
      <c r="D427" s="831">
        <v>0.99975073773823264</v>
      </c>
      <c r="E427" s="831">
        <v>0.99796842190659374</v>
      </c>
      <c r="F427" s="831">
        <v>1.0014486398752132</v>
      </c>
      <c r="G427" s="831">
        <v>0.97224324068128942</v>
      </c>
      <c r="H427" s="831">
        <v>1.007135666709986</v>
      </c>
      <c r="I427" s="831">
        <v>1.002429034128659</v>
      </c>
      <c r="K427">
        <v>1.7233082829223216</v>
      </c>
      <c r="L427">
        <v>0</v>
      </c>
      <c r="M427">
        <v>1.3616321543124072E-3</v>
      </c>
      <c r="N427">
        <v>0.13630403321783141</v>
      </c>
      <c r="O427">
        <v>1.7329891505381348E-2</v>
      </c>
      <c r="P427">
        <v>1.9698867754186094E-2</v>
      </c>
      <c r="Q427">
        <v>2.0964105381607377E-3</v>
      </c>
      <c r="R427">
        <v>1.3533063968866981E-3</v>
      </c>
      <c r="S427">
        <v>0.14925945212282196</v>
      </c>
      <c r="T427">
        <v>1.0715424294118367</v>
      </c>
      <c r="U427">
        <v>2.265795770352284E-2</v>
      </c>
      <c r="V427">
        <v>0.20313630154937448</v>
      </c>
      <c r="W427">
        <v>8.1588479226394353E-2</v>
      </c>
      <c r="X427">
        <v>1.6019531755246032E-2</v>
      </c>
      <c r="Y427">
        <v>3.6832538949917561E-3</v>
      </c>
    </row>
    <row r="428" spans="1:25" x14ac:dyDescent="0.25">
      <c r="A428" s="827"/>
      <c r="B428" s="1066">
        <v>178</v>
      </c>
      <c r="C428" s="831">
        <v>1.0069341052879683</v>
      </c>
      <c r="D428" s="831">
        <v>0.97046210791324772</v>
      </c>
      <c r="E428" s="831">
        <v>1.0053936103850822</v>
      </c>
      <c r="F428" s="831">
        <v>1.032871490718116</v>
      </c>
      <c r="G428" s="831">
        <v>0.99875295808622822</v>
      </c>
      <c r="H428" s="831">
        <v>0.99342621704920742</v>
      </c>
      <c r="I428" s="831">
        <v>0.97988886080229498</v>
      </c>
      <c r="K428">
        <v>1.7365237546658441</v>
      </c>
      <c r="L428">
        <v>0</v>
      </c>
      <c r="M428">
        <v>1.3700030977700729E-3</v>
      </c>
      <c r="N428">
        <v>0.14033674494839837</v>
      </c>
      <c r="O428">
        <v>1.7955988377735682E-2</v>
      </c>
      <c r="P428">
        <v>1.9886344936600339E-2</v>
      </c>
      <c r="Q428">
        <v>2.1830372912077112E-3</v>
      </c>
      <c r="R428">
        <v>1.3615312651759305E-3</v>
      </c>
      <c r="S428">
        <v>0.15003406661175461</v>
      </c>
      <c r="T428">
        <v>1.0708840025032429</v>
      </c>
      <c r="U428">
        <v>2.3161920701487496E-2</v>
      </c>
      <c r="V428">
        <v>0.2082209512936847</v>
      </c>
      <c r="W428">
        <v>8.3577164030257334E-2</v>
      </c>
      <c r="X428">
        <v>1.6586366528919878E-2</v>
      </c>
      <c r="Y428">
        <v>3.7056392751479423E-3</v>
      </c>
    </row>
    <row r="429" spans="1:25" x14ac:dyDescent="0.25">
      <c r="A429" s="827"/>
      <c r="B429" s="1066">
        <v>179</v>
      </c>
      <c r="C429" s="831">
        <v>0.96942542094740469</v>
      </c>
      <c r="D429" s="831">
        <v>0.96524188907130226</v>
      </c>
      <c r="E429" s="831">
        <v>1.0277156231926892</v>
      </c>
      <c r="F429" s="831">
        <v>1.0053130551925731</v>
      </c>
      <c r="G429" s="831">
        <v>1.0262560295840475</v>
      </c>
      <c r="H429" s="831">
        <v>1.0095475692884206</v>
      </c>
      <c r="I429" s="831">
        <v>0.97882150432007731</v>
      </c>
      <c r="K429">
        <v>1.7672713597828642</v>
      </c>
      <c r="L429">
        <v>0</v>
      </c>
      <c r="M429">
        <v>1.3829168534520489E-3</v>
      </c>
      <c r="N429">
        <v>0.15184953086838995</v>
      </c>
      <c r="O429">
        <v>1.8696534277120425E-2</v>
      </c>
      <c r="P429">
        <v>2.0366873279391132E-2</v>
      </c>
      <c r="Q429">
        <v>2.3231300830609805E-3</v>
      </c>
      <c r="R429">
        <v>1.3745054872044322E-3</v>
      </c>
      <c r="S429">
        <v>0.15720701498811865</v>
      </c>
      <c r="T429">
        <v>1.0689171588764075</v>
      </c>
      <c r="U429">
        <v>2.4058093995008349E-2</v>
      </c>
      <c r="V429">
        <v>0.21298618669985797</v>
      </c>
      <c r="W429">
        <v>8.9078397934551648E-2</v>
      </c>
      <c r="X429">
        <v>1.8055899316645013E-2</v>
      </c>
      <c r="Y429">
        <v>3.7409508305583823E-3</v>
      </c>
    </row>
    <row r="430" spans="1:25" x14ac:dyDescent="0.25">
      <c r="A430" s="827"/>
      <c r="B430" s="1066">
        <v>180</v>
      </c>
      <c r="C430" s="831">
        <v>0.98514866412397639</v>
      </c>
      <c r="D430" s="831">
        <v>1.0006240386550345</v>
      </c>
      <c r="E430" s="831">
        <v>1.0063143020699559</v>
      </c>
      <c r="F430" s="831">
        <v>1.0177265693589765</v>
      </c>
      <c r="G430" s="831">
        <v>1.0009038381579143</v>
      </c>
      <c r="H430" s="831">
        <v>0.97663271304735366</v>
      </c>
      <c r="I430" s="831">
        <v>1.0139524363955887</v>
      </c>
      <c r="K430">
        <v>1.7402441504260655</v>
      </c>
      <c r="L430">
        <v>0</v>
      </c>
      <c r="M430">
        <v>1.35503024602132E-3</v>
      </c>
      <c r="N430">
        <v>0.13918386597126195</v>
      </c>
      <c r="O430">
        <v>1.8099941476760206E-2</v>
      </c>
      <c r="P430">
        <v>1.9973383284064262E-2</v>
      </c>
      <c r="Q430">
        <v>2.2081459461575107E-3</v>
      </c>
      <c r="R430">
        <v>1.3464854727675995E-3</v>
      </c>
      <c r="S430">
        <v>0.15543590666169876</v>
      </c>
      <c r="T430">
        <v>1.0708025054806474</v>
      </c>
      <c r="U430">
        <v>2.3674120209097857E-2</v>
      </c>
      <c r="V430">
        <v>0.20774427478927049</v>
      </c>
      <c r="W430">
        <v>8.2838580279542634E-2</v>
      </c>
      <c r="X430">
        <v>1.6627281512760616E-2</v>
      </c>
      <c r="Y430">
        <v>3.6646895880566E-3</v>
      </c>
    </row>
    <row r="431" spans="1:25" x14ac:dyDescent="0.25">
      <c r="A431" s="827"/>
      <c r="B431" s="1066">
        <v>181</v>
      </c>
      <c r="C431" s="831">
        <v>1.0360603726742084</v>
      </c>
      <c r="D431" s="831">
        <v>1.0352819728679297</v>
      </c>
      <c r="E431" s="831">
        <v>0.99529272064234831</v>
      </c>
      <c r="F431" s="831">
        <v>0.9761813213723215</v>
      </c>
      <c r="G431" s="831">
        <v>0.98961456615799615</v>
      </c>
      <c r="H431" s="831">
        <v>0.98486260454887387</v>
      </c>
      <c r="I431" s="831">
        <v>0.99016447575021571</v>
      </c>
      <c r="K431">
        <v>1.7020939496272598</v>
      </c>
      <c r="L431">
        <v>0</v>
      </c>
      <c r="M431">
        <v>1.3095272980659088E-3</v>
      </c>
      <c r="N431">
        <v>0.12998079086335151</v>
      </c>
      <c r="O431">
        <v>1.6947647791374709E-2</v>
      </c>
      <c r="P431">
        <v>1.9522912954442716E-2</v>
      </c>
      <c r="Q431">
        <v>2.0504615482385222E-3</v>
      </c>
      <c r="R431">
        <v>1.3013159361516882E-3</v>
      </c>
      <c r="S431">
        <v>0.14286650211115692</v>
      </c>
      <c r="T431">
        <v>1.0717802066158071</v>
      </c>
      <c r="U431">
        <v>2.2510780755087351E-2</v>
      </c>
      <c r="V431">
        <v>0.19939927305781105</v>
      </c>
      <c r="W431">
        <v>7.794644226665981E-2</v>
      </c>
      <c r="X431">
        <v>1.5555390025720851E-2</v>
      </c>
      <c r="Y431">
        <v>3.5417529995218342E-3</v>
      </c>
    </row>
    <row r="432" spans="1:25" x14ac:dyDescent="0.25">
      <c r="A432" s="827"/>
      <c r="B432" s="1066">
        <v>182</v>
      </c>
      <c r="C432" s="831">
        <v>0.99062677591922088</v>
      </c>
      <c r="D432" s="831">
        <v>0.99940096772959042</v>
      </c>
      <c r="E432" s="831">
        <v>0.99941008695655498</v>
      </c>
      <c r="F432" s="831">
        <v>1.0050532543127915</v>
      </c>
      <c r="G432" s="831">
        <v>1.0041223344694739</v>
      </c>
      <c r="H432" s="831">
        <v>0.99492402780968481</v>
      </c>
      <c r="I432" s="831">
        <v>1.0207122757337181</v>
      </c>
      <c r="K432">
        <v>1.74344493708759</v>
      </c>
      <c r="L432">
        <v>0</v>
      </c>
      <c r="M432">
        <v>1.3936606242876798E-3</v>
      </c>
      <c r="N432">
        <v>0.14012683021536326</v>
      </c>
      <c r="O432">
        <v>1.800982447879472E-2</v>
      </c>
      <c r="P432">
        <v>1.9892754463585089E-2</v>
      </c>
      <c r="Q432">
        <v>2.1817617189697977E-3</v>
      </c>
      <c r="R432">
        <v>1.3850346798080784E-3</v>
      </c>
      <c r="S432">
        <v>0.15703915956504974</v>
      </c>
      <c r="T432">
        <v>1.0714144272665085</v>
      </c>
      <c r="U432">
        <v>2.3543203621426183E-2</v>
      </c>
      <c r="V432">
        <v>0.20725552629545549</v>
      </c>
      <c r="W432">
        <v>8.3793943359923115E-2</v>
      </c>
      <c r="X432">
        <v>1.6426524225116118E-2</v>
      </c>
      <c r="Y432">
        <v>3.7696078218780967E-3</v>
      </c>
    </row>
    <row r="433" spans="1:25" x14ac:dyDescent="0.25">
      <c r="A433" s="827"/>
      <c r="B433" s="1066">
        <v>183</v>
      </c>
      <c r="C433" s="831">
        <v>0.99393121440783072</v>
      </c>
      <c r="D433" s="831">
        <v>1.027246777354897</v>
      </c>
      <c r="E433" s="831">
        <v>0.9729361031198529</v>
      </c>
      <c r="F433" s="831">
        <v>1.0183529230214028</v>
      </c>
      <c r="G433" s="831">
        <v>0.96405831767945238</v>
      </c>
      <c r="H433" s="831">
        <v>0.98388956401323613</v>
      </c>
      <c r="I433" s="831">
        <v>0.98121395060091676</v>
      </c>
      <c r="K433">
        <v>1.7215106651105889</v>
      </c>
      <c r="L433">
        <v>0</v>
      </c>
      <c r="M433">
        <v>1.4342865582600039E-3</v>
      </c>
      <c r="N433">
        <v>0.13278746250592885</v>
      </c>
      <c r="O433">
        <v>1.7728231324066427E-2</v>
      </c>
      <c r="P433">
        <v>1.9369724764122756E-2</v>
      </c>
      <c r="Q433">
        <v>2.0955046368286807E-3</v>
      </c>
      <c r="R433">
        <v>1.4252896214881491E-3</v>
      </c>
      <c r="S433">
        <v>0.14798391188636101</v>
      </c>
      <c r="T433">
        <v>1.0737774712478043</v>
      </c>
      <c r="U433">
        <v>2.3464931536734554E-2</v>
      </c>
      <c r="V433">
        <v>0.20438079760338065</v>
      </c>
      <c r="W433">
        <v>8.087086602770012E-2</v>
      </c>
      <c r="X433">
        <v>1.5181592011338592E-2</v>
      </c>
      <c r="Y433">
        <v>3.8791685030932915E-3</v>
      </c>
    </row>
    <row r="434" spans="1:25" x14ac:dyDescent="0.25">
      <c r="A434" s="827"/>
      <c r="B434" s="1066">
        <v>184</v>
      </c>
      <c r="C434" s="831">
        <v>1.0009782357577317</v>
      </c>
      <c r="D434" s="831">
        <v>0.98610882569300373</v>
      </c>
      <c r="E434" s="831">
        <v>1.0021011641735098</v>
      </c>
      <c r="F434" s="831">
        <v>0.98194639273840523</v>
      </c>
      <c r="G434" s="831">
        <v>0.97375189867969281</v>
      </c>
      <c r="H434" s="831">
        <v>1.0031232574350908</v>
      </c>
      <c r="I434" s="831">
        <v>1.0266285635722134</v>
      </c>
      <c r="K434">
        <v>1.745238011230186</v>
      </c>
      <c r="L434">
        <v>0</v>
      </c>
      <c r="M434">
        <v>1.3911648073948834E-3</v>
      </c>
      <c r="N434">
        <v>0.14105994439650232</v>
      </c>
      <c r="O434">
        <v>1.7932099090658037E-2</v>
      </c>
      <c r="P434">
        <v>1.9938060024446605E-2</v>
      </c>
      <c r="Q434">
        <v>2.1758288706330208E-3</v>
      </c>
      <c r="R434">
        <v>1.3826340368271815E-3</v>
      </c>
      <c r="S434">
        <v>0.15779539941083365</v>
      </c>
      <c r="T434">
        <v>1.0711757025462496</v>
      </c>
      <c r="U434">
        <v>2.3299735264122146E-2</v>
      </c>
      <c r="V434">
        <v>0.20737202722503667</v>
      </c>
      <c r="W434">
        <v>8.4196836601359445E-2</v>
      </c>
      <c r="X434">
        <v>1.65378345078551E-2</v>
      </c>
      <c r="Y434">
        <v>3.7630740630558422E-3</v>
      </c>
    </row>
    <row r="435" spans="1:25" x14ac:dyDescent="0.25">
      <c r="A435" s="827"/>
      <c r="B435" s="1066">
        <v>185</v>
      </c>
      <c r="C435" s="831">
        <v>0.98711000721894449</v>
      </c>
      <c r="D435" s="831">
        <v>0.9799911363226208</v>
      </c>
      <c r="E435" s="831">
        <v>1.0093712011660316</v>
      </c>
      <c r="F435" s="831">
        <v>1.0049052435067347</v>
      </c>
      <c r="G435" s="831">
        <v>0.9829309184753805</v>
      </c>
      <c r="H435" s="831">
        <v>1.0035198871107747</v>
      </c>
      <c r="I435" s="831">
        <v>1.0103137966732947</v>
      </c>
      <c r="K435">
        <v>1.7532578411104327</v>
      </c>
      <c r="L435">
        <v>0</v>
      </c>
      <c r="M435">
        <v>1.3937332480978548E-3</v>
      </c>
      <c r="N435">
        <v>0.1445525873381891</v>
      </c>
      <c r="O435">
        <v>1.8235467953286774E-2</v>
      </c>
      <c r="P435">
        <v>2.0072229908405171E-2</v>
      </c>
      <c r="Q435">
        <v>2.2276686386767425E-3</v>
      </c>
      <c r="R435">
        <v>1.3851944751912656E-3</v>
      </c>
      <c r="S435">
        <v>0.15790712028407219</v>
      </c>
      <c r="T435">
        <v>1.0705321472045128</v>
      </c>
      <c r="U435">
        <v>2.3627080799242823E-2</v>
      </c>
      <c r="V435">
        <v>0.20948656805570617</v>
      </c>
      <c r="W435">
        <v>8.585511657810431E-2</v>
      </c>
      <c r="X435">
        <v>1.7000350390909129E-2</v>
      </c>
      <c r="Y435">
        <v>3.7700427322345993E-3</v>
      </c>
    </row>
    <row r="436" spans="1:25" x14ac:dyDescent="0.25">
      <c r="A436" s="827"/>
      <c r="B436" s="1066">
        <v>186</v>
      </c>
      <c r="C436" s="831">
        <v>0.98890958895933667</v>
      </c>
      <c r="D436" s="831">
        <v>1.009653528702918</v>
      </c>
      <c r="E436" s="831">
        <v>1.0175666412326199</v>
      </c>
      <c r="F436" s="831">
        <v>1.0149175525576768</v>
      </c>
      <c r="G436" s="831">
        <v>1.0218557722339967</v>
      </c>
      <c r="H436" s="831">
        <v>1.0389907689378328</v>
      </c>
      <c r="I436" s="831">
        <v>1.0251997648224627</v>
      </c>
      <c r="K436">
        <v>1.7584189102421341</v>
      </c>
      <c r="L436">
        <v>0</v>
      </c>
      <c r="M436">
        <v>1.3966906511926559E-3</v>
      </c>
      <c r="N436">
        <v>0.14862561125535409</v>
      </c>
      <c r="O436">
        <v>1.7957927190618839E-2</v>
      </c>
      <c r="P436">
        <v>2.0179244940412011E-2</v>
      </c>
      <c r="Q436">
        <v>2.2172037237240703E-3</v>
      </c>
      <c r="R436">
        <v>1.3884057309004102E-3</v>
      </c>
      <c r="S436">
        <v>0.16060114586258001</v>
      </c>
      <c r="T436">
        <v>1.069809070102044</v>
      </c>
      <c r="U436">
        <v>2.3584085096036232E-2</v>
      </c>
      <c r="V436">
        <v>0.20649844512128721</v>
      </c>
      <c r="W436">
        <v>8.7785207927973785E-2</v>
      </c>
      <c r="X436">
        <v>1.7390471230709355E-2</v>
      </c>
      <c r="Y436">
        <v>3.778782711684732E-3</v>
      </c>
    </row>
    <row r="437" spans="1:25" x14ac:dyDescent="0.25">
      <c r="A437" s="827"/>
      <c r="B437" s="1066">
        <v>187</v>
      </c>
      <c r="C437" s="831">
        <v>1.0035982751828711</v>
      </c>
      <c r="D437" s="831">
        <v>1.012875560438717</v>
      </c>
      <c r="E437" s="831">
        <v>0.98843075770689803</v>
      </c>
      <c r="F437" s="831">
        <v>1.0048807135415352</v>
      </c>
      <c r="G437" s="831">
        <v>1.0033501139536902</v>
      </c>
      <c r="H437" s="831">
        <v>1.020495671075073</v>
      </c>
      <c r="I437" s="831">
        <v>1.0220783911775158</v>
      </c>
      <c r="K437">
        <v>1.7393051579587815</v>
      </c>
      <c r="L437">
        <v>0</v>
      </c>
      <c r="M437">
        <v>1.4352607250979056E-3</v>
      </c>
      <c r="N437">
        <v>0.13948216938290037</v>
      </c>
      <c r="O437">
        <v>1.766960882088173E-2</v>
      </c>
      <c r="P437">
        <v>1.969195313154818E-2</v>
      </c>
      <c r="Q437">
        <v>2.1192923541910919E-3</v>
      </c>
      <c r="R437">
        <v>1.4265904776954805E-3</v>
      </c>
      <c r="S437">
        <v>0.15621579979092659</v>
      </c>
      <c r="T437">
        <v>1.0723912310622215</v>
      </c>
      <c r="U437">
        <v>2.3238907912683945E-2</v>
      </c>
      <c r="V437">
        <v>0.20462955975051558</v>
      </c>
      <c r="W437">
        <v>8.4040101265889303E-2</v>
      </c>
      <c r="X437">
        <v>1.5952495729562071E-2</v>
      </c>
      <c r="Y437">
        <v>3.8827090048625156E-3</v>
      </c>
    </row>
    <row r="438" spans="1:25" x14ac:dyDescent="0.25">
      <c r="A438" s="827"/>
      <c r="B438" s="1066">
        <v>188</v>
      </c>
      <c r="C438" s="831">
        <v>0.99767941527291826</v>
      </c>
      <c r="D438" s="831">
        <v>0.99113306592287265</v>
      </c>
      <c r="E438" s="831">
        <v>0.99829571634332848</v>
      </c>
      <c r="F438" s="831">
        <v>0.97040790768082341</v>
      </c>
      <c r="G438" s="831">
        <v>1.0082817213913922</v>
      </c>
      <c r="H438" s="831">
        <v>1.0352472876846786</v>
      </c>
      <c r="I438" s="831">
        <v>1.0054451184658317</v>
      </c>
      <c r="K438">
        <v>1.7517711963257896</v>
      </c>
      <c r="L438">
        <v>0</v>
      </c>
      <c r="M438">
        <v>1.4487137319587993E-3</v>
      </c>
      <c r="N438">
        <v>0.14519382603624229</v>
      </c>
      <c r="O438">
        <v>1.7949966978236871E-2</v>
      </c>
      <c r="P438">
        <v>1.9875498380524298E-2</v>
      </c>
      <c r="Q438">
        <v>2.1705921225438885E-3</v>
      </c>
      <c r="R438">
        <v>1.4401021416463138E-3</v>
      </c>
      <c r="S438">
        <v>0.15705657862152364</v>
      </c>
      <c r="T438">
        <v>1.0715133628056839</v>
      </c>
      <c r="U438">
        <v>2.3376775686930664E-2</v>
      </c>
      <c r="V438">
        <v>0.20725416965624191</v>
      </c>
      <c r="W438">
        <v>8.6890219541311042E-2</v>
      </c>
      <c r="X438">
        <v>1.6579334786846058E-2</v>
      </c>
      <c r="Y438">
        <v>3.91948330001786E-3</v>
      </c>
    </row>
    <row r="439" spans="1:25" x14ac:dyDescent="0.25">
      <c r="A439" s="827"/>
      <c r="B439" s="1066">
        <v>189</v>
      </c>
      <c r="C439" s="831">
        <v>1.0354258881174063</v>
      </c>
      <c r="D439" s="831">
        <v>1.0225120095819082</v>
      </c>
      <c r="E439" s="831">
        <v>0.97773325492694696</v>
      </c>
      <c r="F439" s="831">
        <v>0.96742408136112912</v>
      </c>
      <c r="G439" s="831">
        <v>0.96488180922228328</v>
      </c>
      <c r="H439" s="831">
        <v>0.99616295856612103</v>
      </c>
      <c r="I439" s="831">
        <v>1.0323853344765992</v>
      </c>
      <c r="K439">
        <v>1.7131783814065895</v>
      </c>
      <c r="L439">
        <v>0</v>
      </c>
      <c r="M439">
        <v>1.3829040117677334E-3</v>
      </c>
      <c r="N439">
        <v>0.12996949767517954</v>
      </c>
      <c r="O439">
        <v>1.7053319036090083E-2</v>
      </c>
      <c r="P439">
        <v>1.9406114586811078E-2</v>
      </c>
      <c r="Q439">
        <v>2.0248499741887687E-3</v>
      </c>
      <c r="R439">
        <v>1.3743394447301861E-3</v>
      </c>
      <c r="S439">
        <v>0.1506173032649081</v>
      </c>
      <c r="T439">
        <v>1.0733473266685873</v>
      </c>
      <c r="U439">
        <v>2.2524574830466923E-2</v>
      </c>
      <c r="V439">
        <v>0.20053552873951019</v>
      </c>
      <c r="W439">
        <v>7.8890749251846221E-2</v>
      </c>
      <c r="X439">
        <v>1.5077183028357657E-2</v>
      </c>
      <c r="Y439">
        <v>3.7404989176793722E-3</v>
      </c>
    </row>
    <row r="440" spans="1:25" x14ac:dyDescent="0.25">
      <c r="A440" s="827"/>
      <c r="B440" s="1066">
        <v>190</v>
      </c>
      <c r="C440" s="831">
        <v>1.0031621156692716</v>
      </c>
      <c r="D440" s="831">
        <v>1.0235518626981677</v>
      </c>
      <c r="E440" s="831">
        <v>0.99992629113745846</v>
      </c>
      <c r="F440" s="831">
        <v>1.0154928158362369</v>
      </c>
      <c r="G440" s="831">
        <v>0.99564312417491996</v>
      </c>
      <c r="H440" s="831">
        <v>1.006563984207423</v>
      </c>
      <c r="I440" s="831">
        <v>0.96002446352670634</v>
      </c>
      <c r="K440">
        <v>1.7243125198326377</v>
      </c>
      <c r="L440">
        <v>0</v>
      </c>
      <c r="M440">
        <v>1.3759084091065803E-3</v>
      </c>
      <c r="N440">
        <v>0.13857260343360078</v>
      </c>
      <c r="O440">
        <v>1.7593708529203774E-2</v>
      </c>
      <c r="P440">
        <v>1.9686218062061004E-2</v>
      </c>
      <c r="Q440">
        <v>2.136611550893789E-3</v>
      </c>
      <c r="R440">
        <v>1.3674745288115861E-3</v>
      </c>
      <c r="S440">
        <v>0.14521127914983767</v>
      </c>
      <c r="T440">
        <v>1.071368613746422</v>
      </c>
      <c r="U440">
        <v>2.3249011833688792E-2</v>
      </c>
      <c r="V440">
        <v>0.20372753211808187</v>
      </c>
      <c r="W440">
        <v>8.2835266798503712E-2</v>
      </c>
      <c r="X440">
        <v>1.6218293611070914E-2</v>
      </c>
      <c r="Y440">
        <v>3.721814879567866E-3</v>
      </c>
    </row>
    <row r="441" spans="1:25" x14ac:dyDescent="0.25">
      <c r="A441" s="827"/>
      <c r="B441" s="1066">
        <v>191</v>
      </c>
      <c r="C441" s="831">
        <v>1.0100451698754662</v>
      </c>
      <c r="D441" s="831">
        <v>0.96090580171798323</v>
      </c>
      <c r="E441" s="831">
        <v>1.0163092580831783</v>
      </c>
      <c r="F441" s="831">
        <v>0.9805683741249549</v>
      </c>
      <c r="G441" s="831">
        <v>1.0116246756140188</v>
      </c>
      <c r="H441" s="831">
        <v>1.0050804208840183</v>
      </c>
      <c r="I441" s="831">
        <v>1.0018885691527908</v>
      </c>
      <c r="K441">
        <v>1.746036236688828</v>
      </c>
      <c r="L441">
        <v>0</v>
      </c>
      <c r="M441">
        <v>1.356436834484708E-3</v>
      </c>
      <c r="N441">
        <v>0.14375390666317106</v>
      </c>
      <c r="O441">
        <v>1.7981436239529535E-2</v>
      </c>
      <c r="P441">
        <v>2.0101751811985754E-2</v>
      </c>
      <c r="Q441">
        <v>2.2082793290332811E-3</v>
      </c>
      <c r="R441">
        <v>1.3481529599578736E-3</v>
      </c>
      <c r="S441">
        <v>0.15440704392949706</v>
      </c>
      <c r="T441">
        <v>1.0699198429262939</v>
      </c>
      <c r="U441">
        <v>2.309057910863405E-2</v>
      </c>
      <c r="V441">
        <v>0.20881505804437497</v>
      </c>
      <c r="W441">
        <v>8.4979976787800754E-2</v>
      </c>
      <c r="X441">
        <v>1.7117417784533708E-2</v>
      </c>
      <c r="Y441">
        <v>3.6692279385015215E-3</v>
      </c>
    </row>
    <row r="442" spans="1:25" x14ac:dyDescent="0.25">
      <c r="A442" s="827"/>
      <c r="B442" s="1066">
        <v>192</v>
      </c>
      <c r="C442" s="831">
        <v>1.0091145792779506</v>
      </c>
      <c r="D442" s="831">
        <v>0.9723532721831204</v>
      </c>
      <c r="E442" s="831">
        <v>0.98909406465092031</v>
      </c>
      <c r="F442" s="831">
        <v>1.0310278492016842</v>
      </c>
      <c r="G442" s="831">
        <v>0.97966219824325329</v>
      </c>
      <c r="H442" s="831">
        <v>0.96220329666275839</v>
      </c>
      <c r="I442" s="831">
        <v>0.97683216570845921</v>
      </c>
      <c r="K442">
        <v>1.7228239873655964</v>
      </c>
      <c r="L442">
        <v>0</v>
      </c>
      <c r="M442">
        <v>1.3690854396652536E-3</v>
      </c>
      <c r="N442">
        <v>0.13327994761835812</v>
      </c>
      <c r="O442">
        <v>1.7901341948454601E-2</v>
      </c>
      <c r="P442">
        <v>1.9616462806309472E-2</v>
      </c>
      <c r="Q442">
        <v>2.1413193519651155E-3</v>
      </c>
      <c r="R442">
        <v>1.3603431519658056E-3</v>
      </c>
      <c r="S442">
        <v>0.14692447819871307</v>
      </c>
      <c r="T442">
        <v>1.0723320893594619</v>
      </c>
      <c r="U442">
        <v>2.3111872900489754E-2</v>
      </c>
      <c r="V442">
        <v>0.20780276493700825</v>
      </c>
      <c r="W442">
        <v>8.0266443834039358E-2</v>
      </c>
      <c r="X442">
        <v>1.5753603075844124E-2</v>
      </c>
      <c r="Y442">
        <v>3.7024056226513976E-3</v>
      </c>
    </row>
    <row r="443" spans="1:25" x14ac:dyDescent="0.25">
      <c r="A443" s="827"/>
      <c r="B443" s="1066">
        <v>193</v>
      </c>
      <c r="C443" s="831">
        <v>0.97630595298015999</v>
      </c>
      <c r="D443" s="831">
        <v>1.0004559153075083</v>
      </c>
      <c r="E443" s="831">
        <v>0.96873801039865293</v>
      </c>
      <c r="F443" s="831">
        <v>0.95959288457743996</v>
      </c>
      <c r="G443" s="831">
        <v>1.0312647814736948</v>
      </c>
      <c r="H443" s="831">
        <v>1.0077036055355939</v>
      </c>
      <c r="I443" s="831">
        <v>0.9899370126488316</v>
      </c>
      <c r="K443">
        <v>1.7464269750963928</v>
      </c>
      <c r="L443">
        <v>0</v>
      </c>
      <c r="M443">
        <v>1.5268598404892474E-3</v>
      </c>
      <c r="N443">
        <v>0.13954244432575591</v>
      </c>
      <c r="O443">
        <v>1.8265268439602595E-2</v>
      </c>
      <c r="P443">
        <v>1.9475262948575212E-2</v>
      </c>
      <c r="Q443">
        <v>2.1451255261252036E-3</v>
      </c>
      <c r="R443">
        <v>1.5175285171788316E-3</v>
      </c>
      <c r="S443">
        <v>0.1554007266966774</v>
      </c>
      <c r="T443">
        <v>1.0741546084013212</v>
      </c>
      <c r="U443">
        <v>2.3888544187517707E-2</v>
      </c>
      <c r="V443">
        <v>0.20874879899084037</v>
      </c>
      <c r="W443">
        <v>8.5234345538532597E-2</v>
      </c>
      <c r="X443">
        <v>1.5450968994136966E-2</v>
      </c>
      <c r="Y443">
        <v>4.130212370619538E-3</v>
      </c>
    </row>
    <row r="444" spans="1:25" x14ac:dyDescent="0.25">
      <c r="A444" s="827"/>
      <c r="B444" s="1066">
        <v>194</v>
      </c>
      <c r="C444" s="831">
        <v>1.0042122137773208</v>
      </c>
      <c r="D444" s="831">
        <v>0.98775229377718288</v>
      </c>
      <c r="E444" s="831">
        <v>1.0136585471383499</v>
      </c>
      <c r="F444" s="831">
        <v>0.99111297025521217</v>
      </c>
      <c r="G444" s="831">
        <v>0.98463471482706455</v>
      </c>
      <c r="H444" s="831">
        <v>1.006512003756417</v>
      </c>
      <c r="I444" s="831">
        <v>1.0127957915796131</v>
      </c>
      <c r="K444">
        <v>1.7433489029767264</v>
      </c>
      <c r="L444">
        <v>0</v>
      </c>
      <c r="M444">
        <v>1.3568490016281256E-3</v>
      </c>
      <c r="N444">
        <v>0.14261717089655107</v>
      </c>
      <c r="O444">
        <v>1.7860851998476972E-2</v>
      </c>
      <c r="P444">
        <v>2.0053158171418541E-2</v>
      </c>
      <c r="Q444">
        <v>2.1926981943217985E-3</v>
      </c>
      <c r="R444">
        <v>1.3485555394100257E-3</v>
      </c>
      <c r="S444">
        <v>0.15530725088572184</v>
      </c>
      <c r="T444">
        <v>1.0701535610923831</v>
      </c>
      <c r="U444">
        <v>2.3224700494904417E-2</v>
      </c>
      <c r="V444">
        <v>0.20686576651902716</v>
      </c>
      <c r="W444">
        <v>8.4459455817988541E-2</v>
      </c>
      <c r="X444">
        <v>1.6952258741090201E-2</v>
      </c>
      <c r="Y444">
        <v>3.6703236270599995E-3</v>
      </c>
    </row>
    <row r="445" spans="1:25" x14ac:dyDescent="0.25">
      <c r="A445" s="827"/>
      <c r="B445" s="1066">
        <v>195</v>
      </c>
      <c r="C445" s="831">
        <v>0.97654583000310824</v>
      </c>
      <c r="D445" s="831">
        <v>1.0469369009157778</v>
      </c>
      <c r="E445" s="831">
        <v>0.99648805009102714</v>
      </c>
      <c r="F445" s="831">
        <v>0.97290980367398117</v>
      </c>
      <c r="G445" s="831">
        <v>0.98871155693755364</v>
      </c>
      <c r="H445" s="831">
        <v>0.99257313754458365</v>
      </c>
      <c r="I445" s="831">
        <v>0.9992896590172925</v>
      </c>
      <c r="K445">
        <v>1.7341152643024524</v>
      </c>
      <c r="L445">
        <v>0</v>
      </c>
      <c r="M445">
        <v>1.3896705083106698E-3</v>
      </c>
      <c r="N445">
        <v>0.13845570865319487</v>
      </c>
      <c r="O445">
        <v>1.7889985126145685E-2</v>
      </c>
      <c r="P445">
        <v>1.9763093438146435E-2</v>
      </c>
      <c r="Q445">
        <v>2.1690285225189573E-3</v>
      </c>
      <c r="R445">
        <v>1.3810165802587589E-3</v>
      </c>
      <c r="S445">
        <v>0.15281951600335397</v>
      </c>
      <c r="T445">
        <v>1.0716739498419916</v>
      </c>
      <c r="U445">
        <v>2.3882676246980605E-2</v>
      </c>
      <c r="V445">
        <v>0.20454028085079579</v>
      </c>
      <c r="W445">
        <v>8.2960576461478266E-2</v>
      </c>
      <c r="X445">
        <v>1.6210431206425648E-2</v>
      </c>
      <c r="Y445">
        <v>3.7586718794710115E-3</v>
      </c>
    </row>
    <row r="446" spans="1:25" x14ac:dyDescent="0.25">
      <c r="A446" s="827"/>
      <c r="B446" s="1066">
        <v>196</v>
      </c>
      <c r="C446" s="831">
        <v>1.0053887715725878</v>
      </c>
      <c r="D446" s="831">
        <v>1.0034950935828679</v>
      </c>
      <c r="E446" s="831">
        <v>0.9959286940541211</v>
      </c>
      <c r="F446" s="831">
        <v>0.99752685637832061</v>
      </c>
      <c r="G446" s="831">
        <v>0.98384560594026249</v>
      </c>
      <c r="H446" s="831">
        <v>1.0009700991800654</v>
      </c>
      <c r="I446" s="831">
        <v>1.0074561130628992</v>
      </c>
      <c r="K446">
        <v>1.7335976343282726</v>
      </c>
      <c r="L446">
        <v>0</v>
      </c>
      <c r="M446">
        <v>1.3891334168514484E-3</v>
      </c>
      <c r="N446">
        <v>0.13817167211267528</v>
      </c>
      <c r="O446">
        <v>1.7712563309507559E-2</v>
      </c>
      <c r="P446">
        <v>1.9757381742187902E-2</v>
      </c>
      <c r="Q446">
        <v>2.1389613586521809E-3</v>
      </c>
      <c r="R446">
        <v>1.380584581832696E-3</v>
      </c>
      <c r="S446">
        <v>0.15289916737765766</v>
      </c>
      <c r="T446">
        <v>1.0717236661357692</v>
      </c>
      <c r="U446">
        <v>2.319752175252868E-2</v>
      </c>
      <c r="V446">
        <v>0.20528460656903585</v>
      </c>
      <c r="W446">
        <v>8.2822162906519281E-2</v>
      </c>
      <c r="X446">
        <v>1.6140983776592711E-2</v>
      </c>
      <c r="Y446">
        <v>3.7574961221635106E-3</v>
      </c>
    </row>
    <row r="447" spans="1:25" x14ac:dyDescent="0.25">
      <c r="A447" s="827"/>
      <c r="B447" s="1066">
        <v>197</v>
      </c>
      <c r="C447" s="831">
        <v>1.0017806217601741</v>
      </c>
      <c r="D447" s="831">
        <v>1.0188931298129305</v>
      </c>
      <c r="E447" s="831">
        <v>1.0026468712329495</v>
      </c>
      <c r="F447" s="831">
        <v>1.029070851518181</v>
      </c>
      <c r="G447" s="831">
        <v>1.0071635835510009</v>
      </c>
      <c r="H447" s="831">
        <v>1.0052330091941744</v>
      </c>
      <c r="I447" s="831">
        <v>1.0138519184428236</v>
      </c>
      <c r="K447">
        <v>1.7345217851323853</v>
      </c>
      <c r="L447">
        <v>0</v>
      </c>
      <c r="M447">
        <v>1.3709413426948073E-3</v>
      </c>
      <c r="N447">
        <v>0.13924502702456648</v>
      </c>
      <c r="O447">
        <v>1.76543243117387E-2</v>
      </c>
      <c r="P447">
        <v>1.9847850052637925E-2</v>
      </c>
      <c r="Q447">
        <v>2.1490448819558076E-3</v>
      </c>
      <c r="R447">
        <v>1.3625298743199904E-3</v>
      </c>
      <c r="S447">
        <v>0.15375918028873545</v>
      </c>
      <c r="T447">
        <v>1.0711273263663665</v>
      </c>
      <c r="U447">
        <v>2.3281073112918105E-2</v>
      </c>
      <c r="V447">
        <v>0.20428580517525652</v>
      </c>
      <c r="W447">
        <v>8.3082559120437521E-2</v>
      </c>
      <c r="X447">
        <v>1.6389649106100208E-2</v>
      </c>
      <c r="Y447">
        <v>3.708357160046658E-3</v>
      </c>
    </row>
    <row r="448" spans="1:25" x14ac:dyDescent="0.25">
      <c r="A448" s="827"/>
      <c r="B448" s="1066">
        <v>198</v>
      </c>
      <c r="C448" s="831">
        <v>0.96013401949357302</v>
      </c>
      <c r="D448" s="831">
        <v>0.96351114938815985</v>
      </c>
      <c r="E448" s="831">
        <v>0.96868949601162524</v>
      </c>
      <c r="F448" s="831">
        <v>1.0012341932823026</v>
      </c>
      <c r="G448" s="831">
        <v>0.98456216495835525</v>
      </c>
      <c r="H448" s="831">
        <v>0.99591319455971838</v>
      </c>
      <c r="I448" s="831">
        <v>1.015752057565424</v>
      </c>
      <c r="K448">
        <v>1.7669959667524131</v>
      </c>
      <c r="L448">
        <v>0</v>
      </c>
      <c r="M448">
        <v>1.5609746330433377E-3</v>
      </c>
      <c r="N448">
        <v>0.14263103467669741</v>
      </c>
      <c r="O448">
        <v>1.8892882534521767E-2</v>
      </c>
      <c r="P448">
        <v>1.9665310489141215E-2</v>
      </c>
      <c r="Q448">
        <v>2.2118244823290966E-3</v>
      </c>
      <c r="R448">
        <v>1.5513517127393023E-3</v>
      </c>
      <c r="S448">
        <v>0.16378737810750835</v>
      </c>
      <c r="T448">
        <v>1.0741589705691632</v>
      </c>
      <c r="U448">
        <v>2.4290908794800094E-2</v>
      </c>
      <c r="V448">
        <v>0.21426830006075939</v>
      </c>
      <c r="W448">
        <v>8.7123853047175764E-2</v>
      </c>
      <c r="X448">
        <v>1.5752858951497594E-2</v>
      </c>
      <c r="Y448">
        <v>4.2222679591217187E-3</v>
      </c>
    </row>
    <row r="449" spans="1:25" x14ac:dyDescent="0.25">
      <c r="A449" s="827"/>
      <c r="B449" s="1066">
        <v>199</v>
      </c>
      <c r="C449" s="831">
        <v>1.0049015080213803</v>
      </c>
      <c r="D449" s="831">
        <v>1.0142190443348527</v>
      </c>
      <c r="E449" s="831">
        <v>0.98583883938874683</v>
      </c>
      <c r="F449" s="831">
        <v>1.0263585399079906</v>
      </c>
      <c r="G449" s="831">
        <v>1.0233386917408436</v>
      </c>
      <c r="H449" s="831">
        <v>0.98488921418832209</v>
      </c>
      <c r="I449" s="831">
        <v>0.97841792853958987</v>
      </c>
      <c r="K449">
        <v>1.7204730767839624</v>
      </c>
      <c r="L449">
        <v>0</v>
      </c>
      <c r="M449">
        <v>1.3901099842238975E-3</v>
      </c>
      <c r="N449">
        <v>0.13397875765434422</v>
      </c>
      <c r="O449">
        <v>1.763611807708302E-2</v>
      </c>
      <c r="P449">
        <v>1.9525443945630824E-2</v>
      </c>
      <c r="Q449">
        <v>2.1099598981332156E-3</v>
      </c>
      <c r="R449">
        <v>1.3814079617442976E-3</v>
      </c>
      <c r="S449">
        <v>0.14679375998827346</v>
      </c>
      <c r="T449">
        <v>1.0726224902113171</v>
      </c>
      <c r="U449">
        <v>2.3208769926342847E-2</v>
      </c>
      <c r="V449">
        <v>0.20437099079231399</v>
      </c>
      <c r="W449">
        <v>8.0868800728077658E-2</v>
      </c>
      <c r="X449">
        <v>1.5606950494068801E-2</v>
      </c>
      <c r="Y449">
        <v>3.759737090855776E-3</v>
      </c>
    </row>
    <row r="450" spans="1:25" x14ac:dyDescent="0.25">
      <c r="A450" s="827"/>
      <c r="B450" s="1066">
        <v>200</v>
      </c>
      <c r="C450" s="831">
        <v>0.98726797860838955</v>
      </c>
      <c r="D450" s="831">
        <v>1.0075091452566005</v>
      </c>
      <c r="E450" s="831">
        <v>1.0146095839710336</v>
      </c>
      <c r="F450" s="831">
        <v>0.9982333739975825</v>
      </c>
      <c r="G450" s="831">
        <v>1.0473918288729251</v>
      </c>
      <c r="H450" s="831">
        <v>0.99241098870569799</v>
      </c>
      <c r="I450" s="831">
        <v>0.99701402199212097</v>
      </c>
      <c r="K450">
        <v>1.7405002861592953</v>
      </c>
      <c r="L450">
        <v>0</v>
      </c>
      <c r="M450">
        <v>1.3459538811377814E-3</v>
      </c>
      <c r="N450">
        <v>0.1418769304027126</v>
      </c>
      <c r="O450">
        <v>1.8005101634589352E-2</v>
      </c>
      <c r="P450">
        <v>2.0042837963605606E-2</v>
      </c>
      <c r="Q450">
        <v>2.2161040907399507E-3</v>
      </c>
      <c r="R450">
        <v>1.3375966285474694E-3</v>
      </c>
      <c r="S450">
        <v>0.1532182747953752</v>
      </c>
      <c r="T450">
        <v>1.0700696757964097</v>
      </c>
      <c r="U450">
        <v>2.3623300262586844E-2</v>
      </c>
      <c r="V450">
        <v>0.20687285939226316</v>
      </c>
      <c r="W450">
        <v>8.3966954862410875E-2</v>
      </c>
      <c r="X450">
        <v>1.6976107126897039E-2</v>
      </c>
      <c r="Y450">
        <v>3.640497084296116E-3</v>
      </c>
    </row>
    <row r="451" spans="1:25" x14ac:dyDescent="0.25">
      <c r="A451" s="827"/>
      <c r="B451" s="1066">
        <v>201</v>
      </c>
      <c r="C451" s="831">
        <v>1.0142921940951057</v>
      </c>
      <c r="D451" s="831">
        <v>1.0041900825106473</v>
      </c>
      <c r="E451" s="831">
        <v>0.98297763168710495</v>
      </c>
      <c r="F451" s="831">
        <v>1.000357374863871</v>
      </c>
      <c r="G451" s="831">
        <v>1.0158444950132826</v>
      </c>
      <c r="H451" s="831">
        <v>0.99021344069623807</v>
      </c>
      <c r="I451" s="831">
        <v>0.96327504343944126</v>
      </c>
      <c r="K451">
        <v>1.7171516313384654</v>
      </c>
      <c r="L451">
        <v>0</v>
      </c>
      <c r="M451">
        <v>1.3993041656144207E-3</v>
      </c>
      <c r="N451">
        <v>0.13367354146152086</v>
      </c>
      <c r="O451">
        <v>1.7551580467784537E-2</v>
      </c>
      <c r="P451">
        <v>1.9446803931228097E-2</v>
      </c>
      <c r="Q451">
        <v>2.0920664729201116E-3</v>
      </c>
      <c r="R451">
        <v>1.3905987033583183E-3</v>
      </c>
      <c r="S451">
        <v>0.14413704001485217</v>
      </c>
      <c r="T451">
        <v>1.0728780697401143</v>
      </c>
      <c r="U451">
        <v>2.2993894692357558E-2</v>
      </c>
      <c r="V451">
        <v>0.20428574637079738</v>
      </c>
      <c r="W451">
        <v>8.0844425716736848E-2</v>
      </c>
      <c r="X451">
        <v>1.547241667260758E-2</v>
      </c>
      <c r="Y451">
        <v>3.7847512598019805E-3</v>
      </c>
    </row>
    <row r="452" spans="1:25" x14ac:dyDescent="0.25">
      <c r="A452" s="827"/>
      <c r="B452" s="1066">
        <v>202</v>
      </c>
      <c r="C452" s="831">
        <v>0.97706047539193053</v>
      </c>
      <c r="D452" s="831">
        <v>0.99456306322265398</v>
      </c>
      <c r="E452" s="831">
        <v>0.99939698373759345</v>
      </c>
      <c r="F452" s="831">
        <v>1.0265728081919399</v>
      </c>
      <c r="G452" s="831">
        <v>1.025972054543024</v>
      </c>
      <c r="H452" s="831">
        <v>0.9886638349778879</v>
      </c>
      <c r="I452" s="831">
        <v>1.0127922707850201</v>
      </c>
      <c r="K452">
        <v>1.7492333598039354</v>
      </c>
      <c r="L452">
        <v>0</v>
      </c>
      <c r="M452">
        <v>1.4072466710739024E-3</v>
      </c>
      <c r="N452">
        <v>0.14148185450374551</v>
      </c>
      <c r="O452">
        <v>1.8300081923107198E-2</v>
      </c>
      <c r="P452">
        <v>1.9934691075051497E-2</v>
      </c>
      <c r="Q452">
        <v>2.2160120579389118E-3</v>
      </c>
      <c r="R452">
        <v>1.3984849552073533E-3</v>
      </c>
      <c r="S452">
        <v>0.15783584059179878</v>
      </c>
      <c r="T452">
        <v>1.0714155903181979</v>
      </c>
      <c r="U452">
        <v>2.3870096565873009E-2</v>
      </c>
      <c r="V452">
        <v>0.20921918880279503</v>
      </c>
      <c r="W452">
        <v>8.4604988361225833E-2</v>
      </c>
      <c r="X452">
        <v>1.6557562282435562E-2</v>
      </c>
      <c r="Y452">
        <v>3.8062150376328317E-3</v>
      </c>
    </row>
    <row r="453" spans="1:25" x14ac:dyDescent="0.25">
      <c r="A453" s="827"/>
      <c r="B453" s="1066">
        <v>203</v>
      </c>
      <c r="C453" s="831">
        <v>1.0202396790317947</v>
      </c>
      <c r="D453" s="831">
        <v>0.99582523093426267</v>
      </c>
      <c r="E453" s="831">
        <v>1.0119248363081621</v>
      </c>
      <c r="F453" s="831">
        <v>1.0227950399851495</v>
      </c>
      <c r="G453" s="831">
        <v>0.98699563043463812</v>
      </c>
      <c r="H453" s="831">
        <v>0.98229470183158518</v>
      </c>
      <c r="I453" s="831">
        <v>0.99696855834139431</v>
      </c>
      <c r="K453">
        <v>1.7224499236230264</v>
      </c>
      <c r="L453">
        <v>0</v>
      </c>
      <c r="M453">
        <v>1.3033629502507502E-3</v>
      </c>
      <c r="N453">
        <v>0.13623783320582955</v>
      </c>
      <c r="O453">
        <v>1.7515503844244544E-2</v>
      </c>
      <c r="P453">
        <v>1.9894069104964968E-2</v>
      </c>
      <c r="Q453">
        <v>2.1480226840411829E-3</v>
      </c>
      <c r="R453">
        <v>1.2951945663494525E-3</v>
      </c>
      <c r="S453">
        <v>0.14826821261543111</v>
      </c>
      <c r="T453">
        <v>1.0703065694653224</v>
      </c>
      <c r="U453">
        <v>2.2859851834459346E-2</v>
      </c>
      <c r="V453">
        <v>0.20442443844548561</v>
      </c>
      <c r="W453">
        <v>8.0776458746492946E-2</v>
      </c>
      <c r="X453">
        <v>1.6502039411824987E-2</v>
      </c>
      <c r="Y453">
        <v>3.525092648829161E-3</v>
      </c>
    </row>
    <row r="454" spans="1:25" x14ac:dyDescent="0.25">
      <c r="A454" s="827"/>
      <c r="B454" s="1066">
        <v>204</v>
      </c>
      <c r="C454" s="831">
        <v>0.98482007113945225</v>
      </c>
      <c r="D454" s="831">
        <v>0.97203356484163483</v>
      </c>
      <c r="E454" s="831">
        <v>1.0051308630759053</v>
      </c>
      <c r="F454" s="831">
        <v>0.97783268496615361</v>
      </c>
      <c r="G454" s="831">
        <v>0.97724269883380277</v>
      </c>
      <c r="H454" s="831">
        <v>0.98812106742579908</v>
      </c>
      <c r="I454" s="831">
        <v>0.98774103237793742</v>
      </c>
      <c r="K454">
        <v>1.7478528126621189</v>
      </c>
      <c r="L454">
        <v>0</v>
      </c>
      <c r="M454">
        <v>1.3930340208065028E-3</v>
      </c>
      <c r="N454">
        <v>0.14257449129835739</v>
      </c>
      <c r="O454">
        <v>1.8345691490911906E-2</v>
      </c>
      <c r="P454">
        <v>1.997770742041435E-2</v>
      </c>
      <c r="Q454">
        <v>2.2301293649270707E-3</v>
      </c>
      <c r="R454">
        <v>1.3843723607142734E-3</v>
      </c>
      <c r="S454">
        <v>0.15414126098853181</v>
      </c>
      <c r="T454">
        <v>1.0709072660261763</v>
      </c>
      <c r="U454">
        <v>2.368201926603572E-2</v>
      </c>
      <c r="V454">
        <v>0.21052244393083</v>
      </c>
      <c r="W454">
        <v>8.4925058456680885E-2</v>
      </c>
      <c r="X454">
        <v>1.6787600871707289E-2</v>
      </c>
      <c r="Y454">
        <v>3.7678052076381913E-3</v>
      </c>
    </row>
    <row r="455" spans="1:25" x14ac:dyDescent="0.25">
      <c r="A455" s="827"/>
      <c r="B455" s="1066">
        <v>205</v>
      </c>
      <c r="C455" s="831">
        <v>1.0103754807264427</v>
      </c>
      <c r="D455" s="831">
        <v>1.0243807207998674</v>
      </c>
      <c r="E455" s="831">
        <v>0.98865953855224276</v>
      </c>
      <c r="F455" s="831">
        <v>1.0004109490099025</v>
      </c>
      <c r="G455" s="831">
        <v>0.99205735747566159</v>
      </c>
      <c r="H455" s="831">
        <v>1.0366449620480505</v>
      </c>
      <c r="I455" s="831">
        <v>1.0104757566984133</v>
      </c>
      <c r="K455">
        <v>1.7356446265328371</v>
      </c>
      <c r="L455">
        <v>0</v>
      </c>
      <c r="M455">
        <v>1.4401351510266182E-3</v>
      </c>
      <c r="N455">
        <v>0.14006811009381054</v>
      </c>
      <c r="O455">
        <v>1.7461716085741666E-2</v>
      </c>
      <c r="P455">
        <v>1.9637418219271237E-2</v>
      </c>
      <c r="Q455">
        <v>2.0967639577022749E-3</v>
      </c>
      <c r="R455">
        <v>1.4315631782249145E-3</v>
      </c>
      <c r="S455">
        <v>0.15383664207274605</v>
      </c>
      <c r="T455">
        <v>1.07237083065746</v>
      </c>
      <c r="U455">
        <v>2.3083030361677671E-2</v>
      </c>
      <c r="V455">
        <v>0.202904001912557</v>
      </c>
      <c r="W455">
        <v>8.4379823127433751E-2</v>
      </c>
      <c r="X455">
        <v>1.5918618960785592E-2</v>
      </c>
      <c r="Y455">
        <v>3.8962430564533435E-3</v>
      </c>
    </row>
    <row r="456" spans="1:25" x14ac:dyDescent="0.25">
      <c r="A456" s="827"/>
      <c r="B456" s="1066">
        <v>206</v>
      </c>
      <c r="C456" s="831">
        <v>1.012042981407848</v>
      </c>
      <c r="D456" s="831">
        <v>1.0133701160676205</v>
      </c>
      <c r="E456" s="831">
        <v>0.96563620911914549</v>
      </c>
      <c r="F456" s="831">
        <v>0.99034048850965628</v>
      </c>
      <c r="G456" s="831">
        <v>1.0115852212597916</v>
      </c>
      <c r="H456" s="831">
        <v>1.0185816853772229</v>
      </c>
      <c r="I456" s="831">
        <v>0.99652127208983521</v>
      </c>
      <c r="K456">
        <v>1.7273373699919214</v>
      </c>
      <c r="L456">
        <v>0</v>
      </c>
      <c r="M456">
        <v>1.4898863635703741E-3</v>
      </c>
      <c r="N456">
        <v>0.13486053927482536</v>
      </c>
      <c r="O456">
        <v>1.7518301726475879E-2</v>
      </c>
      <c r="P456">
        <v>1.9294033075762981E-2</v>
      </c>
      <c r="Q456">
        <v>2.0530266626020144E-3</v>
      </c>
      <c r="R456">
        <v>1.4808688606858292E-3</v>
      </c>
      <c r="S456">
        <v>0.1508736444887197</v>
      </c>
      <c r="T456">
        <v>1.07443368400682</v>
      </c>
      <c r="U456">
        <v>2.3044997422796535E-2</v>
      </c>
      <c r="V456">
        <v>0.20370051651355256</v>
      </c>
      <c r="W456">
        <v>8.2553671872776901E-2</v>
      </c>
      <c r="X456">
        <v>1.4983535579975482E-2</v>
      </c>
      <c r="Y456">
        <v>4.0304368704981008E-3</v>
      </c>
    </row>
    <row r="457" spans="1:25" x14ac:dyDescent="0.25">
      <c r="A457" s="827"/>
      <c r="B457" s="1066">
        <v>207</v>
      </c>
      <c r="C457" s="831">
        <v>0.96398345358060877</v>
      </c>
      <c r="D457" s="831">
        <v>0.97991953311574265</v>
      </c>
      <c r="E457" s="831">
        <v>0.99716898511641683</v>
      </c>
      <c r="F457" s="831">
        <v>0.97931324979167711</v>
      </c>
      <c r="G457" s="831">
        <v>0.99795218826689835</v>
      </c>
      <c r="H457" s="831">
        <v>0.95567518817321684</v>
      </c>
      <c r="I457" s="831">
        <v>1.0217333697314288</v>
      </c>
      <c r="K457">
        <v>1.7515570488307248</v>
      </c>
      <c r="L457">
        <v>0</v>
      </c>
      <c r="M457">
        <v>1.3945691621552795E-3</v>
      </c>
      <c r="N457">
        <v>0.139209651001443</v>
      </c>
      <c r="O457">
        <v>1.867356751378732E-2</v>
      </c>
      <c r="P457">
        <v>1.9976022135355195E-2</v>
      </c>
      <c r="Q457">
        <v>2.2534148732748856E-3</v>
      </c>
      <c r="R457">
        <v>1.3855975824459815E-3</v>
      </c>
      <c r="S457">
        <v>0.15985404268123241</v>
      </c>
      <c r="T457">
        <v>1.0716134433760993</v>
      </c>
      <c r="U457">
        <v>2.4193908942808404E-2</v>
      </c>
      <c r="V457">
        <v>0.21214979416513166</v>
      </c>
      <c r="W457">
        <v>8.3373386488279952E-2</v>
      </c>
      <c r="X457">
        <v>1.6497649375721544E-2</v>
      </c>
      <c r="Y457">
        <v>3.7711398572976662E-3</v>
      </c>
    </row>
    <row r="458" spans="1:25" x14ac:dyDescent="0.25">
      <c r="A458" s="827"/>
      <c r="B458" s="1066">
        <v>208</v>
      </c>
      <c r="C458" s="831">
        <v>1.0181460967694653</v>
      </c>
      <c r="D458" s="831">
        <v>0.99006827715660184</v>
      </c>
      <c r="E458" s="831">
        <v>0.99365883232915975</v>
      </c>
      <c r="F458" s="831">
        <v>0.9874125040472973</v>
      </c>
      <c r="G458" s="831">
        <v>0.96108858742485836</v>
      </c>
      <c r="H458" s="831">
        <v>0.9824741715118549</v>
      </c>
      <c r="I458" s="831">
        <v>1.015895946317767</v>
      </c>
      <c r="K458">
        <v>1.7258647978403616</v>
      </c>
      <c r="L458">
        <v>0</v>
      </c>
      <c r="M458">
        <v>1.3611005260383998E-3</v>
      </c>
      <c r="N458">
        <v>0.13441556329912582</v>
      </c>
      <c r="O458">
        <v>1.7597713936104764E-2</v>
      </c>
      <c r="P458">
        <v>1.9705668513447901E-2</v>
      </c>
      <c r="Q458">
        <v>2.117891198417694E-3</v>
      </c>
      <c r="R458">
        <v>1.35257589240992E-3</v>
      </c>
      <c r="S458">
        <v>0.15177153460257695</v>
      </c>
      <c r="T458">
        <v>1.071925535481292</v>
      </c>
      <c r="U458">
        <v>2.2906857839267415E-2</v>
      </c>
      <c r="V458">
        <v>0.20516753197053286</v>
      </c>
      <c r="W458">
        <v>8.0696386185373864E-2</v>
      </c>
      <c r="X458">
        <v>1.5887373745234704E-2</v>
      </c>
      <c r="Y458">
        <v>3.6812657026167013E-3</v>
      </c>
    </row>
    <row r="459" spans="1:25" x14ac:dyDescent="0.25">
      <c r="A459" s="827"/>
      <c r="B459" s="1066">
        <v>209</v>
      </c>
      <c r="C459" s="831">
        <v>1.0116584908287181</v>
      </c>
      <c r="D459" s="831">
        <v>1.0152230032216827</v>
      </c>
      <c r="E459" s="831">
        <v>1.008321185082518</v>
      </c>
      <c r="F459" s="831">
        <v>1.0317702606967705</v>
      </c>
      <c r="G459" s="831">
        <v>1.0105919353836645</v>
      </c>
      <c r="H459" s="831">
        <v>0.99617429835730043</v>
      </c>
      <c r="I459" s="831">
        <v>0.99556232514806908</v>
      </c>
      <c r="K459">
        <v>1.7253420340960171</v>
      </c>
      <c r="L459">
        <v>0</v>
      </c>
      <c r="M459">
        <v>1.3314956773271978E-3</v>
      </c>
      <c r="N459">
        <v>0.13763873057208417</v>
      </c>
      <c r="O459">
        <v>1.7510488635523312E-2</v>
      </c>
      <c r="P459">
        <v>1.9847909129685339E-2</v>
      </c>
      <c r="Q459">
        <v>2.1430629185324851E-3</v>
      </c>
      <c r="R459">
        <v>1.323254342056344E-3</v>
      </c>
      <c r="S459">
        <v>0.149099348441977</v>
      </c>
      <c r="T459">
        <v>1.0706249728989949</v>
      </c>
      <c r="U459">
        <v>2.3053755896615017E-2</v>
      </c>
      <c r="V459">
        <v>0.20357576523255508</v>
      </c>
      <c r="W459">
        <v>8.1807115009222109E-2</v>
      </c>
      <c r="X459">
        <v>1.6447664587695924E-2</v>
      </c>
      <c r="Y459">
        <v>3.6014621084007438E-3</v>
      </c>
    </row>
    <row r="460" spans="1:25" x14ac:dyDescent="0.25">
      <c r="A460" s="827"/>
      <c r="B460" s="1066">
        <v>210</v>
      </c>
      <c r="C460" s="831">
        <v>0.97863816609105159</v>
      </c>
      <c r="D460" s="831">
        <v>0.9849743286350382</v>
      </c>
      <c r="E460" s="831">
        <v>0.9949984316552164</v>
      </c>
      <c r="F460" s="831">
        <v>0.99792836313325728</v>
      </c>
      <c r="G460" s="831">
        <v>1.013805543409328</v>
      </c>
      <c r="H460" s="831">
        <v>0.99561387589459038</v>
      </c>
      <c r="I460" s="831">
        <v>1.0087897696333794</v>
      </c>
      <c r="K460">
        <v>1.7520571943339545</v>
      </c>
      <c r="L460">
        <v>0</v>
      </c>
      <c r="M460">
        <v>1.4342965601746094E-3</v>
      </c>
      <c r="N460">
        <v>0.14224804973575467</v>
      </c>
      <c r="O460">
        <v>1.8351030550934441E-2</v>
      </c>
      <c r="P460">
        <v>1.9887827159921021E-2</v>
      </c>
      <c r="Q460">
        <v>2.2105972089927809E-3</v>
      </c>
      <c r="R460">
        <v>1.425435800653822E-3</v>
      </c>
      <c r="S460">
        <v>0.15810949411235031</v>
      </c>
      <c r="T460">
        <v>1.0718063751990836</v>
      </c>
      <c r="U460">
        <v>2.3831614897526145E-2</v>
      </c>
      <c r="V460">
        <v>0.20996378465675555</v>
      </c>
      <c r="W460">
        <v>8.5320067763533722E-2</v>
      </c>
      <c r="X460">
        <v>1.6457647454028862E-2</v>
      </c>
      <c r="Y460">
        <v>3.8795663545943054E-3</v>
      </c>
    </row>
    <row r="461" spans="1:25" x14ac:dyDescent="0.25">
      <c r="A461" s="827"/>
      <c r="B461" s="1066">
        <v>211</v>
      </c>
      <c r="C461" s="831">
        <v>1.0313071130230749</v>
      </c>
      <c r="D461" s="831">
        <v>0.99485861020894661</v>
      </c>
      <c r="E461" s="831">
        <v>0.97786214666291815</v>
      </c>
      <c r="F461" s="831">
        <v>0.96962282260475896</v>
      </c>
      <c r="G461" s="831">
        <v>1.0210108219233169</v>
      </c>
      <c r="H461" s="831">
        <v>1.0034203396578636</v>
      </c>
      <c r="I461" s="831">
        <v>0.9978978692222007</v>
      </c>
      <c r="K461">
        <v>1.7194385131817982</v>
      </c>
      <c r="L461">
        <v>0</v>
      </c>
      <c r="M461">
        <v>1.4155986852087256E-3</v>
      </c>
      <c r="N461">
        <v>0.13310351770042778</v>
      </c>
      <c r="O461">
        <v>1.7335165025129658E-2</v>
      </c>
      <c r="P461">
        <v>1.9416631532633608E-2</v>
      </c>
      <c r="Q461">
        <v>2.0539849222401116E-3</v>
      </c>
      <c r="R461">
        <v>1.4069143740467055E-3</v>
      </c>
      <c r="S461">
        <v>0.14834383338763438</v>
      </c>
      <c r="T461">
        <v>1.0733357812939304</v>
      </c>
      <c r="U461">
        <v>2.2614532183277331E-2</v>
      </c>
      <c r="V461">
        <v>0.20337220739396028</v>
      </c>
      <c r="W461">
        <v>8.0785844934283216E-2</v>
      </c>
      <c r="X461">
        <v>1.5256541982487033E-2</v>
      </c>
      <c r="Y461">
        <v>3.8291571369563739E-3</v>
      </c>
    </row>
    <row r="462" spans="1:25" x14ac:dyDescent="0.25">
      <c r="A462" s="827"/>
      <c r="B462" s="1066">
        <v>212</v>
      </c>
      <c r="C462" s="831">
        <v>1.0012060510542897</v>
      </c>
      <c r="D462" s="831">
        <v>0.97463811350765261</v>
      </c>
      <c r="E462" s="831">
        <v>0.98739781754183087</v>
      </c>
      <c r="F462" s="831">
        <v>1.0407458903546711</v>
      </c>
      <c r="G462" s="831">
        <v>1.0047297497326728</v>
      </c>
      <c r="H462" s="831">
        <v>1.0384356729751953</v>
      </c>
      <c r="I462" s="831">
        <v>1.0208933828992433</v>
      </c>
      <c r="K462">
        <v>1.7565475960029544</v>
      </c>
      <c r="L462">
        <v>0</v>
      </c>
      <c r="M462">
        <v>1.4929532195576683E-3</v>
      </c>
      <c r="N462">
        <v>0.14464084151188081</v>
      </c>
      <c r="O462">
        <v>1.8023512093187217E-2</v>
      </c>
      <c r="P462">
        <v>1.97848172143687E-2</v>
      </c>
      <c r="Q462">
        <v>2.1526563463075722E-3</v>
      </c>
      <c r="R462">
        <v>1.484118104323141E-3</v>
      </c>
      <c r="S462">
        <v>0.16025905305144567</v>
      </c>
      <c r="T462">
        <v>1.0724833629448463</v>
      </c>
      <c r="U462">
        <v>2.3294433622074163E-2</v>
      </c>
      <c r="V462">
        <v>0.20844223761856526</v>
      </c>
      <c r="W462">
        <v>8.7210418347130281E-2</v>
      </c>
      <c r="X462">
        <v>1.6225818127816979E-2</v>
      </c>
      <c r="Y462">
        <v>4.0392802405659857E-3</v>
      </c>
    </row>
    <row r="463" spans="1:25" x14ac:dyDescent="0.25">
      <c r="A463" s="827"/>
      <c r="B463" s="1066">
        <v>213</v>
      </c>
      <c r="C463" s="831">
        <v>1.0328257180419202</v>
      </c>
      <c r="D463" s="831">
        <v>0.96995983847681821</v>
      </c>
      <c r="E463" s="831">
        <v>1.0033570546633968</v>
      </c>
      <c r="F463" s="831">
        <v>1.0092096201685279</v>
      </c>
      <c r="G463" s="831">
        <v>1.0240672741975201</v>
      </c>
      <c r="H463" s="831">
        <v>1.0093494691148406</v>
      </c>
      <c r="I463" s="831">
        <v>1.0066284719906278</v>
      </c>
      <c r="K463">
        <v>1.7316270512615421</v>
      </c>
      <c r="L463">
        <v>0</v>
      </c>
      <c r="M463">
        <v>1.3632247705715305E-3</v>
      </c>
      <c r="N463">
        <v>0.13877437638619297</v>
      </c>
      <c r="O463">
        <v>1.7509975088353575E-2</v>
      </c>
      <c r="P463">
        <v>1.9832902169330636E-2</v>
      </c>
      <c r="Q463">
        <v>2.1243777412995124E-3</v>
      </c>
      <c r="R463">
        <v>1.3549281977335761E-3</v>
      </c>
      <c r="S463">
        <v>0.15142646060316714</v>
      </c>
      <c r="T463">
        <v>1.071064386423719</v>
      </c>
      <c r="U463">
        <v>2.2581281130875763E-2</v>
      </c>
      <c r="V463">
        <v>0.20552169110671165</v>
      </c>
      <c r="W463">
        <v>8.2761596167157225E-2</v>
      </c>
      <c r="X463">
        <v>1.6350633115298881E-2</v>
      </c>
      <c r="Y463">
        <v>3.6876679022704519E-3</v>
      </c>
    </row>
    <row r="464" spans="1:25" x14ac:dyDescent="0.25">
      <c r="A464" s="827"/>
      <c r="B464" s="1066">
        <v>214</v>
      </c>
      <c r="C464" s="831">
        <v>1.0241829043713779</v>
      </c>
      <c r="D464" s="831">
        <v>0.99432667901815197</v>
      </c>
      <c r="E464" s="831">
        <v>1.0476399689915068</v>
      </c>
      <c r="F464" s="831">
        <v>0.96882518688397834</v>
      </c>
      <c r="G464" s="831">
        <v>1.0070527857996718</v>
      </c>
      <c r="H464" s="831">
        <v>1.0204459968643853</v>
      </c>
      <c r="I464" s="831">
        <v>1.0078389173150935</v>
      </c>
      <c r="K464">
        <v>1.7386048209063403</v>
      </c>
      <c r="L464">
        <v>0</v>
      </c>
      <c r="M464">
        <v>1.2514751175319186E-3</v>
      </c>
      <c r="N464">
        <v>0.14618647023636308</v>
      </c>
      <c r="O464">
        <v>1.7459980282551694E-2</v>
      </c>
      <c r="P464">
        <v>2.0422183457441855E-2</v>
      </c>
      <c r="Q464">
        <v>2.2179101834598155E-3</v>
      </c>
      <c r="R464">
        <v>1.2439260842315655E-3</v>
      </c>
      <c r="S464">
        <v>0.15210313240702461</v>
      </c>
      <c r="T464">
        <v>1.0671775384275766</v>
      </c>
      <c r="U464">
        <v>2.2771838700645048E-2</v>
      </c>
      <c r="V464">
        <v>0.20415012831996207</v>
      </c>
      <c r="W464">
        <v>8.462491299777572E-2</v>
      </c>
      <c r="X464">
        <v>1.8112718185683677E-2</v>
      </c>
      <c r="Y464">
        <v>3.3855567411548606E-3</v>
      </c>
    </row>
    <row r="465" spans="1:25" x14ac:dyDescent="0.25">
      <c r="A465" s="827"/>
      <c r="B465" s="1066">
        <v>215</v>
      </c>
      <c r="C465" s="831">
        <v>0.98886735272928972</v>
      </c>
      <c r="D465" s="831">
        <v>0.97106712868910039</v>
      </c>
      <c r="E465" s="831">
        <v>1.0203271397436429</v>
      </c>
      <c r="F465" s="831">
        <v>1.0213116220942904</v>
      </c>
      <c r="G465" s="831">
        <v>1.0231366850959567</v>
      </c>
      <c r="H465" s="831">
        <v>1.0016285527432782</v>
      </c>
      <c r="I465" s="831">
        <v>1.033538707790201</v>
      </c>
      <c r="K465">
        <v>1.7594058868407623</v>
      </c>
      <c r="L465">
        <v>0</v>
      </c>
      <c r="M465">
        <v>1.3625350718168147E-3</v>
      </c>
      <c r="N465">
        <v>0.14621017400655892</v>
      </c>
      <c r="O465">
        <v>1.8278867811072155E-2</v>
      </c>
      <c r="P465">
        <v>2.0283097763317437E-2</v>
      </c>
      <c r="Q465">
        <v>2.2557796843327457E-3</v>
      </c>
      <c r="R465">
        <v>1.3541779866494926E-3</v>
      </c>
      <c r="S465">
        <v>0.16172163900221251</v>
      </c>
      <c r="T465">
        <v>1.069566085974992</v>
      </c>
      <c r="U465">
        <v>2.3585092412984041E-2</v>
      </c>
      <c r="V465">
        <v>0.21016241322900411</v>
      </c>
      <c r="W465">
        <v>8.6197708289664901E-2</v>
      </c>
      <c r="X465">
        <v>1.7467759676783164E-2</v>
      </c>
      <c r="Y465">
        <v>3.6856260750065943E-3</v>
      </c>
    </row>
    <row r="466" spans="1:25" x14ac:dyDescent="0.25">
      <c r="A466" s="827"/>
      <c r="B466" s="1066">
        <v>216</v>
      </c>
      <c r="C466" s="831">
        <v>1.0256821817676072</v>
      </c>
      <c r="D466" s="831">
        <v>0.98360954689445224</v>
      </c>
      <c r="E466" s="831">
        <v>1.0118339625667716</v>
      </c>
      <c r="F466" s="831">
        <v>1.0052974082519015</v>
      </c>
      <c r="G466" s="831">
        <v>0.98589772902677364</v>
      </c>
      <c r="H466" s="831">
        <v>0.97648710099580993</v>
      </c>
      <c r="I466" s="831">
        <v>0.97847281634915939</v>
      </c>
      <c r="K466">
        <v>1.718361860850955</v>
      </c>
      <c r="L466">
        <v>0</v>
      </c>
      <c r="M466">
        <v>1.2962568458533574E-3</v>
      </c>
      <c r="N466">
        <v>0.13545256661771396</v>
      </c>
      <c r="O466">
        <v>1.7520361844332324E-2</v>
      </c>
      <c r="P466">
        <v>1.9855040428630972E-2</v>
      </c>
      <c r="Q466">
        <v>2.1462388964986964E-3</v>
      </c>
      <c r="R466">
        <v>1.2880929395114799E-3</v>
      </c>
      <c r="S466">
        <v>0.14508864258882426</v>
      </c>
      <c r="T466">
        <v>1.0703145926494211</v>
      </c>
      <c r="U466">
        <v>2.2738552265878672E-2</v>
      </c>
      <c r="V466">
        <v>0.20497953778951794</v>
      </c>
      <c r="W466">
        <v>8.0315820811539901E-2</v>
      </c>
      <c r="X466">
        <v>1.6452906503310508E-2</v>
      </c>
      <c r="Y466">
        <v>3.5057643616268571E-3</v>
      </c>
    </row>
    <row r="467" spans="1:25" x14ac:dyDescent="0.25">
      <c r="A467" s="827"/>
      <c r="B467" s="1066">
        <v>217</v>
      </c>
      <c r="C467" s="831">
        <v>1.0016043382624453</v>
      </c>
      <c r="D467" s="831">
        <v>0.97281072134603086</v>
      </c>
      <c r="E467" s="831">
        <v>0.96032125801668333</v>
      </c>
      <c r="F467" s="831">
        <v>1.0114648888920499</v>
      </c>
      <c r="G467" s="831">
        <v>0.9875650126437715</v>
      </c>
      <c r="H467" s="831">
        <v>1.0242187387910597</v>
      </c>
      <c r="I467" s="831">
        <v>0.95883603690535968</v>
      </c>
      <c r="K467">
        <v>1.7391607186188649</v>
      </c>
      <c r="L467">
        <v>0</v>
      </c>
      <c r="M467">
        <v>1.559260059958886E-3</v>
      </c>
      <c r="N467">
        <v>0.13882658631418562</v>
      </c>
      <c r="O467">
        <v>1.8031715273520686E-2</v>
      </c>
      <c r="P467">
        <v>1.9272087398177633E-2</v>
      </c>
      <c r="Q467">
        <v>2.0946498129458704E-3</v>
      </c>
      <c r="R467">
        <v>1.5499059147032525E-3</v>
      </c>
      <c r="S467">
        <v>0.14958602339372468</v>
      </c>
      <c r="T467">
        <v>1.0749127184391616</v>
      </c>
      <c r="U467">
        <v>2.328517060814897E-2</v>
      </c>
      <c r="V467">
        <v>0.20857690447395097</v>
      </c>
      <c r="W467">
        <v>8.5299232736514616E-2</v>
      </c>
      <c r="X467">
        <v>1.5066651340314246E-2</v>
      </c>
      <c r="Y467">
        <v>4.2183329734747843E-3</v>
      </c>
    </row>
    <row r="468" spans="1:25" x14ac:dyDescent="0.25">
      <c r="A468" s="827"/>
      <c r="B468" s="1066">
        <v>218</v>
      </c>
      <c r="C468" s="831">
        <v>0.99861973665310866</v>
      </c>
      <c r="D468" s="831">
        <v>0.98697771196247963</v>
      </c>
      <c r="E468" s="831">
        <v>0.97584174343771135</v>
      </c>
      <c r="F468" s="831">
        <v>1.0159957695409665</v>
      </c>
      <c r="G468" s="831">
        <v>0.98030922493257933</v>
      </c>
      <c r="H468" s="831">
        <v>1.0279939331597756</v>
      </c>
      <c r="I468" s="831">
        <v>0.99141437435321655</v>
      </c>
      <c r="K468">
        <v>1.7450576299815801</v>
      </c>
      <c r="L468">
        <v>0</v>
      </c>
      <c r="M468">
        <v>1.5095283886748039E-3</v>
      </c>
      <c r="N468">
        <v>0.14106585766115853</v>
      </c>
      <c r="O468">
        <v>1.7967269553731735E-2</v>
      </c>
      <c r="P468">
        <v>1.9537123161540399E-2</v>
      </c>
      <c r="Q468">
        <v>2.1231146191842765E-3</v>
      </c>
      <c r="R468">
        <v>1.5004950956402266E-3</v>
      </c>
      <c r="S468">
        <v>0.15446990030096142</v>
      </c>
      <c r="T468">
        <v>1.0735168290495072</v>
      </c>
      <c r="U468">
        <v>2.3354763622506672E-2</v>
      </c>
      <c r="V468">
        <v>0.2075448399148612</v>
      </c>
      <c r="W468">
        <v>8.5738889432565427E-2</v>
      </c>
      <c r="X468">
        <v>1.5664222946337594E-2</v>
      </c>
      <c r="Y468">
        <v>4.083853012257355E-3</v>
      </c>
    </row>
    <row r="469" spans="1:25" x14ac:dyDescent="0.25">
      <c r="A469" s="827"/>
      <c r="B469" s="1066">
        <v>219</v>
      </c>
      <c r="C469" s="831">
        <v>0.98411324045178905</v>
      </c>
      <c r="D469" s="831">
        <v>1.0077997892150909</v>
      </c>
      <c r="E469" s="831">
        <v>0.98853956458568726</v>
      </c>
      <c r="F469" s="831">
        <v>1.0459316925080586</v>
      </c>
      <c r="G469" s="831">
        <v>0.9603358996792194</v>
      </c>
      <c r="H469" s="831">
        <v>1.018656222585258</v>
      </c>
      <c r="I469" s="831">
        <v>0.97313874415763701</v>
      </c>
      <c r="K469">
        <v>1.7432060568231553</v>
      </c>
      <c r="L469">
        <v>0</v>
      </c>
      <c r="M469">
        <v>1.4640259438911331E-3</v>
      </c>
      <c r="N469">
        <v>0.14232464654162733</v>
      </c>
      <c r="O469">
        <v>1.8060462311297949E-2</v>
      </c>
      <c r="P469">
        <v>1.9675495654399765E-2</v>
      </c>
      <c r="Q469">
        <v>2.1655226371528899E-3</v>
      </c>
      <c r="R469">
        <v>1.4551695645932553E-3</v>
      </c>
      <c r="S469">
        <v>0.15186716771643052</v>
      </c>
      <c r="T469">
        <v>1.0723815284991147</v>
      </c>
      <c r="U469">
        <v>2.3699028668282333E-2</v>
      </c>
      <c r="V469">
        <v>0.20719209925088336</v>
      </c>
      <c r="W469">
        <v>8.5746300750278365E-2</v>
      </c>
      <c r="X469">
        <v>1.6142169314680644E-2</v>
      </c>
      <c r="Y469">
        <v>3.9604918583047944E-3</v>
      </c>
    </row>
    <row r="470" spans="1:25" x14ac:dyDescent="0.25">
      <c r="A470" s="827"/>
      <c r="B470" s="1066">
        <v>220</v>
      </c>
      <c r="C470" s="831">
        <v>0.97985035821703026</v>
      </c>
      <c r="D470" s="831">
        <v>0.9806999088418954</v>
      </c>
      <c r="E470" s="831">
        <v>1.0170329681293786</v>
      </c>
      <c r="F470" s="831">
        <v>1.0272223628576176</v>
      </c>
      <c r="G470" s="831">
        <v>1.0213832430373557</v>
      </c>
      <c r="H470" s="831">
        <v>0.99902285853919048</v>
      </c>
      <c r="I470" s="831">
        <v>1.0356770501002308</v>
      </c>
      <c r="K470">
        <v>1.7608577731769439</v>
      </c>
      <c r="L470">
        <v>0</v>
      </c>
      <c r="M470">
        <v>1.3748993350501258E-3</v>
      </c>
      <c r="N470">
        <v>0.14603161688071892</v>
      </c>
      <c r="O470">
        <v>1.8364544139448765E-2</v>
      </c>
      <c r="P470">
        <v>2.0255404020812013E-2</v>
      </c>
      <c r="Q470">
        <v>2.2607900619181884E-3</v>
      </c>
      <c r="R470">
        <v>1.3664375280806385E-3</v>
      </c>
      <c r="S470">
        <v>0.16267726066724952</v>
      </c>
      <c r="T470">
        <v>1.0698560782738358</v>
      </c>
      <c r="U470">
        <v>2.3802132338596765E-2</v>
      </c>
      <c r="V470">
        <v>0.21024023444761655</v>
      </c>
      <c r="W470">
        <v>8.6284198643959462E-2</v>
      </c>
      <c r="X470">
        <v>1.7374983004329238E-2</v>
      </c>
      <c r="Y470">
        <v>3.7189925054254272E-3</v>
      </c>
    </row>
    <row r="471" spans="1:25" x14ac:dyDescent="0.25">
      <c r="A471" s="827"/>
      <c r="B471" s="1066">
        <v>221</v>
      </c>
      <c r="C471" s="831">
        <v>1.0049274191747724</v>
      </c>
      <c r="D471" s="831">
        <v>1.009698345301034</v>
      </c>
      <c r="E471" s="831">
        <v>1.019439012219105</v>
      </c>
      <c r="F471" s="831">
        <v>0.99717032242480597</v>
      </c>
      <c r="G471" s="831">
        <v>0.98901251695705372</v>
      </c>
      <c r="H471" s="831">
        <v>1.0138940756455612</v>
      </c>
      <c r="I471" s="831">
        <v>0.97911843831788792</v>
      </c>
      <c r="K471">
        <v>1.7346708172144345</v>
      </c>
      <c r="L471">
        <v>0</v>
      </c>
      <c r="M471">
        <v>1.3359093755719305E-3</v>
      </c>
      <c r="N471">
        <v>0.14296595617761201</v>
      </c>
      <c r="O471">
        <v>1.7671335672175562E-2</v>
      </c>
      <c r="P471">
        <v>2.001757557810303E-2</v>
      </c>
      <c r="Q471">
        <v>2.1858955537108027E-3</v>
      </c>
      <c r="R471">
        <v>1.3277888194498937E-3</v>
      </c>
      <c r="S471">
        <v>0.14918705920073616</v>
      </c>
      <c r="T471">
        <v>1.0696442290912413</v>
      </c>
      <c r="U471">
        <v>2.3208171508998357E-2</v>
      </c>
      <c r="V471">
        <v>0.20477165434769046</v>
      </c>
      <c r="W471">
        <v>8.433562113383114E-2</v>
      </c>
      <c r="X471">
        <v>1.7077636045379388E-2</v>
      </c>
      <c r="Y471">
        <v>3.6138034610759149E-3</v>
      </c>
    </row>
    <row r="472" spans="1:25" x14ac:dyDescent="0.25">
      <c r="A472" s="827"/>
      <c r="B472" s="1066">
        <v>222</v>
      </c>
      <c r="C472" s="831">
        <v>1.0088451306314887</v>
      </c>
      <c r="D472" s="831">
        <v>1.0490926687062934</v>
      </c>
      <c r="E472" s="831">
        <v>1.0288804043725219</v>
      </c>
      <c r="F472" s="831">
        <v>0.99760533452682021</v>
      </c>
      <c r="G472" s="831">
        <v>1.0257268085842117</v>
      </c>
      <c r="H472" s="831">
        <v>0.98084013995722863</v>
      </c>
      <c r="I472" s="831">
        <v>1.0155723115602897</v>
      </c>
      <c r="K472">
        <v>1.7189400682531071</v>
      </c>
      <c r="L472">
        <v>0</v>
      </c>
      <c r="M472">
        <v>1.2403104453313533E-3</v>
      </c>
      <c r="N472">
        <v>0.13665386273865723</v>
      </c>
      <c r="O472">
        <v>1.7301177778538918E-2</v>
      </c>
      <c r="P472">
        <v>2.0092887353521768E-2</v>
      </c>
      <c r="Q472">
        <v>2.1669285025211929E-3</v>
      </c>
      <c r="R472">
        <v>1.2324929594019799E-3</v>
      </c>
      <c r="S472">
        <v>0.14937984338418328</v>
      </c>
      <c r="T472">
        <v>1.0688150455517391</v>
      </c>
      <c r="U472">
        <v>2.311804576357961E-2</v>
      </c>
      <c r="V472">
        <v>0.20096316958076685</v>
      </c>
      <c r="W472">
        <v>8.0101651856426162E-2</v>
      </c>
      <c r="X472">
        <v>1.7000833684803394E-2</v>
      </c>
      <c r="Y472">
        <v>3.3544395442973145E-3</v>
      </c>
    </row>
    <row r="473" spans="1:25" x14ac:dyDescent="0.25">
      <c r="A473" s="827"/>
      <c r="B473" s="1066">
        <v>223</v>
      </c>
      <c r="C473" s="831">
        <v>1.0134902559780754</v>
      </c>
      <c r="D473" s="831">
        <v>0.98832009077336036</v>
      </c>
      <c r="E473" s="831">
        <v>0.96559453769238124</v>
      </c>
      <c r="F473" s="831">
        <v>0.97828931581575185</v>
      </c>
      <c r="G473" s="831">
        <v>0.95909760256373444</v>
      </c>
      <c r="H473" s="831">
        <v>0.97071402921483685</v>
      </c>
      <c r="I473" s="831">
        <v>0.98597362099125951</v>
      </c>
      <c r="K473">
        <v>1.7174645928595784</v>
      </c>
      <c r="L473">
        <v>0</v>
      </c>
      <c r="M473">
        <v>1.4341147044726488E-3</v>
      </c>
      <c r="N473">
        <v>0.12975808047770937</v>
      </c>
      <c r="O473">
        <v>1.7692731345800825E-2</v>
      </c>
      <c r="P473">
        <v>1.9273202417220719E-2</v>
      </c>
      <c r="Q473">
        <v>2.0691320473681346E-3</v>
      </c>
      <c r="R473">
        <v>1.4250252806291266E-3</v>
      </c>
      <c r="S473">
        <v>0.14726090697202801</v>
      </c>
      <c r="T473">
        <v>1.0744374357253439</v>
      </c>
      <c r="U473">
        <v>2.3012088928073271E-2</v>
      </c>
      <c r="V473">
        <v>0.20582241936560111</v>
      </c>
      <c r="W473">
        <v>7.9432567547025587E-2</v>
      </c>
      <c r="X473">
        <v>1.4836668402833368E-2</v>
      </c>
      <c r="Y473">
        <v>3.8784490544149738E-3</v>
      </c>
    </row>
    <row r="474" spans="1:25" x14ac:dyDescent="0.25">
      <c r="A474" s="827"/>
      <c r="B474" s="1066">
        <v>224</v>
      </c>
      <c r="C474" s="831">
        <v>0.99710199851520054</v>
      </c>
      <c r="D474" s="831">
        <v>1.001421520823063</v>
      </c>
      <c r="E474" s="831">
        <v>0.99436523344921846</v>
      </c>
      <c r="F474" s="831">
        <v>0.99242739183521445</v>
      </c>
      <c r="G474" s="831">
        <v>0.99987237790791306</v>
      </c>
      <c r="H474" s="831">
        <v>0.99975557915263669</v>
      </c>
      <c r="I474" s="831">
        <v>0.99698528175179868</v>
      </c>
      <c r="K474">
        <v>1.7364696369643902</v>
      </c>
      <c r="L474">
        <v>0</v>
      </c>
      <c r="M474">
        <v>1.4049029764052084E-3</v>
      </c>
      <c r="N474">
        <v>0.13906100444325126</v>
      </c>
      <c r="O474">
        <v>1.7876506661563395E-2</v>
      </c>
      <c r="P474">
        <v>1.9749478122108494E-2</v>
      </c>
      <c r="Q474">
        <v>2.1549950651643846E-3</v>
      </c>
      <c r="R474">
        <v>1.3962480478294671E-3</v>
      </c>
      <c r="S474">
        <v>0.15261147205159165</v>
      </c>
      <c r="T474">
        <v>1.0718626911295446</v>
      </c>
      <c r="U474">
        <v>2.3390313060281789E-2</v>
      </c>
      <c r="V474">
        <v>0.20636172838848407</v>
      </c>
      <c r="W474">
        <v>8.3444765001542145E-2</v>
      </c>
      <c r="X474">
        <v>1.616521105628789E-2</v>
      </c>
      <c r="Y474">
        <v>3.8001269131465436E-3</v>
      </c>
    </row>
    <row r="475" spans="1:25" x14ac:dyDescent="0.25">
      <c r="A475" s="827"/>
      <c r="B475" s="1066">
        <v>225</v>
      </c>
      <c r="C475" s="831">
        <v>1.0020811320097107</v>
      </c>
      <c r="D475" s="831">
        <v>0.96835711280079495</v>
      </c>
      <c r="E475" s="831">
        <v>0.98889822515498305</v>
      </c>
      <c r="F475" s="831">
        <v>1.026556556464816</v>
      </c>
      <c r="G475" s="831">
        <v>0.97891020152700514</v>
      </c>
      <c r="H475" s="831">
        <v>0.99766190442345026</v>
      </c>
      <c r="I475" s="831">
        <v>0.98575839261903941</v>
      </c>
      <c r="K475">
        <v>1.7399248228147857</v>
      </c>
      <c r="L475">
        <v>0</v>
      </c>
      <c r="M475">
        <v>1.4327671660210146E-3</v>
      </c>
      <c r="N475">
        <v>0.13942644787210431</v>
      </c>
      <c r="O475">
        <v>1.8060768137737094E-2</v>
      </c>
      <c r="P475">
        <v>1.9701700573733348E-2</v>
      </c>
      <c r="Q475">
        <v>2.1592209485197045E-3</v>
      </c>
      <c r="R475">
        <v>1.42394641507762E-3</v>
      </c>
      <c r="S475">
        <v>0.15210447549155259</v>
      </c>
      <c r="T475">
        <v>1.0723495490561208</v>
      </c>
      <c r="U475">
        <v>2.3274091441607123E-2</v>
      </c>
      <c r="V475">
        <v>0.20895464331389221</v>
      </c>
      <c r="W475">
        <v>8.3979448363936698E-2</v>
      </c>
      <c r="X475">
        <v>1.6047785628491986E-2</v>
      </c>
      <c r="Y475">
        <v>3.875512738031705E-3</v>
      </c>
    </row>
    <row r="476" spans="1:25" x14ac:dyDescent="0.25">
      <c r="A476" s="827"/>
      <c r="B476" s="1066">
        <v>226</v>
      </c>
      <c r="C476" s="831">
        <v>0.9816309308906086</v>
      </c>
      <c r="D476" s="831">
        <v>0.98415696044156942</v>
      </c>
      <c r="E476" s="831">
        <v>0.97402336347498031</v>
      </c>
      <c r="F476" s="831">
        <v>0.99297117503011234</v>
      </c>
      <c r="G476" s="831">
        <v>0.99271278931479268</v>
      </c>
      <c r="H476" s="831">
        <v>0.99178432480732714</v>
      </c>
      <c r="I476" s="831">
        <v>1.0092173298848233</v>
      </c>
      <c r="K476">
        <v>1.7468092221965603</v>
      </c>
      <c r="L476">
        <v>0</v>
      </c>
      <c r="M476">
        <v>1.4891545343011703E-3</v>
      </c>
      <c r="N476">
        <v>0.13834520586956214</v>
      </c>
      <c r="O476">
        <v>1.8301976205374229E-2</v>
      </c>
      <c r="P476">
        <v>1.9586533016499708E-2</v>
      </c>
      <c r="Q476">
        <v>2.1581505352437015E-3</v>
      </c>
      <c r="R476">
        <v>1.4799199819907347E-3</v>
      </c>
      <c r="S476">
        <v>0.15746402405300619</v>
      </c>
      <c r="T476">
        <v>1.073679904562276</v>
      </c>
      <c r="U476">
        <v>2.3758957836773991E-2</v>
      </c>
      <c r="V476">
        <v>0.209700659024596</v>
      </c>
      <c r="W476">
        <v>8.4191836380646701E-2</v>
      </c>
      <c r="X476">
        <v>1.5603354929403035E-2</v>
      </c>
      <c r="Y476">
        <v>4.0278543354878293E-3</v>
      </c>
    </row>
    <row r="477" spans="1:25" x14ac:dyDescent="0.25">
      <c r="A477" s="827"/>
      <c r="B477" s="1066">
        <v>227</v>
      </c>
      <c r="C477" s="831">
        <v>1.0174788742695404</v>
      </c>
      <c r="D477" s="831">
        <v>1.0192279069472909</v>
      </c>
      <c r="E477" s="831">
        <v>0.98019260128927366</v>
      </c>
      <c r="F477" s="831">
        <v>0.9871983612447629</v>
      </c>
      <c r="G477" s="831">
        <v>0.99208073680492737</v>
      </c>
      <c r="H477" s="831">
        <v>0.97798041869761232</v>
      </c>
      <c r="I477" s="831">
        <v>1.0375849674892883</v>
      </c>
      <c r="K477">
        <v>1.7188625148915204</v>
      </c>
      <c r="L477">
        <v>0</v>
      </c>
      <c r="M477">
        <v>1.3764934628908976E-3</v>
      </c>
      <c r="N477">
        <v>0.13034730449632193</v>
      </c>
      <c r="O477">
        <v>1.7379362574507815E-2</v>
      </c>
      <c r="P477">
        <v>1.9504048599374563E-2</v>
      </c>
      <c r="Q477">
        <v>2.0681913923868219E-3</v>
      </c>
      <c r="R477">
        <v>1.3678123543749985E-3</v>
      </c>
      <c r="S477">
        <v>0.15293165636193687</v>
      </c>
      <c r="T477">
        <v>1.0731271403131071</v>
      </c>
      <c r="U477">
        <v>2.2921879252821516E-2</v>
      </c>
      <c r="V477">
        <v>0.2026248818595493</v>
      </c>
      <c r="W477">
        <v>7.898507306014467E-2</v>
      </c>
      <c r="X477">
        <v>1.5258923760498358E-2</v>
      </c>
      <c r="Y477">
        <v>3.7227343293873088E-3</v>
      </c>
    </row>
    <row r="478" spans="1:25" x14ac:dyDescent="0.25">
      <c r="A478" s="827"/>
      <c r="B478" s="1066">
        <v>228</v>
      </c>
      <c r="C478" s="831">
        <v>0.97916488141639768</v>
      </c>
      <c r="D478" s="831">
        <v>0.98964232982747025</v>
      </c>
      <c r="E478" s="831">
        <v>1.0175802892941992</v>
      </c>
      <c r="F478" s="831">
        <v>0.97457171382351271</v>
      </c>
      <c r="G478" s="831">
        <v>1.0032549206797761</v>
      </c>
      <c r="H478" s="831">
        <v>0.95226881459859547</v>
      </c>
      <c r="I478" s="831">
        <v>0.98007235438663265</v>
      </c>
      <c r="K478">
        <v>1.7350390715588513</v>
      </c>
      <c r="L478">
        <v>0</v>
      </c>
      <c r="M478">
        <v>1.3045786468913875E-3</v>
      </c>
      <c r="N478">
        <v>0.13875564140921764</v>
      </c>
      <c r="O478">
        <v>1.8301862096831673E-2</v>
      </c>
      <c r="P478">
        <v>2.0078262602881897E-2</v>
      </c>
      <c r="Q478">
        <v>2.2559929618851805E-3</v>
      </c>
      <c r="R478">
        <v>1.2961491421518308E-3</v>
      </c>
      <c r="S478">
        <v>0.15009527485714244</v>
      </c>
      <c r="T478">
        <v>1.0698078680647962</v>
      </c>
      <c r="U478">
        <v>2.3818795323384458E-2</v>
      </c>
      <c r="V478">
        <v>0.20945260423754278</v>
      </c>
      <c r="W478">
        <v>8.1954788031850814E-2</v>
      </c>
      <c r="X478">
        <v>1.6998720788568903E-2</v>
      </c>
      <c r="Y478">
        <v>3.527690689487406E-3</v>
      </c>
    </row>
    <row r="479" spans="1:25" x14ac:dyDescent="0.25">
      <c r="A479" s="827"/>
      <c r="B479" s="1066">
        <v>229</v>
      </c>
      <c r="C479" s="831">
        <v>0.98769665120145533</v>
      </c>
      <c r="D479" s="831">
        <v>0.98733360069946119</v>
      </c>
      <c r="E479" s="831">
        <v>0.99583977527648282</v>
      </c>
      <c r="F479" s="831">
        <v>1.0130833026826604</v>
      </c>
      <c r="G479" s="831">
        <v>0.999684552364552</v>
      </c>
      <c r="H479" s="831">
        <v>1.0085333662798204</v>
      </c>
      <c r="I479" s="831">
        <v>0.99826263258479631</v>
      </c>
      <c r="K479">
        <v>1.7487170696922882</v>
      </c>
      <c r="L479">
        <v>0</v>
      </c>
      <c r="M479">
        <v>1.4354796261281133E-3</v>
      </c>
      <c r="N479">
        <v>0.14274983426382842</v>
      </c>
      <c r="O479">
        <v>1.81630014453221E-2</v>
      </c>
      <c r="P479">
        <v>1.9848141769475268E-2</v>
      </c>
      <c r="Q479">
        <v>2.1902354081941395E-3</v>
      </c>
      <c r="R479">
        <v>1.4267234402797267E-3</v>
      </c>
      <c r="S479">
        <v>0.15581328900598665</v>
      </c>
      <c r="T479">
        <v>1.0717315704396051</v>
      </c>
      <c r="U479">
        <v>2.361304745736777E-2</v>
      </c>
      <c r="V479">
        <v>0.20871456919913065</v>
      </c>
      <c r="W479">
        <v>8.5571602812486963E-2</v>
      </c>
      <c r="X479">
        <v>1.6447463191552741E-2</v>
      </c>
      <c r="Y479">
        <v>3.8830708851857292E-3</v>
      </c>
    </row>
    <row r="480" spans="1:25" x14ac:dyDescent="0.25">
      <c r="A480" s="827"/>
      <c r="B480" s="1066">
        <v>230</v>
      </c>
      <c r="C480" s="831">
        <v>1.0106001894919074</v>
      </c>
      <c r="D480" s="831">
        <v>1.0459655773451813</v>
      </c>
      <c r="E480" s="831">
        <v>0.98047535782095896</v>
      </c>
      <c r="F480" s="831">
        <v>0.98980722319753545</v>
      </c>
      <c r="G480" s="831">
        <v>0.98172224378252759</v>
      </c>
      <c r="H480" s="831">
        <v>1.0181949555604903</v>
      </c>
      <c r="I480" s="831">
        <v>0.97288176204436938</v>
      </c>
      <c r="K480">
        <v>1.7177362683580433</v>
      </c>
      <c r="L480">
        <v>0</v>
      </c>
      <c r="M480">
        <v>1.4252588272114012E-3</v>
      </c>
      <c r="N480">
        <v>0.13511625419807444</v>
      </c>
      <c r="O480">
        <v>1.7294374652427027E-2</v>
      </c>
      <c r="P480">
        <v>1.9389565315662396E-2</v>
      </c>
      <c r="Q480">
        <v>2.0629696637986332E-3</v>
      </c>
      <c r="R480">
        <v>1.4166072617168323E-3</v>
      </c>
      <c r="S480">
        <v>0.14555771899331585</v>
      </c>
      <c r="T480">
        <v>1.0731018395615881</v>
      </c>
      <c r="U480">
        <v>2.3077897808458661E-2</v>
      </c>
      <c r="V480">
        <v>0.20104417531921231</v>
      </c>
      <c r="W480">
        <v>8.1858800581084093E-2</v>
      </c>
      <c r="X480">
        <v>1.5385785847979465E-2</v>
      </c>
      <c r="Y480">
        <v>3.8555379819348971E-3</v>
      </c>
    </row>
    <row r="481" spans="1:25" x14ac:dyDescent="0.25">
      <c r="A481" s="827"/>
      <c r="B481" s="1066">
        <v>231</v>
      </c>
      <c r="C481" s="831">
        <v>0.97945478268686026</v>
      </c>
      <c r="D481" s="831">
        <v>0.99496925095768096</v>
      </c>
      <c r="E481" s="831">
        <v>0.99780723657320614</v>
      </c>
      <c r="F481" s="831">
        <v>0.97215178941148717</v>
      </c>
      <c r="G481" s="831">
        <v>1.0423012597074564</v>
      </c>
      <c r="H481" s="831">
        <v>0.98781463093248978</v>
      </c>
      <c r="I481" s="831">
        <v>1.0340013286494592</v>
      </c>
      <c r="K481">
        <v>1.7506457358632685</v>
      </c>
      <c r="L481">
        <v>0</v>
      </c>
      <c r="M481">
        <v>1.4070433048452239E-3</v>
      </c>
      <c r="N481">
        <v>0.14076262494619432</v>
      </c>
      <c r="O481">
        <v>1.8251968583269839E-2</v>
      </c>
      <c r="P481">
        <v>1.9946398005454821E-2</v>
      </c>
      <c r="Q481">
        <v>2.2067281917691867E-3</v>
      </c>
      <c r="R481">
        <v>1.3982750314970086E-3</v>
      </c>
      <c r="S481">
        <v>0.16065543888471087</v>
      </c>
      <c r="T481">
        <v>1.0715567455632991</v>
      </c>
      <c r="U481">
        <v>2.3811745381776959E-2</v>
      </c>
      <c r="V481">
        <v>0.20891300162482171</v>
      </c>
      <c r="W481">
        <v>8.4266597276051847E-2</v>
      </c>
      <c r="X481">
        <v>1.6477611984771299E-2</v>
      </c>
      <c r="Y481">
        <v>3.8056436944946055E-3</v>
      </c>
    </row>
    <row r="482" spans="1:25" x14ac:dyDescent="0.25">
      <c r="A482" s="827"/>
      <c r="B482" s="1066">
        <v>232</v>
      </c>
      <c r="C482" s="831">
        <v>0.97936798745977749</v>
      </c>
      <c r="D482" s="831">
        <v>1.0224439172173392</v>
      </c>
      <c r="E482" s="831">
        <v>1.0351786962015772</v>
      </c>
      <c r="F482" s="831">
        <v>0.98982423785692131</v>
      </c>
      <c r="G482" s="831">
        <v>0.97975923502296725</v>
      </c>
      <c r="H482" s="831">
        <v>1.0119314180247243</v>
      </c>
      <c r="I482" s="831">
        <v>1.0140482072877131</v>
      </c>
      <c r="K482">
        <v>1.7523990538873402</v>
      </c>
      <c r="L482">
        <v>0</v>
      </c>
      <c r="M482">
        <v>1.3158572797049165E-3</v>
      </c>
      <c r="N482">
        <v>0.1478700208999276</v>
      </c>
      <c r="O482">
        <v>1.8029973919039349E-2</v>
      </c>
      <c r="P482">
        <v>2.0377653279075342E-2</v>
      </c>
      <c r="Q482">
        <v>2.2675994343111976E-3</v>
      </c>
      <c r="R482">
        <v>1.3078349751652718E-3</v>
      </c>
      <c r="S482">
        <v>0.15757475365109525</v>
      </c>
      <c r="T482">
        <v>1.0682637824994017</v>
      </c>
      <c r="U482">
        <v>2.3813855667056964E-2</v>
      </c>
      <c r="V482">
        <v>0.20638697684517146</v>
      </c>
      <c r="W482">
        <v>8.6311624186180144E-2</v>
      </c>
      <c r="X482">
        <v>1.7951340135901741E-2</v>
      </c>
      <c r="Y482">
        <v>3.5594956747161751E-3</v>
      </c>
    </row>
    <row r="483" spans="1:25" x14ac:dyDescent="0.25">
      <c r="A483" s="827"/>
      <c r="B483" s="1066">
        <v>233</v>
      </c>
      <c r="C483" s="831">
        <v>1.0024618729086143</v>
      </c>
      <c r="D483" s="831">
        <v>1.0363613029328735</v>
      </c>
      <c r="E483" s="831">
        <v>0.98499918682974408</v>
      </c>
      <c r="F483" s="831">
        <v>0.97895644039454766</v>
      </c>
      <c r="G483" s="831">
        <v>1.0364226264049083</v>
      </c>
      <c r="H483" s="831">
        <v>0.9773880816270446</v>
      </c>
      <c r="I483" s="831">
        <v>1.0130315456073176</v>
      </c>
      <c r="K483">
        <v>1.7189661346229537</v>
      </c>
      <c r="L483">
        <v>0</v>
      </c>
      <c r="M483">
        <v>1.3718896722537545E-3</v>
      </c>
      <c r="N483">
        <v>0.13186953334694176</v>
      </c>
      <c r="O483">
        <v>1.7507433687620168E-2</v>
      </c>
      <c r="P483">
        <v>1.9541757217111069E-2</v>
      </c>
      <c r="Q483">
        <v>2.0964422430511643E-3</v>
      </c>
      <c r="R483">
        <v>1.3632207598370922E-3</v>
      </c>
      <c r="S483">
        <v>0.15046620577370837</v>
      </c>
      <c r="T483">
        <v>1.0726974608827859</v>
      </c>
      <c r="U483">
        <v>2.3265251805171971E-2</v>
      </c>
      <c r="V483">
        <v>0.20269434150393428</v>
      </c>
      <c r="W483">
        <v>7.9641897182101795E-2</v>
      </c>
      <c r="X483">
        <v>1.5484242370267768E-2</v>
      </c>
      <c r="Y483">
        <v>3.7102375226738598E-3</v>
      </c>
    </row>
    <row r="484" spans="1:25" x14ac:dyDescent="0.25">
      <c r="A484" s="827"/>
      <c r="B484" s="1066">
        <v>234</v>
      </c>
      <c r="C484" s="831">
        <v>0.97413609813280955</v>
      </c>
      <c r="D484" s="831">
        <v>1.0370454300508787</v>
      </c>
      <c r="E484" s="831">
        <v>1.0112194040386813</v>
      </c>
      <c r="F484" s="831">
        <v>0.9933068733424274</v>
      </c>
      <c r="G484" s="831">
        <v>1.0171882976462212</v>
      </c>
      <c r="H484" s="831">
        <v>0.96898988948747244</v>
      </c>
      <c r="I484" s="831">
        <v>1.0065984880233674</v>
      </c>
      <c r="K484">
        <v>1.7336608030974983</v>
      </c>
      <c r="L484">
        <v>0</v>
      </c>
      <c r="M484">
        <v>1.3240878100158353E-3</v>
      </c>
      <c r="N484">
        <v>0.13808614391240956</v>
      </c>
      <c r="O484">
        <v>1.8011150177946786E-2</v>
      </c>
      <c r="P484">
        <v>1.9984424641071901E-2</v>
      </c>
      <c r="Q484">
        <v>2.2145389098853965E-3</v>
      </c>
      <c r="R484">
        <v>1.3156479952893727E-3</v>
      </c>
      <c r="S484">
        <v>0.15320339868572386</v>
      </c>
      <c r="T484">
        <v>1.0703688598258436</v>
      </c>
      <c r="U484">
        <v>2.3941755102810557E-2</v>
      </c>
      <c r="V484">
        <v>0.20566376881909285</v>
      </c>
      <c r="W484">
        <v>8.1911546838679017E-2</v>
      </c>
      <c r="X484">
        <v>1.6702895858828337E-2</v>
      </c>
      <c r="Y484">
        <v>3.5807601399325852E-3</v>
      </c>
    </row>
    <row r="485" spans="1:25" x14ac:dyDescent="0.25">
      <c r="A485" s="827"/>
      <c r="B485" s="1066">
        <v>235</v>
      </c>
      <c r="C485" s="831">
        <v>0.99583270244809663</v>
      </c>
      <c r="D485" s="831">
        <v>0.97193548074793579</v>
      </c>
      <c r="E485" s="831">
        <v>0.98170553714926445</v>
      </c>
      <c r="F485" s="831">
        <v>1.013578125242798</v>
      </c>
      <c r="G485" s="831">
        <v>0.97122974982434351</v>
      </c>
      <c r="H485" s="831">
        <v>0.9948743751953445</v>
      </c>
      <c r="I485" s="831">
        <v>1.0294485900293595</v>
      </c>
      <c r="K485">
        <v>1.7474646563833605</v>
      </c>
      <c r="L485">
        <v>0</v>
      </c>
      <c r="M485">
        <v>1.4571789030560442E-3</v>
      </c>
      <c r="N485">
        <v>0.13865806851475812</v>
      </c>
      <c r="O485">
        <v>1.8143643799214522E-2</v>
      </c>
      <c r="P485">
        <v>1.9708094054937821E-2</v>
      </c>
      <c r="Q485">
        <v>2.1540371731685161E-3</v>
      </c>
      <c r="R485">
        <v>1.4481799791794753E-3</v>
      </c>
      <c r="S485">
        <v>0.15938766987000516</v>
      </c>
      <c r="T485">
        <v>1.0729917994059046</v>
      </c>
      <c r="U485">
        <v>2.3420126534274752E-2</v>
      </c>
      <c r="V485">
        <v>0.20929811986792624</v>
      </c>
      <c r="W485">
        <v>8.3932950876314125E-2</v>
      </c>
      <c r="X485">
        <v>1.5837676699806593E-2</v>
      </c>
      <c r="Y485">
        <v>3.9414685109246967E-3</v>
      </c>
    </row>
    <row r="486" spans="1:25" x14ac:dyDescent="0.25">
      <c r="A486" s="827"/>
      <c r="B486" s="1066">
        <v>236</v>
      </c>
      <c r="C486" s="831">
        <v>1.0085163014350849</v>
      </c>
      <c r="D486" s="831">
        <v>0.99886289593140332</v>
      </c>
      <c r="E486" s="831">
        <v>1.0055709730988345</v>
      </c>
      <c r="F486" s="831">
        <v>0.99336410540000242</v>
      </c>
      <c r="G486" s="831">
        <v>0.99847395381882165</v>
      </c>
      <c r="H486" s="831">
        <v>0.98029117850899816</v>
      </c>
      <c r="I486" s="831">
        <v>1.0349483353482942</v>
      </c>
      <c r="K486">
        <v>1.7322360711284224</v>
      </c>
      <c r="L486">
        <v>0</v>
      </c>
      <c r="M486">
        <v>1.3317364902287255E-3</v>
      </c>
      <c r="N486">
        <v>0.13647873449681999</v>
      </c>
      <c r="O486">
        <v>1.7694674280036387E-2</v>
      </c>
      <c r="P486">
        <v>1.9922272330670496E-2</v>
      </c>
      <c r="Q486">
        <v>2.1567858412982186E-3</v>
      </c>
      <c r="R486">
        <v>1.3233711484302681E-3</v>
      </c>
      <c r="S486">
        <v>0.15536136657533831</v>
      </c>
      <c r="T486">
        <v>1.0708683003668371</v>
      </c>
      <c r="U486">
        <v>2.3125583458706606E-2</v>
      </c>
      <c r="V486">
        <v>0.20537610310411708</v>
      </c>
      <c r="W486">
        <v>8.1269710737271142E-2</v>
      </c>
      <c r="X486">
        <v>1.6389125262280927E-2</v>
      </c>
      <c r="Y486">
        <v>3.6017800168453538E-3</v>
      </c>
    </row>
    <row r="487" spans="1:25" x14ac:dyDescent="0.25">
      <c r="A487" s="827"/>
      <c r="B487" s="1066">
        <v>237</v>
      </c>
      <c r="C487" s="831">
        <v>1.0067078796844289</v>
      </c>
      <c r="D487" s="831">
        <v>1.0304665756668778</v>
      </c>
      <c r="E487" s="831">
        <v>1.0041086436628053</v>
      </c>
      <c r="F487" s="831">
        <v>0.9807152759318557</v>
      </c>
      <c r="G487" s="831">
        <v>0.99759652309289915</v>
      </c>
      <c r="H487" s="831">
        <v>1.0329506925324605</v>
      </c>
      <c r="I487" s="831">
        <v>0.98806310945789599</v>
      </c>
      <c r="K487">
        <v>1.733382354090665</v>
      </c>
      <c r="L487">
        <v>0</v>
      </c>
      <c r="M487">
        <v>1.3904332189369705E-3</v>
      </c>
      <c r="N487">
        <v>0.1418910767790364</v>
      </c>
      <c r="O487">
        <v>1.7478521347228233E-2</v>
      </c>
      <c r="P487">
        <v>1.9798445467914347E-2</v>
      </c>
      <c r="Q487">
        <v>2.132715518035652E-3</v>
      </c>
      <c r="R487">
        <v>1.3821235313370515E-3</v>
      </c>
      <c r="S487">
        <v>0.1503455420831451</v>
      </c>
      <c r="T487">
        <v>1.0709977976638487</v>
      </c>
      <c r="U487">
        <v>2.316712560709671E-2</v>
      </c>
      <c r="V487">
        <v>0.20275618196008857</v>
      </c>
      <c r="W487">
        <v>8.4576925810999834E-2</v>
      </c>
      <c r="X487">
        <v>1.6484646905472057E-2</v>
      </c>
      <c r="Y487">
        <v>3.7616846353997983E-3</v>
      </c>
    </row>
    <row r="488" spans="1:25" x14ac:dyDescent="0.25">
      <c r="A488" s="827"/>
      <c r="B488" s="1066">
        <v>238</v>
      </c>
      <c r="C488" s="831">
        <v>0.97700311110066596</v>
      </c>
      <c r="D488" s="831">
        <v>0.99031222969453159</v>
      </c>
      <c r="E488" s="831">
        <v>1.0373004955170104</v>
      </c>
      <c r="F488" s="831">
        <v>1.0070907263250017</v>
      </c>
      <c r="G488" s="831">
        <v>1.000091963662002</v>
      </c>
      <c r="H488" s="831">
        <v>1.0338972037337819</v>
      </c>
      <c r="I488" s="831">
        <v>1.0001355089227153</v>
      </c>
      <c r="K488">
        <v>1.7680199988119658</v>
      </c>
      <c r="L488">
        <v>0</v>
      </c>
      <c r="M488">
        <v>1.3611427079749268E-3</v>
      </c>
      <c r="N488">
        <v>0.15399177385052068</v>
      </c>
      <c r="O488">
        <v>1.8336729796551446E-2</v>
      </c>
      <c r="P488">
        <v>2.0479528681618533E-2</v>
      </c>
      <c r="Q488">
        <v>2.3049849314417314E-3</v>
      </c>
      <c r="R488">
        <v>1.3530416502690506E-3</v>
      </c>
      <c r="S488">
        <v>0.15948879318452328</v>
      </c>
      <c r="T488">
        <v>1.0680784093985678</v>
      </c>
      <c r="U488">
        <v>2.3871498087686377E-2</v>
      </c>
      <c r="V488">
        <v>0.20963420933115906</v>
      </c>
      <c r="W488">
        <v>8.9757724518422524E-2</v>
      </c>
      <c r="X488">
        <v>1.8401914747207471E-2</v>
      </c>
      <c r="Y488">
        <v>3.6825333419722175E-3</v>
      </c>
    </row>
    <row r="489" spans="1:25" x14ac:dyDescent="0.25">
      <c r="A489" s="827"/>
      <c r="B489" s="1066">
        <v>239</v>
      </c>
      <c r="C489" s="831">
        <v>0.99050914952922697</v>
      </c>
      <c r="D489" s="831">
        <v>1.0493057166344366</v>
      </c>
      <c r="E489" s="831">
        <v>0.97549639921976838</v>
      </c>
      <c r="F489" s="831">
        <v>1.0075985188647802</v>
      </c>
      <c r="G489" s="831">
        <v>0.98023833403690253</v>
      </c>
      <c r="H489" s="831">
        <v>0.99065935857433518</v>
      </c>
      <c r="I489" s="831">
        <v>1.0030792344240653</v>
      </c>
      <c r="K489">
        <v>1.7233841188718675</v>
      </c>
      <c r="L489">
        <v>0</v>
      </c>
      <c r="M489">
        <v>1.4276538340676789E-3</v>
      </c>
      <c r="N489">
        <v>0.13323677245035359</v>
      </c>
      <c r="O489">
        <v>1.7619839890347763E-2</v>
      </c>
      <c r="P489">
        <v>1.9424899039777645E-2</v>
      </c>
      <c r="Q489">
        <v>2.0917048410943237E-3</v>
      </c>
      <c r="R489">
        <v>1.4187445971131024E-3</v>
      </c>
      <c r="S489">
        <v>0.1509594141423358</v>
      </c>
      <c r="T489">
        <v>1.0735477905811026</v>
      </c>
      <c r="U489">
        <v>2.354599945834724E-2</v>
      </c>
      <c r="V489">
        <v>0.20284128335070306</v>
      </c>
      <c r="W489">
        <v>8.0999890438673533E-2</v>
      </c>
      <c r="X489">
        <v>1.5264078811775003E-2</v>
      </c>
      <c r="Y489">
        <v>3.8613551043111208E-3</v>
      </c>
    </row>
    <row r="490" spans="1:25" x14ac:dyDescent="0.25">
      <c r="A490" s="827"/>
      <c r="B490" s="1066">
        <v>240</v>
      </c>
      <c r="C490" s="831">
        <v>1.0002497098930319</v>
      </c>
      <c r="D490" s="831">
        <v>0.98546710480047528</v>
      </c>
      <c r="E490" s="831">
        <v>1.0251964181874547</v>
      </c>
      <c r="F490" s="831">
        <v>0.99931577948964345</v>
      </c>
      <c r="G490" s="831">
        <v>1.0304600618046427</v>
      </c>
      <c r="H490" s="831">
        <v>1.0057204420740786</v>
      </c>
      <c r="I490" s="831">
        <v>0.95892055506492779</v>
      </c>
      <c r="K490">
        <v>1.7389820718148525</v>
      </c>
      <c r="L490">
        <v>0</v>
      </c>
      <c r="M490">
        <v>1.3297774859077763E-3</v>
      </c>
      <c r="N490">
        <v>0.14487202772189936</v>
      </c>
      <c r="O490">
        <v>1.7950461008092607E-2</v>
      </c>
      <c r="P490">
        <v>2.0114170311721646E-2</v>
      </c>
      <c r="Q490">
        <v>2.2287036132365781E-3</v>
      </c>
      <c r="R490">
        <v>1.321644641399364E-3</v>
      </c>
      <c r="S490">
        <v>0.14771572581814152</v>
      </c>
      <c r="T490">
        <v>1.0691381869859076</v>
      </c>
      <c r="U490">
        <v>2.3316705486270389E-2</v>
      </c>
      <c r="V490">
        <v>0.20751022478819711</v>
      </c>
      <c r="W490">
        <v>8.5129178461872276E-2</v>
      </c>
      <c r="X490">
        <v>1.7417739430170373E-2</v>
      </c>
      <c r="Y490">
        <v>3.5970810338501243E-3</v>
      </c>
    </row>
    <row r="491" spans="1:25" x14ac:dyDescent="0.25">
      <c r="A491" s="827"/>
      <c r="B491" s="1066">
        <v>241</v>
      </c>
      <c r="C491" s="831">
        <v>1.0054348961328441</v>
      </c>
      <c r="D491" s="831">
        <v>0.97892765764095846</v>
      </c>
      <c r="E491" s="831">
        <v>0.99068294821369507</v>
      </c>
      <c r="F491" s="831">
        <v>0.97901015761648014</v>
      </c>
      <c r="G491" s="831">
        <v>0.98816153423883868</v>
      </c>
      <c r="H491" s="831">
        <v>0.99147145219619881</v>
      </c>
      <c r="I491" s="831">
        <v>1.0047318738615756</v>
      </c>
      <c r="K491">
        <v>1.7363862753808958</v>
      </c>
      <c r="L491">
        <v>0</v>
      </c>
      <c r="M491">
        <v>1.4068622205107831E-3</v>
      </c>
      <c r="N491">
        <v>0.13766232987697941</v>
      </c>
      <c r="O491">
        <v>1.7911940274389696E-2</v>
      </c>
      <c r="P491">
        <v>1.9723344980903161E-2</v>
      </c>
      <c r="Q491">
        <v>2.1472324215463454E-3</v>
      </c>
      <c r="R491">
        <v>1.3981390512794612E-3</v>
      </c>
      <c r="S491">
        <v>0.15336960476725237</v>
      </c>
      <c r="T491">
        <v>1.0721904888716356</v>
      </c>
      <c r="U491">
        <v>2.3196457560810225E-2</v>
      </c>
      <c r="V491">
        <v>0.20756768538892945</v>
      </c>
      <c r="W491">
        <v>8.2814964167346947E-2</v>
      </c>
      <c r="X491">
        <v>1.6005676639166286E-2</v>
      </c>
      <c r="Y491">
        <v>3.8052736011683088E-3</v>
      </c>
    </row>
    <row r="492" spans="1:25" x14ac:dyDescent="0.25">
      <c r="A492" s="827"/>
      <c r="B492" s="1066">
        <v>242</v>
      </c>
      <c r="C492" s="831">
        <v>0.98668743801145042</v>
      </c>
      <c r="D492" s="831">
        <v>1.0204028498570827</v>
      </c>
      <c r="E492" s="831">
        <v>0.99178816970464911</v>
      </c>
      <c r="F492" s="831">
        <v>0.998272038734209</v>
      </c>
      <c r="G492" s="831">
        <v>1.0278079008232746</v>
      </c>
      <c r="H492" s="831">
        <v>0.97951685418189149</v>
      </c>
      <c r="I492" s="831">
        <v>1.0229298195800669</v>
      </c>
      <c r="K492">
        <v>1.7345517489042224</v>
      </c>
      <c r="L492">
        <v>0</v>
      </c>
      <c r="M492">
        <v>1.3867360521442075E-3</v>
      </c>
      <c r="N492">
        <v>0.13614737421657477</v>
      </c>
      <c r="O492">
        <v>1.7912389471175547E-2</v>
      </c>
      <c r="P492">
        <v>1.9749107118208903E-2</v>
      </c>
      <c r="Q492">
        <v>2.1570114922486476E-3</v>
      </c>
      <c r="R492">
        <v>1.378003253962073E-3</v>
      </c>
      <c r="S492">
        <v>0.15551591782915158</v>
      </c>
      <c r="T492">
        <v>1.0720920481780229</v>
      </c>
      <c r="U492">
        <v>2.3637199582987399E-2</v>
      </c>
      <c r="V492">
        <v>0.20576889354276065</v>
      </c>
      <c r="W492">
        <v>8.1841300910648562E-2</v>
      </c>
      <c r="X492">
        <v>1.5988768761992737E-2</v>
      </c>
      <c r="Y492">
        <v>3.7504705986341792E-3</v>
      </c>
    </row>
    <row r="493" spans="1:25" x14ac:dyDescent="0.25">
      <c r="A493" s="827"/>
      <c r="B493" s="1066">
        <v>243</v>
      </c>
      <c r="C493" s="831">
        <v>1.0014541619006241</v>
      </c>
      <c r="D493" s="831">
        <v>1.0085983431366607</v>
      </c>
      <c r="E493" s="831">
        <v>0.97571063678784897</v>
      </c>
      <c r="F493" s="831">
        <v>0.99130452529398561</v>
      </c>
      <c r="G493" s="831">
        <v>0.98342025397695276</v>
      </c>
      <c r="H493" s="831">
        <v>1.0178278160705752</v>
      </c>
      <c r="I493" s="831">
        <v>0.95955066992655158</v>
      </c>
      <c r="K493">
        <v>1.7294946068549217</v>
      </c>
      <c r="L493">
        <v>0</v>
      </c>
      <c r="M493">
        <v>1.4762311725471961E-3</v>
      </c>
      <c r="N493">
        <v>0.13788808880119302</v>
      </c>
      <c r="O493">
        <v>1.774137182401743E-2</v>
      </c>
      <c r="P493">
        <v>1.9404135498757108E-2</v>
      </c>
      <c r="Q493">
        <v>2.0998724545962999E-3</v>
      </c>
      <c r="R493">
        <v>1.4672931172690078E-3</v>
      </c>
      <c r="S493">
        <v>0.14704851899737859</v>
      </c>
      <c r="T493">
        <v>1.0735285827735781</v>
      </c>
      <c r="U493">
        <v>2.3288662412706107E-2</v>
      </c>
      <c r="V493">
        <v>0.2052422782822656</v>
      </c>
      <c r="W493">
        <v>8.3815109943755239E-2</v>
      </c>
      <c r="X493">
        <v>1.5453435749792079E-2</v>
      </c>
      <c r="Y493">
        <v>3.9934881721601272E-3</v>
      </c>
    </row>
    <row r="494" spans="1:25" x14ac:dyDescent="0.25">
      <c r="A494" s="827"/>
      <c r="B494" s="1066">
        <v>244</v>
      </c>
      <c r="C494" s="831">
        <v>0.97365969190093904</v>
      </c>
      <c r="D494" s="831">
        <v>1.0307330280133384</v>
      </c>
      <c r="E494" s="831">
        <v>1.0215259027295867</v>
      </c>
      <c r="F494" s="831">
        <v>1.0307800782065188</v>
      </c>
      <c r="G494" s="831">
        <v>1.0027413445416482</v>
      </c>
      <c r="H494" s="831">
        <v>1.0370610004541918</v>
      </c>
      <c r="I494" s="831">
        <v>0.99179457679935823</v>
      </c>
      <c r="K494">
        <v>1.7559706996219526</v>
      </c>
      <c r="L494">
        <v>0</v>
      </c>
      <c r="M494">
        <v>1.3911036038882542E-3</v>
      </c>
      <c r="N494">
        <v>0.14985993118462376</v>
      </c>
      <c r="O494">
        <v>1.8069672665306916E-2</v>
      </c>
      <c r="P494">
        <v>2.0175679962370671E-2</v>
      </c>
      <c r="Q494">
        <v>2.2435583485418378E-3</v>
      </c>
      <c r="R494">
        <v>1.3828226888667786E-3</v>
      </c>
      <c r="S494">
        <v>0.15631543443422147</v>
      </c>
      <c r="T494">
        <v>1.0694606585602449</v>
      </c>
      <c r="U494">
        <v>2.3953469669437694E-2</v>
      </c>
      <c r="V494">
        <v>0.20627397841064277</v>
      </c>
      <c r="W494">
        <v>8.8278019213263531E-2</v>
      </c>
      <c r="X494">
        <v>1.7584990576601085E-2</v>
      </c>
      <c r="Y494">
        <v>3.7635875117184984E-3</v>
      </c>
    </row>
    <row r="495" spans="1:25" x14ac:dyDescent="0.25">
      <c r="A495" s="827"/>
      <c r="B495" s="1066">
        <v>245</v>
      </c>
      <c r="C495" s="831">
        <v>1.0180842346437724</v>
      </c>
      <c r="D495" s="831">
        <v>0.99503875891245275</v>
      </c>
      <c r="E495" s="831">
        <v>1.0036088284465885</v>
      </c>
      <c r="F495" s="831">
        <v>1.0097336595387547</v>
      </c>
      <c r="G495" s="831">
        <v>1.0150347504796575</v>
      </c>
      <c r="H495" s="831">
        <v>0.99816544756148928</v>
      </c>
      <c r="I495" s="831">
        <v>1.0191500148067092</v>
      </c>
      <c r="K495">
        <v>1.7309935090639286</v>
      </c>
      <c r="L495">
        <v>0</v>
      </c>
      <c r="M495">
        <v>1.3511849571755019E-3</v>
      </c>
      <c r="N495">
        <v>0.13764526036128871</v>
      </c>
      <c r="O495">
        <v>1.7558873138567244E-2</v>
      </c>
      <c r="P495">
        <v>1.9852452365469037E-2</v>
      </c>
      <c r="Q495">
        <v>2.1353542007253859E-3</v>
      </c>
      <c r="R495">
        <v>1.3428520447391133E-3</v>
      </c>
      <c r="S495">
        <v>0.15308079944811911</v>
      </c>
      <c r="T495">
        <v>1.0710420775684446</v>
      </c>
      <c r="U495">
        <v>2.290824973482054E-2</v>
      </c>
      <c r="V495">
        <v>0.20471980591900238</v>
      </c>
      <c r="W495">
        <v>8.207411326008883E-2</v>
      </c>
      <c r="X495">
        <v>1.6330055385116102E-2</v>
      </c>
      <c r="Y495">
        <v>3.6548005947222885E-3</v>
      </c>
    </row>
    <row r="496" spans="1:25" x14ac:dyDescent="0.25">
      <c r="A496" s="827"/>
      <c r="B496" s="1066">
        <v>246</v>
      </c>
      <c r="C496" s="831">
        <v>0.97936804799963062</v>
      </c>
      <c r="D496" s="831">
        <v>1.0174889267142975</v>
      </c>
      <c r="E496" s="831">
        <v>1.0094141298547901</v>
      </c>
      <c r="F496" s="831">
        <v>1.0228232417996688</v>
      </c>
      <c r="G496" s="831">
        <v>0.98327252984561586</v>
      </c>
      <c r="H496" s="831">
        <v>1.0024445378636675</v>
      </c>
      <c r="I496" s="831">
        <v>0.98871629782194936</v>
      </c>
      <c r="K496">
        <v>1.7433682337529548</v>
      </c>
      <c r="L496">
        <v>0</v>
      </c>
      <c r="M496">
        <v>1.3794772996069099E-3</v>
      </c>
      <c r="N496">
        <v>0.14308945855003688</v>
      </c>
      <c r="O496">
        <v>1.8069599276221399E-2</v>
      </c>
      <c r="P496">
        <v>1.9975118368322081E-2</v>
      </c>
      <c r="Q496">
        <v>2.2143111664709547E-3</v>
      </c>
      <c r="R496">
        <v>1.3709908593068205E-3</v>
      </c>
      <c r="S496">
        <v>0.15326581900241376</v>
      </c>
      <c r="T496">
        <v>1.0705283530207426</v>
      </c>
      <c r="U496">
        <v>2.3813854194998194E-2</v>
      </c>
      <c r="V496">
        <v>0.20683252570716645</v>
      </c>
      <c r="W496">
        <v>8.4983630379953032E-2</v>
      </c>
      <c r="X496">
        <v>1.687266535491003E-2</v>
      </c>
      <c r="Y496">
        <v>3.7313851720178577E-3</v>
      </c>
    </row>
    <row r="497" spans="1:25" x14ac:dyDescent="0.25">
      <c r="A497" s="827"/>
      <c r="B497" s="1066">
        <v>247</v>
      </c>
      <c r="C497" s="831">
        <v>0.98555587432000424</v>
      </c>
      <c r="D497" s="831">
        <v>0.98118178857326144</v>
      </c>
      <c r="E497" s="831">
        <v>1.0114561653207075</v>
      </c>
      <c r="F497" s="831">
        <v>1.0322031971029606</v>
      </c>
      <c r="G497" s="831">
        <v>1.0359154611226737</v>
      </c>
      <c r="H497" s="831">
        <v>0.9770999617541053</v>
      </c>
      <c r="I497" s="831">
        <v>1.0170004448351804</v>
      </c>
      <c r="K497">
        <v>1.7467472955905634</v>
      </c>
      <c r="L497">
        <v>0</v>
      </c>
      <c r="M497">
        <v>1.3524707467942212E-3</v>
      </c>
      <c r="N497">
        <v>0.14116151964362841</v>
      </c>
      <c r="O497">
        <v>1.8254157779060816E-2</v>
      </c>
      <c r="P497">
        <v>2.0091555241666219E-2</v>
      </c>
      <c r="Q497">
        <v>2.234828040996519E-3</v>
      </c>
      <c r="R497">
        <v>1.3439598743672523E-3</v>
      </c>
      <c r="S497">
        <v>0.15714840606699537</v>
      </c>
      <c r="T497">
        <v>1.0703479514739624</v>
      </c>
      <c r="U497">
        <v>2.366433857887033E-2</v>
      </c>
      <c r="V497">
        <v>0.20954631183648006</v>
      </c>
      <c r="W497">
        <v>8.3722376555990533E-2</v>
      </c>
      <c r="X497">
        <v>1.6926545503565846E-2</v>
      </c>
      <c r="Y497">
        <v>3.657815741774143E-3</v>
      </c>
    </row>
    <row r="498" spans="1:25" x14ac:dyDescent="0.25">
      <c r="A498" s="827"/>
      <c r="B498" s="1066">
        <v>248</v>
      </c>
      <c r="C498" s="831">
        <v>1.0068663462255847</v>
      </c>
      <c r="D498" s="831">
        <v>1.0288608470796421</v>
      </c>
      <c r="E498" s="831">
        <v>1.0093781193814653</v>
      </c>
      <c r="F498" s="831">
        <v>1.0409304485935884</v>
      </c>
      <c r="G498" s="831">
        <v>0.98353311417772371</v>
      </c>
      <c r="H498" s="831">
        <v>0.9690209526616459</v>
      </c>
      <c r="I498" s="831">
        <v>0.99067125834146474</v>
      </c>
      <c r="K498">
        <v>1.7154888785535252</v>
      </c>
      <c r="L498">
        <v>0</v>
      </c>
      <c r="M498">
        <v>1.2906732389181481E-3</v>
      </c>
      <c r="N498">
        <v>0.13383371777131206</v>
      </c>
      <c r="O498">
        <v>1.7488077149108348E-2</v>
      </c>
      <c r="P498">
        <v>1.9816449198070182E-2</v>
      </c>
      <c r="Q498">
        <v>2.1449019123897582E-3</v>
      </c>
      <c r="R498">
        <v>1.2824518921252044E-3</v>
      </c>
      <c r="S498">
        <v>0.14635825725134025</v>
      </c>
      <c r="T498">
        <v>1.0705315357443521</v>
      </c>
      <c r="U498">
        <v>2.3163479428756122E-2</v>
      </c>
      <c r="V498">
        <v>0.20288073288913999</v>
      </c>
      <c r="W498">
        <v>7.9488410518881294E-2</v>
      </c>
      <c r="X498">
        <v>1.6301126746755764E-2</v>
      </c>
      <c r="Y498">
        <v>3.4904112902121869E-3</v>
      </c>
    </row>
    <row r="499" spans="1:25" x14ac:dyDescent="0.25">
      <c r="A499" s="827"/>
      <c r="B499" s="1066">
        <v>249</v>
      </c>
      <c r="C499" s="831">
        <v>0.99773489187403996</v>
      </c>
      <c r="D499" s="831">
        <v>1.0032705916492519</v>
      </c>
      <c r="E499" s="831">
        <v>0.9940551109514475</v>
      </c>
      <c r="F499" s="831">
        <v>0.99621728356003703</v>
      </c>
      <c r="G499" s="831">
        <v>0.97685867915627123</v>
      </c>
      <c r="H499" s="831">
        <v>1.0101800830042678</v>
      </c>
      <c r="I499" s="831">
        <v>0.99335315939654978</v>
      </c>
      <c r="K499">
        <v>1.7381993774222522</v>
      </c>
      <c r="L499">
        <v>0</v>
      </c>
      <c r="M499">
        <v>1.418393432029314E-3</v>
      </c>
      <c r="N499">
        <v>0.14026971757939038</v>
      </c>
      <c r="O499">
        <v>1.7850249202857053E-2</v>
      </c>
      <c r="P499">
        <v>1.9741462359369071E-2</v>
      </c>
      <c r="Q499">
        <v>2.1514818316376431E-3</v>
      </c>
      <c r="R499">
        <v>1.4097442688768263E-3</v>
      </c>
      <c r="S499">
        <v>0.15258669251321064</v>
      </c>
      <c r="T499">
        <v>1.0718902785873163</v>
      </c>
      <c r="U499">
        <v>2.3375475878664148E-2</v>
      </c>
      <c r="V499">
        <v>0.20612196506123895</v>
      </c>
      <c r="W499">
        <v>8.4187998914184714E-2</v>
      </c>
      <c r="X499">
        <v>1.6195845479724053E-2</v>
      </c>
      <c r="Y499">
        <v>3.8368591778093824E-3</v>
      </c>
    </row>
    <row r="500" spans="1:25" x14ac:dyDescent="0.25">
      <c r="A500" s="827"/>
      <c r="B500" s="1066">
        <v>250</v>
      </c>
      <c r="C500" s="831">
        <v>1.0104040575445459</v>
      </c>
      <c r="D500" s="831">
        <v>1.0074642514619472</v>
      </c>
      <c r="E500" s="831">
        <v>0.99600993903996715</v>
      </c>
      <c r="F500" s="831">
        <v>0.97464475685908358</v>
      </c>
      <c r="G500" s="831">
        <v>0.97692662607700931</v>
      </c>
      <c r="H500" s="831">
        <v>0.96299917754198339</v>
      </c>
      <c r="I500" s="831">
        <v>1.0299388144761199</v>
      </c>
      <c r="K500">
        <v>1.7217535688138246</v>
      </c>
      <c r="L500">
        <v>0</v>
      </c>
      <c r="M500">
        <v>1.3272057773686089E-3</v>
      </c>
      <c r="N500">
        <v>0.13201284128560556</v>
      </c>
      <c r="O500">
        <v>1.7593178335790435E-2</v>
      </c>
      <c r="P500">
        <v>1.9739586508514158E-2</v>
      </c>
      <c r="Q500">
        <v>2.1254040308301817E-3</v>
      </c>
      <c r="R500">
        <v>1.3187132747232272E-3</v>
      </c>
      <c r="S500">
        <v>0.15251172028494858</v>
      </c>
      <c r="T500">
        <v>1.0717164442430367</v>
      </c>
      <c r="U500">
        <v>2.3082377514378635E-2</v>
      </c>
      <c r="V500">
        <v>0.20439828531764989</v>
      </c>
      <c r="W500">
        <v>7.9126056533642908E-2</v>
      </c>
      <c r="X500">
        <v>1.586706444199041E-2</v>
      </c>
      <c r="Y500">
        <v>3.5891028200824432E-3</v>
      </c>
    </row>
    <row r="501" spans="1:25" x14ac:dyDescent="0.25">
      <c r="A501" s="827"/>
      <c r="B501" s="1066">
        <v>251</v>
      </c>
      <c r="C501" s="831">
        <v>1.0104477664613729</v>
      </c>
      <c r="D501" s="831">
        <v>1.0351233276138456</v>
      </c>
      <c r="E501" s="831">
        <v>0.98869897559335684</v>
      </c>
      <c r="F501" s="831">
        <v>1.0107404924830452</v>
      </c>
      <c r="G501" s="831">
        <v>1.0220902570096495</v>
      </c>
      <c r="H501" s="831">
        <v>1.0274598081401862</v>
      </c>
      <c r="I501" s="831">
        <v>1.0298061203976028</v>
      </c>
      <c r="K501">
        <v>1.7330254749440976</v>
      </c>
      <c r="L501">
        <v>0</v>
      </c>
      <c r="M501">
        <v>1.4204568026160366E-3</v>
      </c>
      <c r="N501">
        <v>0.1381630570673327</v>
      </c>
      <c r="O501">
        <v>1.7378434448481569E-2</v>
      </c>
      <c r="P501">
        <v>1.9646894930019965E-2</v>
      </c>
      <c r="Q501">
        <v>2.0886046424735227E-3</v>
      </c>
      <c r="R501">
        <v>1.411919235101751E-3</v>
      </c>
      <c r="S501">
        <v>0.15543049794290234</v>
      </c>
      <c r="T501">
        <v>1.0723673142527412</v>
      </c>
      <c r="U501">
        <v>2.3081379040481791E-2</v>
      </c>
      <c r="V501">
        <v>0.2019724361157702</v>
      </c>
      <c r="W501">
        <v>8.3229917393520453E-2</v>
      </c>
      <c r="X501">
        <v>1.5832697958992031E-2</v>
      </c>
      <c r="Y501">
        <v>3.8427787188962045E-3</v>
      </c>
    </row>
    <row r="502" spans="1:25" x14ac:dyDescent="0.25">
      <c r="A502" s="827"/>
      <c r="B502" s="1066">
        <v>252</v>
      </c>
      <c r="C502" s="831">
        <v>1.0024304806206956</v>
      </c>
      <c r="D502" s="831">
        <v>1.006987630013902</v>
      </c>
      <c r="E502" s="831">
        <v>0.98649422889861682</v>
      </c>
      <c r="F502" s="831">
        <v>0.97198730570566438</v>
      </c>
      <c r="G502" s="831">
        <v>0.99761717137725014</v>
      </c>
      <c r="H502" s="831">
        <v>0.95430090782537014</v>
      </c>
      <c r="I502" s="831">
        <v>0.98738953519112549</v>
      </c>
      <c r="K502">
        <v>1.7159103083488867</v>
      </c>
      <c r="L502">
        <v>0</v>
      </c>
      <c r="M502">
        <v>1.3527656609336916E-3</v>
      </c>
      <c r="N502">
        <v>0.13062001271673185</v>
      </c>
      <c r="O502">
        <v>1.7736916946422703E-2</v>
      </c>
      <c r="P502">
        <v>1.9547369582654104E-2</v>
      </c>
      <c r="Q502">
        <v>2.122190320133751E-3</v>
      </c>
      <c r="R502">
        <v>1.3440310432875897E-3</v>
      </c>
      <c r="S502">
        <v>0.14678985554269194</v>
      </c>
      <c r="T502">
        <v>1.0725639904030493</v>
      </c>
      <c r="U502">
        <v>2.3265980383858718E-2</v>
      </c>
      <c r="V502">
        <v>0.20528306317406073</v>
      </c>
      <c r="W502">
        <v>7.8805790008122781E-2</v>
      </c>
      <c r="X502">
        <v>1.5525864448693229E-2</v>
      </c>
      <c r="Y502">
        <v>3.6580094401144738E-3</v>
      </c>
    </row>
    <row r="503" spans="1:25" x14ac:dyDescent="0.25">
      <c r="A503" s="827"/>
      <c r="B503" s="1066">
        <v>253</v>
      </c>
      <c r="C503" s="831">
        <v>1.0238359547495144</v>
      </c>
      <c r="D503" s="831">
        <v>0.9970418052952994</v>
      </c>
      <c r="E503" s="831">
        <v>1.027275896741827</v>
      </c>
      <c r="F503" s="831">
        <v>0.98164874795535229</v>
      </c>
      <c r="G503" s="831">
        <v>0.99425642337982012</v>
      </c>
      <c r="H503" s="831">
        <v>1.0185632513897949</v>
      </c>
      <c r="I503" s="831">
        <v>0.99604410298064905</v>
      </c>
      <c r="K503">
        <v>1.7330163756366574</v>
      </c>
      <c r="L503">
        <v>0</v>
      </c>
      <c r="M503">
        <v>1.3030508991200901E-3</v>
      </c>
      <c r="N503">
        <v>0.14289016211382347</v>
      </c>
      <c r="O503">
        <v>1.7444325641661998E-2</v>
      </c>
      <c r="P503">
        <v>2.0117794425111184E-2</v>
      </c>
      <c r="Q503">
        <v>2.1724174828606732E-3</v>
      </c>
      <c r="R503">
        <v>1.2951744725671732E-3</v>
      </c>
      <c r="S503">
        <v>0.15007196095520306</v>
      </c>
      <c r="T503">
        <v>1.0689557219263652</v>
      </c>
      <c r="U503">
        <v>2.2779555445490429E-2</v>
      </c>
      <c r="V503">
        <v>0.20394200757474057</v>
      </c>
      <c r="W503">
        <v>8.3847374234764155E-2</v>
      </c>
      <c r="X503">
        <v>1.7277894303009914E-2</v>
      </c>
      <c r="Y503">
        <v>3.5250379601777103E-3</v>
      </c>
    </row>
    <row r="504" spans="1:25" x14ac:dyDescent="0.25">
      <c r="A504" s="827"/>
      <c r="B504" s="1066">
        <v>254</v>
      </c>
      <c r="C504" s="831">
        <v>1.0063745145432506</v>
      </c>
      <c r="D504" s="831">
        <v>0.97644305735047399</v>
      </c>
      <c r="E504" s="831">
        <v>0.97967301204336865</v>
      </c>
      <c r="F504" s="831">
        <v>1.0126362359585772</v>
      </c>
      <c r="G504" s="831">
        <v>0.96896414626813376</v>
      </c>
      <c r="H504" s="831">
        <v>1.020667223271974</v>
      </c>
      <c r="I504" s="831">
        <v>0.9863055228077322</v>
      </c>
      <c r="K504">
        <v>1.7412347416382388</v>
      </c>
      <c r="L504">
        <v>0</v>
      </c>
      <c r="M504">
        <v>1.4825073124140442E-3</v>
      </c>
      <c r="N504">
        <v>0.14019939690636868</v>
      </c>
      <c r="O504">
        <v>1.7915883059559833E-2</v>
      </c>
      <c r="P504">
        <v>1.9564879653704008E-2</v>
      </c>
      <c r="Q504">
        <v>2.1234257566863273E-3</v>
      </c>
      <c r="R504">
        <v>1.4735799200689831E-3</v>
      </c>
      <c r="S504">
        <v>0.15265182945008693</v>
      </c>
      <c r="T504">
        <v>1.0731736404344525</v>
      </c>
      <c r="U504">
        <v>2.3174799799941519E-2</v>
      </c>
      <c r="V504">
        <v>0.20770403239904803</v>
      </c>
      <c r="W504">
        <v>8.4985669883550191E-2</v>
      </c>
      <c r="X504">
        <v>1.5739512910246698E-2</v>
      </c>
      <c r="Y504">
        <v>4.0105987769376728E-3</v>
      </c>
    </row>
    <row r="505" spans="1:25" x14ac:dyDescent="0.25">
      <c r="A505" s="827"/>
      <c r="B505" s="1066">
        <v>255</v>
      </c>
      <c r="C505" s="831">
        <v>1.0243987111981994</v>
      </c>
      <c r="D505" s="831">
        <v>0.99429172916544439</v>
      </c>
      <c r="E505" s="831">
        <v>0.99110645462142799</v>
      </c>
      <c r="F505" s="831">
        <v>1.0145705747225995</v>
      </c>
      <c r="G505" s="831">
        <v>0.99518020980795885</v>
      </c>
      <c r="H505" s="831">
        <v>0.9939673550045659</v>
      </c>
      <c r="I505" s="831">
        <v>0.99268116879984791</v>
      </c>
      <c r="K505">
        <v>1.7210977807645047</v>
      </c>
      <c r="L505">
        <v>0</v>
      </c>
      <c r="M505">
        <v>1.3733355315973491E-3</v>
      </c>
      <c r="N505">
        <v>0.13456005458505713</v>
      </c>
      <c r="O505">
        <v>1.7456580166531347E-2</v>
      </c>
      <c r="P505">
        <v>1.9603109785870536E-2</v>
      </c>
      <c r="Q505">
        <v>2.0962341717771292E-3</v>
      </c>
      <c r="R505">
        <v>1.3648307642781176E-3</v>
      </c>
      <c r="S505">
        <v>0.14793940993183582</v>
      </c>
      <c r="T505">
        <v>1.072152762248181</v>
      </c>
      <c r="U505">
        <v>2.2767041429624303E-2</v>
      </c>
      <c r="V505">
        <v>0.20413272925699946</v>
      </c>
      <c r="W505">
        <v>8.0925092342755536E-2</v>
      </c>
      <c r="X505">
        <v>1.5758652189167627E-2</v>
      </c>
      <c r="Y505">
        <v>3.7146194240245097E-3</v>
      </c>
    </row>
    <row r="506" spans="1:25" x14ac:dyDescent="0.25">
      <c r="A506" s="827"/>
      <c r="B506" s="1066">
        <v>256</v>
      </c>
      <c r="C506" s="831">
        <v>1.0053207419043197</v>
      </c>
      <c r="D506" s="831">
        <v>0.98556255752524491</v>
      </c>
      <c r="E506" s="831">
        <v>1.0187640990826436</v>
      </c>
      <c r="F506" s="831">
        <v>0.97292144135326575</v>
      </c>
      <c r="G506" s="831">
        <v>1.0252371461686312</v>
      </c>
      <c r="H506" s="831">
        <v>1.0171535557706959</v>
      </c>
      <c r="I506" s="831">
        <v>0.98794031671369986</v>
      </c>
      <c r="K506">
        <v>1.7434277993947171</v>
      </c>
      <c r="L506">
        <v>0</v>
      </c>
      <c r="M506">
        <v>1.3563620582121296E-3</v>
      </c>
      <c r="N506">
        <v>0.14485529899936125</v>
      </c>
      <c r="O506">
        <v>1.7859130527369982E-2</v>
      </c>
      <c r="P506">
        <v>2.0080532015635883E-2</v>
      </c>
      <c r="Q506">
        <v>2.2032630819697079E-3</v>
      </c>
      <c r="R506">
        <v>1.3481598019172514E-3</v>
      </c>
      <c r="S506">
        <v>0.15222416886697934</v>
      </c>
      <c r="T506">
        <v>1.0697036322272628</v>
      </c>
      <c r="U506">
        <v>2.3199091519911012E-2</v>
      </c>
      <c r="V506">
        <v>0.20694977609380985</v>
      </c>
      <c r="W506">
        <v>8.548909309146635E-2</v>
      </c>
      <c r="X506">
        <v>1.720276866718775E-2</v>
      </c>
      <c r="Y506">
        <v>3.6692465600594985E-3</v>
      </c>
    </row>
    <row r="507" spans="1:25" x14ac:dyDescent="0.25">
      <c r="A507" s="827"/>
      <c r="B507" s="1066">
        <v>257</v>
      </c>
      <c r="C507" s="831">
        <v>0.98071513450836079</v>
      </c>
      <c r="D507" s="831">
        <v>1.0002176387397168</v>
      </c>
      <c r="E507" s="831">
        <v>1.0365940378006511</v>
      </c>
      <c r="F507" s="831">
        <v>0.99883571492561007</v>
      </c>
      <c r="G507" s="831">
        <v>0.99840338744403201</v>
      </c>
      <c r="H507" s="831">
        <v>0.96783041477296883</v>
      </c>
      <c r="I507" s="831">
        <v>0.95666925634397226</v>
      </c>
      <c r="K507">
        <v>1.7349059537859588</v>
      </c>
      <c r="L507">
        <v>0</v>
      </c>
      <c r="M507">
        <v>1.2655274539272918E-3</v>
      </c>
      <c r="N507">
        <v>0.14280181216581297</v>
      </c>
      <c r="O507">
        <v>1.8185111801536206E-2</v>
      </c>
      <c r="P507">
        <v>2.0270727521565664E-2</v>
      </c>
      <c r="Q507">
        <v>2.2862051774798519E-3</v>
      </c>
      <c r="R507">
        <v>1.2574747680915602E-3</v>
      </c>
      <c r="S507">
        <v>0.14672603394728068</v>
      </c>
      <c r="T507">
        <v>1.0681401107933106</v>
      </c>
      <c r="U507">
        <v>2.3781144062791373E-2</v>
      </c>
      <c r="V507">
        <v>0.2082767061446992</v>
      </c>
      <c r="W507">
        <v>8.3274617033825063E-2</v>
      </c>
      <c r="X507">
        <v>1.7749106031195151E-2</v>
      </c>
      <c r="Y507">
        <v>3.4224317922993321E-3</v>
      </c>
    </row>
    <row r="508" spans="1:25" x14ac:dyDescent="0.25">
      <c r="A508" s="827"/>
      <c r="B508" s="1066">
        <v>258</v>
      </c>
      <c r="C508" s="831">
        <v>0.97485665450072934</v>
      </c>
      <c r="D508" s="831">
        <v>0.99384758047889499</v>
      </c>
      <c r="E508" s="831">
        <v>0.98941897443920379</v>
      </c>
      <c r="F508" s="831">
        <v>1.0080783828044657</v>
      </c>
      <c r="G508" s="831">
        <v>1.0208345791660416</v>
      </c>
      <c r="H508" s="831">
        <v>1.026276661901445</v>
      </c>
      <c r="I508" s="831">
        <v>0.98435474017535263</v>
      </c>
      <c r="K508">
        <v>1.7566613437234184</v>
      </c>
      <c r="L508">
        <v>0</v>
      </c>
      <c r="M508">
        <v>1.4956367532608561E-3</v>
      </c>
      <c r="N508">
        <v>0.14580393588997415</v>
      </c>
      <c r="O508">
        <v>1.8347436188251597E-2</v>
      </c>
      <c r="P508">
        <v>1.9785476300446535E-2</v>
      </c>
      <c r="Q508">
        <v>2.1993756555512443E-3</v>
      </c>
      <c r="R508">
        <v>1.4866665203714083E-3</v>
      </c>
      <c r="S508">
        <v>0.15653085570559624</v>
      </c>
      <c r="T508">
        <v>1.0723031258326958</v>
      </c>
      <c r="U508">
        <v>2.3924058773797652E-2</v>
      </c>
      <c r="V508">
        <v>0.20954070684502887</v>
      </c>
      <c r="W508">
        <v>8.778921740031527E-2</v>
      </c>
      <c r="X508">
        <v>1.6399909175684457E-2</v>
      </c>
      <c r="Y508">
        <v>4.0462161889642445E-3</v>
      </c>
    </row>
    <row r="509" spans="1:25" x14ac:dyDescent="0.25">
      <c r="A509" s="827"/>
      <c r="B509" s="1066">
        <v>259</v>
      </c>
      <c r="C509" s="831">
        <v>1.0339384176375452</v>
      </c>
      <c r="D509" s="831">
        <v>1.0117990033225641</v>
      </c>
      <c r="E509" s="831">
        <v>0.99892253835598732</v>
      </c>
      <c r="F509" s="831">
        <v>1.0056839234464421</v>
      </c>
      <c r="G509" s="831">
        <v>0.99070586279463357</v>
      </c>
      <c r="H509" s="831">
        <v>0.99390961729498817</v>
      </c>
      <c r="I509" s="831">
        <v>1.0154815762826879</v>
      </c>
      <c r="K509">
        <v>1.7159153022202382</v>
      </c>
      <c r="L509">
        <v>0</v>
      </c>
      <c r="M509">
        <v>1.327865654300297E-3</v>
      </c>
      <c r="N509">
        <v>0.13330736566225115</v>
      </c>
      <c r="O509">
        <v>1.7159359245998651E-2</v>
      </c>
      <c r="P509">
        <v>1.9683995882833233E-2</v>
      </c>
      <c r="Q509">
        <v>2.0798096689529657E-3</v>
      </c>
      <c r="R509">
        <v>1.3196303107657838E-3</v>
      </c>
      <c r="S509">
        <v>0.14885503168496669</v>
      </c>
      <c r="T509">
        <v>1.07145770681607</v>
      </c>
      <c r="U509">
        <v>2.2556979700583176E-2</v>
      </c>
      <c r="V509">
        <v>0.20160540185667558</v>
      </c>
      <c r="W509">
        <v>7.9742609319188348E-2</v>
      </c>
      <c r="X509">
        <v>1.5883679036361835E-2</v>
      </c>
      <c r="Y509">
        <v>3.5915986898894326E-3</v>
      </c>
    </row>
    <row r="510" spans="1:25" x14ac:dyDescent="0.25">
      <c r="A510" s="827"/>
      <c r="B510" s="1066">
        <v>260</v>
      </c>
      <c r="C510" s="831">
        <v>0.96383337024284388</v>
      </c>
      <c r="D510" s="831">
        <v>1.0256254588658289</v>
      </c>
      <c r="E510" s="831">
        <v>0.99667498955555811</v>
      </c>
      <c r="F510" s="831">
        <v>0.99140128577808229</v>
      </c>
      <c r="G510" s="831">
        <v>0.99343592772575262</v>
      </c>
      <c r="H510" s="831">
        <v>1.004636942907037</v>
      </c>
      <c r="I510" s="831">
        <v>0.97376390758378728</v>
      </c>
      <c r="K510">
        <v>1.7466721153039304</v>
      </c>
      <c r="L510">
        <v>0</v>
      </c>
      <c r="M510">
        <v>1.4378140738030183E-3</v>
      </c>
      <c r="N510">
        <v>0.14334795301389716</v>
      </c>
      <c r="O510">
        <v>1.829487987675198E-2</v>
      </c>
      <c r="P510">
        <v>1.9817644573907396E-2</v>
      </c>
      <c r="Q510">
        <v>2.2148697575497399E-3</v>
      </c>
      <c r="R510">
        <v>1.4289823889111844E-3</v>
      </c>
      <c r="S510">
        <v>0.15303296170768407</v>
      </c>
      <c r="T510">
        <v>1.071657337049539</v>
      </c>
      <c r="U510">
        <v>2.4197676297954839E-2</v>
      </c>
      <c r="V510">
        <v>0.20783223242151833</v>
      </c>
      <c r="W510">
        <v>8.5880923499358289E-2</v>
      </c>
      <c r="X510">
        <v>1.6515249791962248E-2</v>
      </c>
      <c r="Y510">
        <v>3.8892189986983396E-3</v>
      </c>
    </row>
    <row r="511" spans="1:25" x14ac:dyDescent="0.25">
      <c r="A511" s="827"/>
      <c r="B511" s="1066">
        <v>261</v>
      </c>
      <c r="C511" s="831">
        <v>1.0190883044114141</v>
      </c>
      <c r="D511" s="831">
        <v>0.98684637415455123</v>
      </c>
      <c r="E511" s="831">
        <v>1.0332309668251491</v>
      </c>
      <c r="F511" s="831">
        <v>1.0318817659540156</v>
      </c>
      <c r="G511" s="831">
        <v>0.9547152954588598</v>
      </c>
      <c r="H511" s="831">
        <v>1.0355285061511219</v>
      </c>
      <c r="I511" s="831">
        <v>0.99452736056285107</v>
      </c>
      <c r="K511">
        <v>1.7441613138919747</v>
      </c>
      <c r="L511">
        <v>0</v>
      </c>
      <c r="M511">
        <v>1.3203958432452081E-3</v>
      </c>
      <c r="N511">
        <v>0.14750905513221074</v>
      </c>
      <c r="O511">
        <v>1.7607456789587708E-2</v>
      </c>
      <c r="P511">
        <v>2.0251499223144585E-2</v>
      </c>
      <c r="Q511">
        <v>2.2038138500883515E-3</v>
      </c>
      <c r="R511">
        <v>1.3125519312293366E-3</v>
      </c>
      <c r="S511">
        <v>0.15238206374780694</v>
      </c>
      <c r="T511">
        <v>1.0684340982775733</v>
      </c>
      <c r="U511">
        <v>2.2885679089186834E-2</v>
      </c>
      <c r="V511">
        <v>0.20537029070296153</v>
      </c>
      <c r="W511">
        <v>8.6213054449636728E-2</v>
      </c>
      <c r="X511">
        <v>1.7739812867615279E-2</v>
      </c>
      <c r="Y511">
        <v>3.572333674178411E-3</v>
      </c>
    </row>
    <row r="512" spans="1:25" x14ac:dyDescent="0.25">
      <c r="A512" s="827"/>
      <c r="B512" s="1066">
        <v>262</v>
      </c>
      <c r="C512" s="831">
        <v>0.98346437377751306</v>
      </c>
      <c r="D512" s="831">
        <v>1.0139126660236737</v>
      </c>
      <c r="E512" s="831">
        <v>0.9858149379822807</v>
      </c>
      <c r="F512" s="831">
        <v>0.99340070861540208</v>
      </c>
      <c r="G512" s="831">
        <v>1.0013797479123543</v>
      </c>
      <c r="H512" s="831">
        <v>0.986806157210386</v>
      </c>
      <c r="I512" s="831">
        <v>0.99287433993266894</v>
      </c>
      <c r="K512">
        <v>1.7349061246797899</v>
      </c>
      <c r="L512">
        <v>0</v>
      </c>
      <c r="M512">
        <v>1.4234413602846319E-3</v>
      </c>
      <c r="N512">
        <v>0.13718272254278305</v>
      </c>
      <c r="O512">
        <v>1.8023004905182678E-2</v>
      </c>
      <c r="P512">
        <v>1.9638722617102013E-2</v>
      </c>
      <c r="Q512">
        <v>2.1561412666887469E-3</v>
      </c>
      <c r="R512">
        <v>1.4145482118856671E-3</v>
      </c>
      <c r="S512">
        <v>0.15236681756476575</v>
      </c>
      <c r="T512">
        <v>1.0726246239468666</v>
      </c>
      <c r="U512">
        <v>2.3714664730274587E-2</v>
      </c>
      <c r="V512">
        <v>0.20670486205431524</v>
      </c>
      <c r="W512">
        <v>8.2804063032032041E-2</v>
      </c>
      <c r="X512">
        <v>1.5849461241117892E-2</v>
      </c>
      <c r="Y512">
        <v>3.8499339270600596E-3</v>
      </c>
    </row>
    <row r="513" spans="1:25" x14ac:dyDescent="0.25">
      <c r="A513" s="827"/>
      <c r="B513" s="1066">
        <v>263</v>
      </c>
      <c r="C513" s="831">
        <v>0.99519482367065315</v>
      </c>
      <c r="D513" s="831">
        <v>0.99321740289686267</v>
      </c>
      <c r="E513" s="831">
        <v>1.0157086863529825</v>
      </c>
      <c r="F513" s="831">
        <v>1.0230616635863776</v>
      </c>
      <c r="G513" s="831">
        <v>0.99645043498586261</v>
      </c>
      <c r="H513" s="831">
        <v>0.97919973805099203</v>
      </c>
      <c r="I513" s="831">
        <v>0.99666235809059611</v>
      </c>
      <c r="K513">
        <v>1.7360115924322261</v>
      </c>
      <c r="L513">
        <v>0</v>
      </c>
      <c r="M513">
        <v>1.3229289965072982E-3</v>
      </c>
      <c r="N513">
        <v>0.139916232152835</v>
      </c>
      <c r="O513">
        <v>1.797764950783149E-2</v>
      </c>
      <c r="P513">
        <v>2.0043159975328063E-2</v>
      </c>
      <c r="Q513">
        <v>2.2125585461017713E-3</v>
      </c>
      <c r="R513">
        <v>1.3146135653835283E-3</v>
      </c>
      <c r="S513">
        <v>0.15189511506976686</v>
      </c>
      <c r="T513">
        <v>1.0699727731618804</v>
      </c>
      <c r="U513">
        <v>2.3435137868061749E-2</v>
      </c>
      <c r="V513">
        <v>0.20732917321467847</v>
      </c>
      <c r="W513">
        <v>8.2744958267253588E-2</v>
      </c>
      <c r="X513">
        <v>1.6915205336883388E-2</v>
      </c>
      <c r="Y513">
        <v>3.5779447627286042E-3</v>
      </c>
    </row>
    <row r="514" spans="1:25" x14ac:dyDescent="0.25">
      <c r="A514" s="827"/>
      <c r="B514" s="1066">
        <v>264</v>
      </c>
      <c r="C514" s="831">
        <v>0.98509450132673682</v>
      </c>
      <c r="D514" s="831">
        <v>0.99321399357073648</v>
      </c>
      <c r="E514" s="831">
        <v>1.0200916140629985</v>
      </c>
      <c r="F514" s="831">
        <v>0.99677304826443158</v>
      </c>
      <c r="G514" s="831">
        <v>0.97634856801519176</v>
      </c>
      <c r="H514" s="831">
        <v>0.98543458169381049</v>
      </c>
      <c r="I514" s="831">
        <v>1.0322546534007795</v>
      </c>
      <c r="K514">
        <v>1.7497375550014176</v>
      </c>
      <c r="L514">
        <v>0</v>
      </c>
      <c r="M514">
        <v>1.33261396002968E-3</v>
      </c>
      <c r="N514">
        <v>0.14287867222096684</v>
      </c>
      <c r="O514">
        <v>1.8162005318799492E-2</v>
      </c>
      <c r="P514">
        <v>2.0225273903183624E-2</v>
      </c>
      <c r="Q514">
        <v>2.2450192141523278E-3</v>
      </c>
      <c r="R514">
        <v>1.3242906521128267E-3</v>
      </c>
      <c r="S514">
        <v>0.15940321709360358</v>
      </c>
      <c r="T514">
        <v>1.0695868061131779</v>
      </c>
      <c r="U514">
        <v>2.3675421867538744E-2</v>
      </c>
      <c r="V514">
        <v>0.20844812947727548</v>
      </c>
      <c r="W514">
        <v>8.4247018965514647E-2</v>
      </c>
      <c r="X514">
        <v>1.7270031532365532E-2</v>
      </c>
      <c r="Y514">
        <v>3.6042826027549721E-3</v>
      </c>
    </row>
    <row r="515" spans="1:25" x14ac:dyDescent="0.25">
      <c r="A515" s="827"/>
      <c r="B515" s="1066">
        <v>265</v>
      </c>
      <c r="C515" s="831">
        <v>0.97627033878012293</v>
      </c>
      <c r="D515" s="831">
        <v>1.0318951743031584</v>
      </c>
      <c r="E515" s="831">
        <v>0.99795387150426884</v>
      </c>
      <c r="F515" s="831">
        <v>1.0099533692080744</v>
      </c>
      <c r="G515" s="831">
        <v>0.95571868670593729</v>
      </c>
      <c r="H515" s="831">
        <v>1.0019221176842041</v>
      </c>
      <c r="I515" s="831">
        <v>0.99795174287328403</v>
      </c>
      <c r="K515">
        <v>1.7410692957690606</v>
      </c>
      <c r="L515">
        <v>0</v>
      </c>
      <c r="M515">
        <v>1.4079805051019803E-3</v>
      </c>
      <c r="N515">
        <v>0.14093053730261043</v>
      </c>
      <c r="O515">
        <v>1.8012189455767023E-2</v>
      </c>
      <c r="P515">
        <v>1.9820901974472928E-2</v>
      </c>
      <c r="Q515">
        <v>2.1845297843303643E-3</v>
      </c>
      <c r="R515">
        <v>1.3993043950499273E-3</v>
      </c>
      <c r="S515">
        <v>0.15424982047368271</v>
      </c>
      <c r="T515">
        <v>1.0715437217085482</v>
      </c>
      <c r="U515">
        <v>2.3889415638137006E-2</v>
      </c>
      <c r="V515">
        <v>0.20588417052844332</v>
      </c>
      <c r="W515">
        <v>8.4358639904287019E-2</v>
      </c>
      <c r="X515">
        <v>1.6395599826076027E-2</v>
      </c>
      <c r="Y515">
        <v>3.808445282756047E-3</v>
      </c>
    </row>
    <row r="516" spans="1:25" x14ac:dyDescent="0.25">
      <c r="A516" s="827"/>
      <c r="B516" s="1066">
        <v>266</v>
      </c>
      <c r="C516" s="831">
        <v>1.0071324515446223</v>
      </c>
      <c r="D516" s="831">
        <v>1.0122931047563151</v>
      </c>
      <c r="E516" s="831">
        <v>0.97410701827095236</v>
      </c>
      <c r="F516" s="831">
        <v>1.0003689775079858</v>
      </c>
      <c r="G516" s="831">
        <v>0.99816513337525326</v>
      </c>
      <c r="H516" s="831">
        <v>0.99850579359168445</v>
      </c>
      <c r="I516" s="831">
        <v>0.9894689072490912</v>
      </c>
      <c r="K516">
        <v>1.7241839649960231</v>
      </c>
      <c r="L516">
        <v>0</v>
      </c>
      <c r="M516">
        <v>1.4425084298848613E-3</v>
      </c>
      <c r="N516">
        <v>0.13405036464040934</v>
      </c>
      <c r="O516">
        <v>1.7612185123415811E-2</v>
      </c>
      <c r="P516">
        <v>1.9396805801452748E-2</v>
      </c>
      <c r="Q516">
        <v>2.0817978005178263E-3</v>
      </c>
      <c r="R516">
        <v>1.4336029072860676E-3</v>
      </c>
      <c r="S516">
        <v>0.14919464715994193</v>
      </c>
      <c r="T516">
        <v>1.0736723995304387</v>
      </c>
      <c r="U516">
        <v>2.3157359156220022E-2</v>
      </c>
      <c r="V516">
        <v>0.20431002121075212</v>
      </c>
      <c r="W516">
        <v>8.1573397928440469E-2</v>
      </c>
      <c r="X516">
        <v>1.5242097640470834E-2</v>
      </c>
      <c r="Y516">
        <v>3.9017945265613012E-3</v>
      </c>
    </row>
    <row r="517" spans="1:25" x14ac:dyDescent="0.25">
      <c r="A517" s="827"/>
      <c r="B517" s="1066">
        <v>267</v>
      </c>
      <c r="C517" s="831">
        <v>1.0197015283504924</v>
      </c>
      <c r="D517" s="831">
        <v>0.98083306200250187</v>
      </c>
      <c r="E517" s="831">
        <v>1.0267311540036639</v>
      </c>
      <c r="F517" s="831">
        <v>1.0069881040684194</v>
      </c>
      <c r="G517" s="831">
        <v>0.97875028392664287</v>
      </c>
      <c r="H517" s="831">
        <v>1.0014649505554269</v>
      </c>
      <c r="I517" s="831">
        <v>1.0049302622309639</v>
      </c>
      <c r="K517">
        <v>1.7357604318054802</v>
      </c>
      <c r="L517">
        <v>0</v>
      </c>
      <c r="M517">
        <v>1.2974530992364206E-3</v>
      </c>
      <c r="N517">
        <v>0.14202231074022667</v>
      </c>
      <c r="O517">
        <v>1.7645747845081893E-2</v>
      </c>
      <c r="P517">
        <v>2.0163179894401379E-2</v>
      </c>
      <c r="Q517">
        <v>2.1933498647719258E-3</v>
      </c>
      <c r="R517">
        <v>1.2894873174697219E-3</v>
      </c>
      <c r="S517">
        <v>0.15184460168273523</v>
      </c>
      <c r="T517">
        <v>1.0690035048446715</v>
      </c>
      <c r="U517">
        <v>2.2871916192996784E-2</v>
      </c>
      <c r="V517">
        <v>0.2058634443264882</v>
      </c>
      <c r="W517">
        <v>8.3368613114362763E-2</v>
      </c>
      <c r="X517">
        <v>1.7282169682736003E-2</v>
      </c>
      <c r="Y517">
        <v>3.5095593987726219E-3</v>
      </c>
    </row>
    <row r="518" spans="1:25" x14ac:dyDescent="0.25">
      <c r="A518" s="827"/>
      <c r="B518" s="1066">
        <v>268</v>
      </c>
      <c r="C518" s="831">
        <v>0.99542148337214997</v>
      </c>
      <c r="D518" s="831">
        <v>0.97748617035921359</v>
      </c>
      <c r="E518" s="831">
        <v>1.0163428637404672</v>
      </c>
      <c r="F518" s="831">
        <v>0.98976882043588721</v>
      </c>
      <c r="G518" s="831">
        <v>1.0333876550371299</v>
      </c>
      <c r="H518" s="831">
        <v>1.0143112768923939</v>
      </c>
      <c r="I518" s="831">
        <v>1.0101914195172237</v>
      </c>
      <c r="K518">
        <v>1.753575536025153</v>
      </c>
      <c r="L518">
        <v>0</v>
      </c>
      <c r="M518">
        <v>1.3781574910085709E-3</v>
      </c>
      <c r="N518">
        <v>0.14607800115814135</v>
      </c>
      <c r="O518">
        <v>1.8104236759246259E-2</v>
      </c>
      <c r="P518">
        <v>2.0149890183232638E-2</v>
      </c>
      <c r="Q518">
        <v>2.2266073349997404E-3</v>
      </c>
      <c r="R518">
        <v>1.3698057351705284E-3</v>
      </c>
      <c r="S518">
        <v>0.1575309005742104</v>
      </c>
      <c r="T518">
        <v>1.0699168815596636</v>
      </c>
      <c r="U518">
        <v>2.3429801634674757E-2</v>
      </c>
      <c r="V518">
        <v>0.2088037504332676</v>
      </c>
      <c r="W518">
        <v>8.6351899728457401E-2</v>
      </c>
      <c r="X518">
        <v>1.7263758760302179E-2</v>
      </c>
      <c r="Y518">
        <v>3.7281596547949374E-3</v>
      </c>
    </row>
    <row r="519" spans="1:25" x14ac:dyDescent="0.25">
      <c r="A519" s="827"/>
      <c r="B519" s="1066">
        <v>269</v>
      </c>
      <c r="C519" s="831">
        <v>0.98776748859645624</v>
      </c>
      <c r="D519" s="831">
        <v>0.99476331108021843</v>
      </c>
      <c r="E519" s="831">
        <v>0.98716554485864727</v>
      </c>
      <c r="F519" s="831">
        <v>0.96915789843990785</v>
      </c>
      <c r="G519" s="831">
        <v>1.0102868411631587</v>
      </c>
      <c r="H519" s="831">
        <v>0.99955560295276791</v>
      </c>
      <c r="I519" s="831">
        <v>1.0250812182522058</v>
      </c>
      <c r="K519">
        <v>1.7469314840683785</v>
      </c>
      <c r="L519">
        <v>0</v>
      </c>
      <c r="M519">
        <v>1.4438789494586428E-3</v>
      </c>
      <c r="N519">
        <v>0.139751444446232</v>
      </c>
      <c r="O519">
        <v>1.810006449667767E-2</v>
      </c>
      <c r="P519">
        <v>1.9760541367992566E-2</v>
      </c>
      <c r="Q519">
        <v>2.1649452144146732E-3</v>
      </c>
      <c r="R519">
        <v>1.4349869678946564E-3</v>
      </c>
      <c r="S519">
        <v>0.15881948283319211</v>
      </c>
      <c r="T519">
        <v>1.0725040857646349</v>
      </c>
      <c r="U519">
        <v>2.3611354056046877E-2</v>
      </c>
      <c r="V519">
        <v>0.20800489030344407</v>
      </c>
      <c r="W519">
        <v>8.4275895266761353E-2</v>
      </c>
      <c r="X519">
        <v>1.6042110817264098E-2</v>
      </c>
      <c r="Y519">
        <v>3.9055614832824207E-3</v>
      </c>
    </row>
    <row r="520" spans="1:25" x14ac:dyDescent="0.25">
      <c r="A520" s="827"/>
      <c r="B520" s="1066">
        <v>270</v>
      </c>
      <c r="C520" s="831">
        <v>0.99921805285862442</v>
      </c>
      <c r="D520" s="831">
        <v>0.9932148116290872</v>
      </c>
      <c r="E520" s="831">
        <v>0.97693534728418951</v>
      </c>
      <c r="F520" s="831">
        <v>1.0140076914545113</v>
      </c>
      <c r="G520" s="831">
        <v>0.96343740497768215</v>
      </c>
      <c r="H520" s="831">
        <v>0.98432483694984008</v>
      </c>
      <c r="I520" s="831">
        <v>0.97772625065324692</v>
      </c>
      <c r="K520">
        <v>1.7277656149850831</v>
      </c>
      <c r="L520">
        <v>0</v>
      </c>
      <c r="M520">
        <v>1.4371207068140511E-3</v>
      </c>
      <c r="N520">
        <v>0.13472142155507205</v>
      </c>
      <c r="O520">
        <v>1.7905285879423055E-2</v>
      </c>
      <c r="P520">
        <v>1.9466766702107428E-2</v>
      </c>
      <c r="Q520">
        <v>2.1192479684905103E-3</v>
      </c>
      <c r="R520">
        <v>1.4281345450046024E-3</v>
      </c>
      <c r="S520">
        <v>0.14877048626310327</v>
      </c>
      <c r="T520">
        <v>1.0734188124948234</v>
      </c>
      <c r="U520">
        <v>2.3340779153840002E-2</v>
      </c>
      <c r="V520">
        <v>0.20689576886504585</v>
      </c>
      <c r="W520">
        <v>8.1820513228696545E-2</v>
      </c>
      <c r="X520">
        <v>1.5428607589213279E-2</v>
      </c>
      <c r="Y520">
        <v>3.8869114470762938E-3</v>
      </c>
    </row>
    <row r="521" spans="1:25" x14ac:dyDescent="0.25">
      <c r="A521" s="827"/>
      <c r="B521" s="1066">
        <v>271</v>
      </c>
      <c r="C521" s="831">
        <v>1.0406807644864364</v>
      </c>
      <c r="D521" s="831">
        <v>0.96981547738169749</v>
      </c>
      <c r="E521" s="831">
        <v>1.0029197180941563</v>
      </c>
      <c r="F521" s="831">
        <v>1.0252153661790318</v>
      </c>
      <c r="G521" s="831">
        <v>1.0228035064280594</v>
      </c>
      <c r="H521" s="831">
        <v>0.97969358311760535</v>
      </c>
      <c r="I521" s="831">
        <v>0.99800936634966664</v>
      </c>
      <c r="K521">
        <v>1.7173399606658901</v>
      </c>
      <c r="L521">
        <v>0</v>
      </c>
      <c r="M521">
        <v>1.3144837533810903E-3</v>
      </c>
      <c r="N521">
        <v>0.1336059505659293</v>
      </c>
      <c r="O521">
        <v>1.7378985908595594E-2</v>
      </c>
      <c r="P521">
        <v>1.9752325560179491E-2</v>
      </c>
      <c r="Q521">
        <v>2.1075344110288866E-3</v>
      </c>
      <c r="R521">
        <v>1.3062417568531519E-3</v>
      </c>
      <c r="S521">
        <v>0.14693578994588449</v>
      </c>
      <c r="T521">
        <v>1.0711031430845857</v>
      </c>
      <c r="U521">
        <v>2.2410837880541153E-2</v>
      </c>
      <c r="V521">
        <v>0.20472480113192343</v>
      </c>
      <c r="W521">
        <v>7.9703070090375569E-2</v>
      </c>
      <c r="X521">
        <v>1.6070604623700399E-2</v>
      </c>
      <c r="Y521">
        <v>3.5551594596748594E-3</v>
      </c>
    </row>
    <row r="522" spans="1:25" x14ac:dyDescent="0.25">
      <c r="A522" s="827"/>
      <c r="B522" s="1066">
        <v>272</v>
      </c>
      <c r="C522" s="831">
        <v>0.96647951524627662</v>
      </c>
      <c r="D522" s="831">
        <v>1.0074972105376332</v>
      </c>
      <c r="E522" s="831">
        <v>1.0160675758836277</v>
      </c>
      <c r="F522" s="831">
        <v>0.99182692530741978</v>
      </c>
      <c r="G522" s="831">
        <v>0.99260841553644852</v>
      </c>
      <c r="H522" s="831">
        <v>0.95543464831091596</v>
      </c>
      <c r="I522" s="831">
        <v>1.0401920565263323</v>
      </c>
      <c r="K522">
        <v>1.7475019370713563</v>
      </c>
      <c r="L522">
        <v>0</v>
      </c>
      <c r="M522">
        <v>1.3196164468685754E-3</v>
      </c>
      <c r="N522">
        <v>0.13969858711508437</v>
      </c>
      <c r="O522">
        <v>1.83924804531721E-2</v>
      </c>
      <c r="P522">
        <v>2.0201648226108013E-2</v>
      </c>
      <c r="Q522">
        <v>2.2670733380248504E-3</v>
      </c>
      <c r="R522">
        <v>1.3111056303192789E-3</v>
      </c>
      <c r="S522">
        <v>0.16044569640661568</v>
      </c>
      <c r="T522">
        <v>1.0699411414808069</v>
      </c>
      <c r="U522">
        <v>2.413142496078681E-2</v>
      </c>
      <c r="V522">
        <v>0.20920606512246365</v>
      </c>
      <c r="W522">
        <v>8.2596183282850705E-2</v>
      </c>
      <c r="X522">
        <v>1.7061750182119279E-2</v>
      </c>
      <c r="Y522">
        <v>3.5683973198741992E-3</v>
      </c>
    </row>
    <row r="523" spans="1:25" x14ac:dyDescent="0.25">
      <c r="A523" s="827"/>
      <c r="B523" s="1066">
        <v>273</v>
      </c>
      <c r="C523" s="831">
        <v>1.0145473116743906</v>
      </c>
      <c r="D523" s="831">
        <v>0.99920579849577451</v>
      </c>
      <c r="E523" s="831">
        <v>0.99234644247011672</v>
      </c>
      <c r="F523" s="831">
        <v>1.016004686254687</v>
      </c>
      <c r="G523" s="831">
        <v>0.97614336840914184</v>
      </c>
      <c r="H523" s="831">
        <v>1.0098241581515801</v>
      </c>
      <c r="I523" s="831">
        <v>0.98951186990234052</v>
      </c>
      <c r="K523">
        <v>1.7293356734628145</v>
      </c>
      <c r="L523">
        <v>0</v>
      </c>
      <c r="M523">
        <v>1.4019910538888183E-3</v>
      </c>
      <c r="N523">
        <v>0.13791216752855556</v>
      </c>
      <c r="O523">
        <v>1.7586752912424775E-2</v>
      </c>
      <c r="P523">
        <v>1.9654662840008146E-2</v>
      </c>
      <c r="Q523">
        <v>2.1153678728562538E-3</v>
      </c>
      <c r="R523">
        <v>1.3934417230892422E-3</v>
      </c>
      <c r="S523">
        <v>0.14970514323705744</v>
      </c>
      <c r="T523">
        <v>1.0720423410168629</v>
      </c>
      <c r="U523">
        <v>2.2988112658651749E-2</v>
      </c>
      <c r="V523">
        <v>0.20470782940708779</v>
      </c>
      <c r="W523">
        <v>8.2870320511069198E-2</v>
      </c>
      <c r="X523">
        <v>1.5969035786731593E-2</v>
      </c>
      <c r="Y523">
        <v>3.7924890223083535E-3</v>
      </c>
    </row>
    <row r="524" spans="1:25" x14ac:dyDescent="0.25">
      <c r="A524" s="827"/>
      <c r="B524" s="1066">
        <v>274</v>
      </c>
      <c r="C524" s="831">
        <v>1.0143684223268854</v>
      </c>
      <c r="D524" s="831">
        <v>0.96666660430458307</v>
      </c>
      <c r="E524" s="831">
        <v>0.99736343351102119</v>
      </c>
      <c r="F524" s="831">
        <v>1.0183242738201381</v>
      </c>
      <c r="G524" s="831">
        <v>1.014291014350114</v>
      </c>
      <c r="H524" s="831">
        <v>1.0198523661819245</v>
      </c>
      <c r="I524" s="831">
        <v>1.0005987132358274</v>
      </c>
      <c r="K524">
        <v>1.7439274953645769</v>
      </c>
      <c r="L524">
        <v>0</v>
      </c>
      <c r="M524">
        <v>1.4224841056806486E-3</v>
      </c>
      <c r="N524">
        <v>0.14214100106030614</v>
      </c>
      <c r="O524">
        <v>1.7856175752511243E-2</v>
      </c>
      <c r="P524">
        <v>1.982625227798818E-2</v>
      </c>
      <c r="Q524">
        <v>2.1527596539277346E-3</v>
      </c>
      <c r="R524">
        <v>1.4139184516499313E-3</v>
      </c>
      <c r="S524">
        <v>0.15423094754262556</v>
      </c>
      <c r="T524">
        <v>1.0715961683076987</v>
      </c>
      <c r="U524">
        <v>2.2992166736424083E-2</v>
      </c>
      <c r="V524">
        <v>0.20778309961568039</v>
      </c>
      <c r="W524">
        <v>8.5117640069564321E-2</v>
      </c>
      <c r="X524">
        <v>1.6391630074581564E-2</v>
      </c>
      <c r="Y524">
        <v>3.8482199272987937E-3</v>
      </c>
    </row>
    <row r="525" spans="1:25" x14ac:dyDescent="0.25">
      <c r="A525" s="827"/>
      <c r="B525" s="1066">
        <v>275</v>
      </c>
      <c r="C525" s="831">
        <v>0.99685974147553214</v>
      </c>
      <c r="D525" s="831">
        <v>0.99055967198826445</v>
      </c>
      <c r="E525" s="831">
        <v>1.0256956234190377</v>
      </c>
      <c r="F525" s="831">
        <v>0.9901037441267081</v>
      </c>
      <c r="G525" s="831">
        <v>0.99947248012790502</v>
      </c>
      <c r="H525" s="831">
        <v>0.9676951161438031</v>
      </c>
      <c r="I525" s="831">
        <v>1.0000614072080103</v>
      </c>
      <c r="K525">
        <v>1.7339973417638155</v>
      </c>
      <c r="L525">
        <v>0</v>
      </c>
      <c r="M525">
        <v>1.279505068089148E-3</v>
      </c>
      <c r="N525">
        <v>0.13957723766084323</v>
      </c>
      <c r="O525">
        <v>1.7969441209235774E-2</v>
      </c>
      <c r="P525">
        <v>2.0173006371599755E-2</v>
      </c>
      <c r="Q525">
        <v>2.2331137511110025E-3</v>
      </c>
      <c r="R525">
        <v>1.2713687527640693E-3</v>
      </c>
      <c r="S525">
        <v>0.15149585896032469</v>
      </c>
      <c r="T525">
        <v>1.0690943689750949</v>
      </c>
      <c r="U525">
        <v>2.3395997378509462E-2</v>
      </c>
      <c r="V525">
        <v>0.20739793039305715</v>
      </c>
      <c r="W525">
        <v>8.1990353886265646E-2</v>
      </c>
      <c r="X525">
        <v>1.7217922854672191E-2</v>
      </c>
      <c r="Y525">
        <v>3.4602466384270857E-3</v>
      </c>
    </row>
    <row r="526" spans="1:25" x14ac:dyDescent="0.25">
      <c r="A526" s="827"/>
      <c r="B526" s="1066">
        <v>276</v>
      </c>
      <c r="C526" s="831">
        <v>1.0017280660537282</v>
      </c>
      <c r="D526" s="831">
        <v>0.99480894947697529</v>
      </c>
      <c r="E526" s="831">
        <v>0.98676068805299133</v>
      </c>
      <c r="F526" s="831">
        <v>1.013696955318707</v>
      </c>
      <c r="G526" s="831">
        <v>1.0242253240663406</v>
      </c>
      <c r="H526" s="831">
        <v>1.0065632619608482</v>
      </c>
      <c r="I526" s="831">
        <v>0.97085074264763938</v>
      </c>
      <c r="K526">
        <v>1.7328248440481393</v>
      </c>
      <c r="L526">
        <v>0</v>
      </c>
      <c r="M526">
        <v>1.434928607275061E-3</v>
      </c>
      <c r="N526">
        <v>0.13871613935076632</v>
      </c>
      <c r="O526">
        <v>1.7847441932342875E-2</v>
      </c>
      <c r="P526">
        <v>1.959457883324946E-2</v>
      </c>
      <c r="Q526">
        <v>2.1338622668984203E-3</v>
      </c>
      <c r="R526">
        <v>1.4261532345226013E-3</v>
      </c>
      <c r="S526">
        <v>0.14880694559070495</v>
      </c>
      <c r="T526">
        <v>1.0725402109861766</v>
      </c>
      <c r="U526">
        <v>2.3282294555429055E-2</v>
      </c>
      <c r="V526">
        <v>0.20647581742360463</v>
      </c>
      <c r="W526">
        <v>8.3674952203370026E-2</v>
      </c>
      <c r="X526">
        <v>1.5879857305264661E-2</v>
      </c>
      <c r="Y526">
        <v>3.8815189730831098E-3</v>
      </c>
    </row>
    <row r="527" spans="1:25" x14ac:dyDescent="0.25">
      <c r="A527" s="827"/>
      <c r="B527" s="1066">
        <v>277</v>
      </c>
      <c r="C527" s="831">
        <v>1.0223700140432135</v>
      </c>
      <c r="D527" s="831">
        <v>1.0343259854439943</v>
      </c>
      <c r="E527" s="831">
        <v>0.99080886905804633</v>
      </c>
      <c r="F527" s="831">
        <v>0.997691825046365</v>
      </c>
      <c r="G527" s="831">
        <v>1.0053429397199929</v>
      </c>
      <c r="H527" s="831">
        <v>0.97859050966149996</v>
      </c>
      <c r="I527" s="831">
        <v>1.019845499562873</v>
      </c>
      <c r="K527">
        <v>1.7112285829515852</v>
      </c>
      <c r="L527">
        <v>0</v>
      </c>
      <c r="M527">
        <v>1.3316624499162385E-3</v>
      </c>
      <c r="N527">
        <v>0.13034068162111984</v>
      </c>
      <c r="O527">
        <v>1.7181750129214982E-2</v>
      </c>
      <c r="P527">
        <v>1.9565716075313853E-2</v>
      </c>
      <c r="Q527">
        <v>2.0692471000708502E-3</v>
      </c>
      <c r="R527">
        <v>1.323259392249216E-3</v>
      </c>
      <c r="S527">
        <v>0.14873408095793489</v>
      </c>
      <c r="T527">
        <v>1.0721792709370332</v>
      </c>
      <c r="U527">
        <v>2.2812218255569269E-2</v>
      </c>
      <c r="V527">
        <v>0.20083139268731465</v>
      </c>
      <c r="W527">
        <v>7.8403604418051054E-2</v>
      </c>
      <c r="X527">
        <v>1.5517547974266259E-2</v>
      </c>
      <c r="Y527">
        <v>3.6014758533609455E-3</v>
      </c>
    </row>
    <row r="528" spans="1:25" x14ac:dyDescent="0.25">
      <c r="A528" s="827"/>
      <c r="B528" s="1066">
        <v>278</v>
      </c>
      <c r="C528" s="831">
        <v>0.96655542814323825</v>
      </c>
      <c r="D528" s="831">
        <v>1.0032305799372156</v>
      </c>
      <c r="E528" s="831">
        <v>0.99497042925077916</v>
      </c>
      <c r="F528" s="831">
        <v>0.98052154399377067</v>
      </c>
      <c r="G528" s="831">
        <v>0.98213993754977258</v>
      </c>
      <c r="H528" s="831">
        <v>0.99667020554053409</v>
      </c>
      <c r="I528" s="831">
        <v>1.0112579851037644</v>
      </c>
      <c r="K528">
        <v>1.7545647242793421</v>
      </c>
      <c r="L528">
        <v>0</v>
      </c>
      <c r="M528">
        <v>1.4418138193512612E-3</v>
      </c>
      <c r="N528">
        <v>0.1429807296859659</v>
      </c>
      <c r="O528">
        <v>1.8426401173839223E-2</v>
      </c>
      <c r="P528">
        <v>1.9903175718593565E-2</v>
      </c>
      <c r="Q528">
        <v>2.222968440704744E-3</v>
      </c>
      <c r="R528">
        <v>1.4329026955159617E-3</v>
      </c>
      <c r="S528">
        <v>0.15933737408523152</v>
      </c>
      <c r="T528">
        <v>1.071808865381713</v>
      </c>
      <c r="U528">
        <v>2.4129529687817251E-2</v>
      </c>
      <c r="V528">
        <v>0.20959504751419006</v>
      </c>
      <c r="W528">
        <v>8.5761176559011679E-2</v>
      </c>
      <c r="X528">
        <v>1.6508478375161763E-2</v>
      </c>
      <c r="Y528">
        <v>3.8998887809478188E-3</v>
      </c>
    </row>
    <row r="529" spans="1:25" x14ac:dyDescent="0.25">
      <c r="A529" s="827"/>
      <c r="B529" s="1066">
        <v>279</v>
      </c>
      <c r="C529" s="831">
        <v>1.0052462684513932</v>
      </c>
      <c r="D529" s="831">
        <v>0.99561740051204728</v>
      </c>
      <c r="E529" s="831">
        <v>0.98865263201601294</v>
      </c>
      <c r="F529" s="831">
        <v>1.012146956302634</v>
      </c>
      <c r="G529" s="831">
        <v>0.99377483340393546</v>
      </c>
      <c r="H529" s="831">
        <v>0.98331915876318376</v>
      </c>
      <c r="I529" s="831">
        <v>1.0193241503031936</v>
      </c>
      <c r="K529">
        <v>1.7313854386563774</v>
      </c>
      <c r="L529">
        <v>0</v>
      </c>
      <c r="M529">
        <v>1.3908309061792835E-3</v>
      </c>
      <c r="N529">
        <v>0.13522789425708873</v>
      </c>
      <c r="O529">
        <v>1.7778432036731781E-2</v>
      </c>
      <c r="P529">
        <v>1.968251967022774E-2</v>
      </c>
      <c r="Q529">
        <v>2.1298274484754681E-3</v>
      </c>
      <c r="R529">
        <v>1.382123576242547E-3</v>
      </c>
      <c r="S529">
        <v>0.1539419977341121</v>
      </c>
      <c r="T529">
        <v>1.0723714464849559</v>
      </c>
      <c r="U529">
        <v>2.3200810219601326E-2</v>
      </c>
      <c r="V529">
        <v>0.20602065158923508</v>
      </c>
      <c r="W529">
        <v>8.1464368615488628E-2</v>
      </c>
      <c r="X529">
        <v>1.581451317277897E-2</v>
      </c>
      <c r="Y529">
        <v>3.7616847576177536E-3</v>
      </c>
    </row>
    <row r="530" spans="1:25" x14ac:dyDescent="0.25">
      <c r="A530" s="827"/>
      <c r="B530" s="1066">
        <v>280</v>
      </c>
      <c r="C530" s="831">
        <v>0.97125770745681461</v>
      </c>
      <c r="D530" s="831">
        <v>0.97393844532626161</v>
      </c>
      <c r="E530" s="831">
        <v>0.99838583010393533</v>
      </c>
      <c r="F530" s="831">
        <v>0.97308707559478747</v>
      </c>
      <c r="G530" s="831">
        <v>0.99970077755449482</v>
      </c>
      <c r="H530" s="831">
        <v>0.98815750604860286</v>
      </c>
      <c r="I530" s="831">
        <v>1.014686870971204</v>
      </c>
      <c r="K530">
        <v>1.7585368424492918</v>
      </c>
      <c r="L530">
        <v>0</v>
      </c>
      <c r="M530">
        <v>1.4314785621745492E-3</v>
      </c>
      <c r="N530">
        <v>0.14346710350740119</v>
      </c>
      <c r="O530">
        <v>1.8585323154013136E-2</v>
      </c>
      <c r="P530">
        <v>1.9994620507592487E-2</v>
      </c>
      <c r="Q530">
        <v>2.2443736587706023E-3</v>
      </c>
      <c r="R530">
        <v>1.422576747884095E-3</v>
      </c>
      <c r="S530">
        <v>0.16042934181915056</v>
      </c>
      <c r="T530">
        <v>1.0715053606258427</v>
      </c>
      <c r="U530">
        <v>2.4012708181613208E-2</v>
      </c>
      <c r="V530">
        <v>0.2118940076287214</v>
      </c>
      <c r="W530">
        <v>8.585157477271374E-2</v>
      </c>
      <c r="X530">
        <v>1.6689545452322475E-2</v>
      </c>
      <c r="Y530">
        <v>3.8717849554416009E-3</v>
      </c>
    </row>
    <row r="531" spans="1:25" x14ac:dyDescent="0.25">
      <c r="A531" s="827"/>
      <c r="B531" s="1066">
        <v>281</v>
      </c>
      <c r="C531" s="831">
        <v>1.0130356249880812</v>
      </c>
      <c r="D531" s="831">
        <v>1.0105876697338885</v>
      </c>
      <c r="E531" s="831">
        <v>0.95154552406473192</v>
      </c>
      <c r="F531" s="831">
        <v>1.030931275786535</v>
      </c>
      <c r="G531" s="831">
        <v>0.98983838461321039</v>
      </c>
      <c r="H531" s="831">
        <v>0.96625933669796793</v>
      </c>
      <c r="I531" s="831">
        <v>1.026537131468475</v>
      </c>
      <c r="K531">
        <v>1.7151069046671943</v>
      </c>
      <c r="L531">
        <v>0</v>
      </c>
      <c r="M531">
        <v>1.4560194322988382E-3</v>
      </c>
      <c r="N531">
        <v>0.12608379409499912</v>
      </c>
      <c r="O531">
        <v>1.7522915570848261E-2</v>
      </c>
      <c r="P531">
        <v>1.9113059963698074E-2</v>
      </c>
      <c r="Q531">
        <v>2.0235645617640704E-3</v>
      </c>
      <c r="R531">
        <v>1.446731782962478E-3</v>
      </c>
      <c r="S531">
        <v>0.1516549604545166</v>
      </c>
      <c r="T531">
        <v>1.0757059818495101</v>
      </c>
      <c r="U531">
        <v>2.3022416312928375E-2</v>
      </c>
      <c r="V531">
        <v>0.20384369213130929</v>
      </c>
      <c r="W531">
        <v>7.7950976690934579E-2</v>
      </c>
      <c r="X531">
        <v>1.4257303687800611E-2</v>
      </c>
      <c r="Y531">
        <v>3.9375269982197848E-3</v>
      </c>
    </row>
    <row r="532" spans="1:25" x14ac:dyDescent="0.25">
      <c r="A532" s="827"/>
      <c r="B532" s="1066">
        <v>282</v>
      </c>
      <c r="C532" s="831">
        <v>0.97825940334704864</v>
      </c>
      <c r="D532" s="831">
        <v>1.0438427920669873</v>
      </c>
      <c r="E532" s="831">
        <v>1.0046534025638791</v>
      </c>
      <c r="F532" s="831">
        <v>0.98545680330535246</v>
      </c>
      <c r="G532" s="831">
        <v>0.99998747826480361</v>
      </c>
      <c r="H532" s="831">
        <v>1.0024915587617151</v>
      </c>
      <c r="I532" s="831">
        <v>1.0052369135862009</v>
      </c>
      <c r="K532">
        <v>1.7389647296260737</v>
      </c>
      <c r="L532">
        <v>0</v>
      </c>
      <c r="M532">
        <v>1.3790455002396743E-3</v>
      </c>
      <c r="N532">
        <v>0.14094096325440436</v>
      </c>
      <c r="O532">
        <v>1.7882482370140888E-2</v>
      </c>
      <c r="P532">
        <v>1.9895620807858814E-2</v>
      </c>
      <c r="Q532">
        <v>2.1854636927803373E-3</v>
      </c>
      <c r="R532">
        <v>1.3705447049482725E-3</v>
      </c>
      <c r="S532">
        <v>0.15436499514346969</v>
      </c>
      <c r="T532">
        <v>1.0709495468313022</v>
      </c>
      <c r="U532">
        <v>2.3840842028716242E-2</v>
      </c>
      <c r="V532">
        <v>0.20462124263100648</v>
      </c>
      <c r="W532">
        <v>8.3979378981215561E-2</v>
      </c>
      <c r="X532">
        <v>1.6582523793540884E-2</v>
      </c>
      <c r="Y532">
        <v>3.7301708869286357E-3</v>
      </c>
    </row>
    <row r="533" spans="1:25" x14ac:dyDescent="0.25">
      <c r="A533" s="827"/>
      <c r="B533" s="1066">
        <v>283</v>
      </c>
      <c r="C533" s="831">
        <v>0.97798979488388849</v>
      </c>
      <c r="D533" s="831">
        <v>1.0127657562210746</v>
      </c>
      <c r="E533" s="831">
        <v>0.96974251839817049</v>
      </c>
      <c r="F533" s="831">
        <v>1.0027492786637071</v>
      </c>
      <c r="G533" s="831">
        <v>0.97917914919047877</v>
      </c>
      <c r="H533" s="831">
        <v>1.0449763706887429</v>
      </c>
      <c r="I533" s="831">
        <v>1.0028822266085216</v>
      </c>
      <c r="K533">
        <v>1.7556952491959816</v>
      </c>
      <c r="L533">
        <v>0</v>
      </c>
      <c r="M533">
        <v>1.5685884072771509E-3</v>
      </c>
      <c r="N533">
        <v>0.14383652030473915</v>
      </c>
      <c r="O533">
        <v>1.8133173356951672E-2</v>
      </c>
      <c r="P533">
        <v>1.9520046352051418E-2</v>
      </c>
      <c r="Q533">
        <v>2.1339310347110022E-3</v>
      </c>
      <c r="R533">
        <v>1.5593348103788863E-3</v>
      </c>
      <c r="S533">
        <v>0.15909437921416131</v>
      </c>
      <c r="T533">
        <v>1.0740643079479959</v>
      </c>
      <c r="U533">
        <v>2.3847414380302551E-2</v>
      </c>
      <c r="V533">
        <v>0.20741778639721584</v>
      </c>
      <c r="W533">
        <v>8.7795541676676456E-2</v>
      </c>
      <c r="X533">
        <v>1.5617406808804628E-2</v>
      </c>
      <c r="Y533">
        <v>4.2439953192692373E-3</v>
      </c>
    </row>
    <row r="534" spans="1:25" x14ac:dyDescent="0.25">
      <c r="A534" s="827"/>
      <c r="B534" s="1066">
        <v>284</v>
      </c>
      <c r="C534" s="831">
        <v>0.99540267388712933</v>
      </c>
      <c r="D534" s="831">
        <v>1.0269715018760077</v>
      </c>
      <c r="E534" s="831">
        <v>0.98553578414883269</v>
      </c>
      <c r="F534" s="831">
        <v>1.0061366619237258</v>
      </c>
      <c r="G534" s="831">
        <v>1.0021418064679661</v>
      </c>
      <c r="H534" s="831">
        <v>0.9730137326370375</v>
      </c>
      <c r="I534" s="831">
        <v>1.00346407169114</v>
      </c>
      <c r="K534">
        <v>1.7223961718018965</v>
      </c>
      <c r="L534">
        <v>0</v>
      </c>
      <c r="M534">
        <v>1.379534337779177E-3</v>
      </c>
      <c r="N534">
        <v>0.13282297800184512</v>
      </c>
      <c r="O534">
        <v>1.7704166870384577E-2</v>
      </c>
      <c r="P534">
        <v>1.957074133417817E-2</v>
      </c>
      <c r="Q534">
        <v>2.1195974443388079E-3</v>
      </c>
      <c r="R534">
        <v>1.3707843128363921E-3</v>
      </c>
      <c r="S534">
        <v>0.15035498692462321</v>
      </c>
      <c r="T534">
        <v>1.0726495462668018</v>
      </c>
      <c r="U534">
        <v>2.3430244372588255E-2</v>
      </c>
      <c r="V534">
        <v>0.20424777006618969</v>
      </c>
      <c r="W534">
        <v>8.0187972424577855E-2</v>
      </c>
      <c r="X534">
        <v>1.5586095100696215E-2</v>
      </c>
      <c r="Y534">
        <v>3.7308230206133785E-3</v>
      </c>
    </row>
    <row r="535" spans="1:25" x14ac:dyDescent="0.25">
      <c r="A535" s="827"/>
      <c r="B535" s="1066">
        <v>285</v>
      </c>
      <c r="C535" s="831">
        <v>0.99654852912754632</v>
      </c>
      <c r="D535" s="831">
        <v>0.99973731521261555</v>
      </c>
      <c r="E535" s="831">
        <v>0.99941531861300037</v>
      </c>
      <c r="F535" s="831">
        <v>0.98551041168208831</v>
      </c>
      <c r="G535" s="831">
        <v>1.0216339094069229</v>
      </c>
      <c r="H535" s="831">
        <v>0.98806263632756663</v>
      </c>
      <c r="I535" s="831">
        <v>1.0357594994239216</v>
      </c>
      <c r="K535">
        <v>1.7402851921033562</v>
      </c>
      <c r="L535">
        <v>0</v>
      </c>
      <c r="M535">
        <v>1.3756003841019721E-3</v>
      </c>
      <c r="N535">
        <v>0.13830719316321174</v>
      </c>
      <c r="O535">
        <v>1.7900076706988219E-2</v>
      </c>
      <c r="P535">
        <v>1.9893059905185369E-2</v>
      </c>
      <c r="Q535">
        <v>2.1685377945876655E-3</v>
      </c>
      <c r="R535">
        <v>1.3670268620780391E-3</v>
      </c>
      <c r="S535">
        <v>0.15787316576378935</v>
      </c>
      <c r="T535">
        <v>1.0714139629025099</v>
      </c>
      <c r="U535">
        <v>2.3403303719409897E-2</v>
      </c>
      <c r="V535">
        <v>0.20657857747557434</v>
      </c>
      <c r="W535">
        <v>8.2705528905779715E-2</v>
      </c>
      <c r="X535">
        <v>1.6329762810052637E-2</v>
      </c>
      <c r="Y535">
        <v>3.7205964782924513E-3</v>
      </c>
    </row>
    <row r="536" spans="1:25" x14ac:dyDescent="0.25">
      <c r="A536" s="827"/>
      <c r="B536" s="1066">
        <v>286</v>
      </c>
      <c r="C536" s="831">
        <v>0.99721085162184397</v>
      </c>
      <c r="D536" s="831">
        <v>0.96648533191833952</v>
      </c>
      <c r="E536" s="831">
        <v>1.0018821259134694</v>
      </c>
      <c r="F536" s="831">
        <v>1.0093359946210088</v>
      </c>
      <c r="G536" s="831">
        <v>0.98311411104347701</v>
      </c>
      <c r="H536" s="831">
        <v>1.0382731568372918</v>
      </c>
      <c r="I536" s="831">
        <v>1.0062383702719571</v>
      </c>
      <c r="K536">
        <v>1.7607546628245281</v>
      </c>
      <c r="L536">
        <v>0</v>
      </c>
      <c r="M536">
        <v>1.4592675873694326E-3</v>
      </c>
      <c r="N536">
        <v>0.14789692659791825</v>
      </c>
      <c r="O536">
        <v>1.8164950506661323E-2</v>
      </c>
      <c r="P536">
        <v>1.9986156578752749E-2</v>
      </c>
      <c r="Q536">
        <v>2.1999232735165266E-3</v>
      </c>
      <c r="R536">
        <v>1.4506364710709929E-3</v>
      </c>
      <c r="S536">
        <v>0.15913628962212864</v>
      </c>
      <c r="T536">
        <v>1.0711951231491916</v>
      </c>
      <c r="U536">
        <v>2.3387759830703708E-2</v>
      </c>
      <c r="V536">
        <v>0.20968089801006989</v>
      </c>
      <c r="W536">
        <v>8.8290955120116629E-2</v>
      </c>
      <c r="X536">
        <v>1.6876156979694277E-2</v>
      </c>
      <c r="Y536">
        <v>3.9481542720710746E-3</v>
      </c>
    </row>
    <row r="537" spans="1:25" x14ac:dyDescent="0.25">
      <c r="A537" s="827"/>
      <c r="B537" s="1066">
        <v>287</v>
      </c>
      <c r="C537" s="831">
        <v>1.0026280378163002</v>
      </c>
      <c r="D537" s="831">
        <v>1.0195140472057398</v>
      </c>
      <c r="E537" s="831">
        <v>1.0274011077560632</v>
      </c>
      <c r="F537" s="831">
        <v>0.95435115021237915</v>
      </c>
      <c r="G537" s="831">
        <v>0.99338246300238697</v>
      </c>
      <c r="H537" s="831">
        <v>0.9605192497759919</v>
      </c>
      <c r="I537" s="831">
        <v>1.011600220684312</v>
      </c>
      <c r="K537">
        <v>1.7228116885813545</v>
      </c>
      <c r="L537">
        <v>0</v>
      </c>
      <c r="M537">
        <v>1.2418794590922867E-3</v>
      </c>
      <c r="N537">
        <v>0.13618351123467559</v>
      </c>
      <c r="O537">
        <v>1.763454683424772E-2</v>
      </c>
      <c r="P537">
        <v>2.0128492559959844E-2</v>
      </c>
      <c r="Q537">
        <v>2.2003779776037036E-3</v>
      </c>
      <c r="R537">
        <v>1.2339047583896671E-3</v>
      </c>
      <c r="S537">
        <v>0.15003891988328433</v>
      </c>
      <c r="T537">
        <v>1.0689447404469363</v>
      </c>
      <c r="U537">
        <v>2.3261396069771907E-2</v>
      </c>
      <c r="V537">
        <v>0.20414063664435883</v>
      </c>
      <c r="W537">
        <v>7.990522121850592E-2</v>
      </c>
      <c r="X537">
        <v>1.7023538416968239E-2</v>
      </c>
      <c r="Y537">
        <v>3.358281995742389E-3</v>
      </c>
    </row>
    <row r="538" spans="1:25" x14ac:dyDescent="0.25">
      <c r="A538" s="827"/>
      <c r="B538" s="1066">
        <v>288</v>
      </c>
      <c r="C538" s="831">
        <v>1.0107507751238987</v>
      </c>
      <c r="D538" s="831">
        <v>1.0253771992945633</v>
      </c>
      <c r="E538" s="831">
        <v>0.99313356598377212</v>
      </c>
      <c r="F538" s="831">
        <v>0.99786126981807421</v>
      </c>
      <c r="G538" s="831">
        <v>1.0075433457794558</v>
      </c>
      <c r="H538" s="831">
        <v>1.0255792751720132</v>
      </c>
      <c r="I538" s="831">
        <v>1.0268731722710791</v>
      </c>
      <c r="K538">
        <v>1.7349548506137928</v>
      </c>
      <c r="L538">
        <v>0</v>
      </c>
      <c r="M538">
        <v>1.4102773531923986E-3</v>
      </c>
      <c r="N538">
        <v>0.13907894716270458</v>
      </c>
      <c r="O538">
        <v>1.7447568833548439E-2</v>
      </c>
      <c r="P538">
        <v>1.971787618953558E-2</v>
      </c>
      <c r="Q538">
        <v>2.1047217623142468E-3</v>
      </c>
      <c r="R538">
        <v>1.4017918651869636E-3</v>
      </c>
      <c r="S538">
        <v>0.15541403024630601</v>
      </c>
      <c r="T538">
        <v>1.0719722775308569</v>
      </c>
      <c r="U538">
        <v>2.3074459572335549E-2</v>
      </c>
      <c r="V538">
        <v>0.20278199905474301</v>
      </c>
      <c r="W538">
        <v>8.3526202260395685E-2</v>
      </c>
      <c r="X538">
        <v>1.6030038132580738E-2</v>
      </c>
      <c r="Y538">
        <v>3.815215356474748E-3</v>
      </c>
    </row>
    <row r="539" spans="1:25" x14ac:dyDescent="0.25">
      <c r="A539" s="827"/>
      <c r="B539" s="1066">
        <v>289</v>
      </c>
      <c r="C539" s="831">
        <v>0.99731827353907032</v>
      </c>
      <c r="D539" s="831">
        <v>0.98865794150609221</v>
      </c>
      <c r="E539" s="831">
        <v>1.000185905875465</v>
      </c>
      <c r="F539" s="831">
        <v>0.98742741907866372</v>
      </c>
      <c r="G539" s="831">
        <v>0.97770425807733163</v>
      </c>
      <c r="H539" s="831">
        <v>0.99355133512016114</v>
      </c>
      <c r="I539" s="831">
        <v>1.0005129634335943</v>
      </c>
      <c r="K539">
        <v>1.739244136516912</v>
      </c>
      <c r="L539">
        <v>0</v>
      </c>
      <c r="M539">
        <v>1.3869135278691787E-3</v>
      </c>
      <c r="N539">
        <v>0.13978499691679347</v>
      </c>
      <c r="O539">
        <v>1.7976840128073698E-2</v>
      </c>
      <c r="P539">
        <v>1.9856423871148044E-2</v>
      </c>
      <c r="Q539">
        <v>2.177528893307093E-3</v>
      </c>
      <c r="R539">
        <v>1.3783250734911081E-3</v>
      </c>
      <c r="S539">
        <v>0.15348719517805531</v>
      </c>
      <c r="T539">
        <v>1.0713455765386692</v>
      </c>
      <c r="U539">
        <v>2.3385240717129507E-2</v>
      </c>
      <c r="V539">
        <v>0.20752842927949741</v>
      </c>
      <c r="W539">
        <v>8.3545163945644832E-2</v>
      </c>
      <c r="X539">
        <v>1.6413983017666185E-2</v>
      </c>
      <c r="Y539">
        <v>3.7513464853044338E-3</v>
      </c>
    </row>
    <row r="540" spans="1:25" x14ac:dyDescent="0.25">
      <c r="A540" s="827"/>
      <c r="B540" s="1066">
        <v>290</v>
      </c>
      <c r="C540" s="831">
        <v>0.97823763425878962</v>
      </c>
      <c r="D540" s="831">
        <v>1.0415232169898005</v>
      </c>
      <c r="E540" s="831">
        <v>0.95832885414881364</v>
      </c>
      <c r="F540" s="831">
        <v>0.97724164829718485</v>
      </c>
      <c r="G540" s="831">
        <v>0.98744618333970025</v>
      </c>
      <c r="H540" s="831">
        <v>0.98179109113070295</v>
      </c>
      <c r="I540" s="831">
        <v>1.0368469914923348</v>
      </c>
      <c r="K540">
        <v>1.7325726914400099</v>
      </c>
      <c r="L540">
        <v>0</v>
      </c>
      <c r="M540">
        <v>1.4900684831235015E-3</v>
      </c>
      <c r="N540">
        <v>0.13180494017943309</v>
      </c>
      <c r="O540">
        <v>1.7900821442858622E-2</v>
      </c>
      <c r="P540">
        <v>1.9311368990889966E-2</v>
      </c>
      <c r="Q540">
        <v>2.0867913275663653E-3</v>
      </c>
      <c r="R540">
        <v>1.480691311724906E-3</v>
      </c>
      <c r="S540">
        <v>0.15782263235580124</v>
      </c>
      <c r="T540">
        <v>1.0750925651681036</v>
      </c>
      <c r="U540">
        <v>2.3841372567898263E-2</v>
      </c>
      <c r="V540">
        <v>0.20482243648666909</v>
      </c>
      <c r="W540">
        <v>8.1098605934393331E-2</v>
      </c>
      <c r="X540">
        <v>1.4770580517037526E-2</v>
      </c>
      <c r="Y540">
        <v>4.0299536407554654E-3</v>
      </c>
    </row>
    <row r="541" spans="1:25" x14ac:dyDescent="0.25">
      <c r="A541" s="827"/>
      <c r="B541" s="1066">
        <v>291</v>
      </c>
      <c r="C541" s="831">
        <v>1.0092254049715137</v>
      </c>
      <c r="D541" s="831">
        <v>0.96974128063426956</v>
      </c>
      <c r="E541" s="831">
        <v>1.0006911960050966</v>
      </c>
      <c r="F541" s="831">
        <v>1.0131546754550738</v>
      </c>
      <c r="G541" s="831">
        <v>1.0025419857651725</v>
      </c>
      <c r="H541" s="831">
        <v>1.0001721607014151</v>
      </c>
      <c r="I541" s="831">
        <v>0.99978243019721547</v>
      </c>
      <c r="K541">
        <v>1.7400801144737585</v>
      </c>
      <c r="L541">
        <v>0</v>
      </c>
      <c r="M541">
        <v>1.390346108919465E-3</v>
      </c>
      <c r="N541">
        <v>0.14035858642846502</v>
      </c>
      <c r="O541">
        <v>1.7921274404119131E-2</v>
      </c>
      <c r="P541">
        <v>1.98635011793288E-2</v>
      </c>
      <c r="Q541">
        <v>2.1684254127406783E-3</v>
      </c>
      <c r="R541">
        <v>1.3818069935675682E-3</v>
      </c>
      <c r="S541">
        <v>0.15326623658499111</v>
      </c>
      <c r="T541">
        <v>1.0713007463411977</v>
      </c>
      <c r="U541">
        <v>2.310933492499773E-2</v>
      </c>
      <c r="V541">
        <v>0.20804013801957988</v>
      </c>
      <c r="W541">
        <v>8.3858991077035844E-2</v>
      </c>
      <c r="X541">
        <v>1.6440596092715042E-2</v>
      </c>
      <c r="Y541">
        <v>3.7608231239379124E-3</v>
      </c>
    </row>
    <row r="542" spans="1:25" x14ac:dyDescent="0.25">
      <c r="A542" s="827"/>
      <c r="B542" s="1066">
        <v>292</v>
      </c>
      <c r="C542" s="831">
        <v>1.006044163002612</v>
      </c>
      <c r="D542" s="831">
        <v>0.99998036191747031</v>
      </c>
      <c r="E542" s="831">
        <v>0.98699287011740411</v>
      </c>
      <c r="F542" s="831">
        <v>1.0158957854894992</v>
      </c>
      <c r="G542" s="831">
        <v>1.0064578600952123</v>
      </c>
      <c r="H542" s="831">
        <v>1.0081649766956025</v>
      </c>
      <c r="I542" s="831">
        <v>1.01056347565377</v>
      </c>
      <c r="K542">
        <v>1.7357748162460236</v>
      </c>
      <c r="L542">
        <v>0</v>
      </c>
      <c r="M542">
        <v>1.4269953136280243E-3</v>
      </c>
      <c r="N542">
        <v>0.13804998963579643</v>
      </c>
      <c r="O542">
        <v>1.7729173053542237E-2</v>
      </c>
      <c r="P542">
        <v>1.9654069683959007E-2</v>
      </c>
      <c r="Q542">
        <v>2.1211228576676132E-3</v>
      </c>
      <c r="R542">
        <v>1.4182786357326311E-3</v>
      </c>
      <c r="S542">
        <v>0.15401305913700081</v>
      </c>
      <c r="T542">
        <v>1.0725194927128305</v>
      </c>
      <c r="U542">
        <v>2.3182409635671839E-2</v>
      </c>
      <c r="V542">
        <v>0.20553773176489704</v>
      </c>
      <c r="W542">
        <v>8.3259773673073564E-2</v>
      </c>
      <c r="X542">
        <v>1.5856623858441821E-2</v>
      </c>
      <c r="Y542">
        <v>3.860086911037606E-3</v>
      </c>
    </row>
    <row r="543" spans="1:25" x14ac:dyDescent="0.25">
      <c r="A543" s="827"/>
      <c r="B543" s="1066">
        <v>293</v>
      </c>
      <c r="C543" s="831">
        <v>0.98749440290347001</v>
      </c>
      <c r="D543" s="831">
        <v>0.98420615778053944</v>
      </c>
      <c r="E543" s="831">
        <v>1.0162479523746015</v>
      </c>
      <c r="F543" s="831">
        <v>0.99765918373249141</v>
      </c>
      <c r="G543" s="831">
        <v>1.0070700608262753</v>
      </c>
      <c r="H543" s="831">
        <v>1.0343702456076955</v>
      </c>
      <c r="I543" s="831">
        <v>1.021695026420727</v>
      </c>
      <c r="K543">
        <v>1.7643394658787612</v>
      </c>
      <c r="L543">
        <v>0</v>
      </c>
      <c r="M543">
        <v>1.4125819676057763E-3</v>
      </c>
      <c r="N543">
        <v>0.14969987014238981</v>
      </c>
      <c r="O543">
        <v>1.8192891350354894E-2</v>
      </c>
      <c r="P543">
        <v>2.0211255129154566E-2</v>
      </c>
      <c r="Q543">
        <v>2.2385690869458075E-3</v>
      </c>
      <c r="R543">
        <v>1.4041828678406868E-3</v>
      </c>
      <c r="S543">
        <v>0.16164690784007002</v>
      </c>
      <c r="T543">
        <v>1.0699252453613499</v>
      </c>
      <c r="U543">
        <v>2.3617883635319217E-2</v>
      </c>
      <c r="V543">
        <v>0.20903571060335233</v>
      </c>
      <c r="W543">
        <v>8.8498597484472724E-2</v>
      </c>
      <c r="X543">
        <v>1.7459211467611153E-2</v>
      </c>
      <c r="Y543">
        <v>3.82172287750437E-3</v>
      </c>
    </row>
    <row r="544" spans="1:25" x14ac:dyDescent="0.25">
      <c r="A544" s="827"/>
      <c r="B544" s="1066">
        <v>294</v>
      </c>
      <c r="C544" s="831">
        <v>1.0073042410119013</v>
      </c>
      <c r="D544" s="831">
        <v>1.021965576788838</v>
      </c>
      <c r="E544" s="831">
        <v>1.0168886213385668</v>
      </c>
      <c r="F544" s="831">
        <v>0.99562914264541091</v>
      </c>
      <c r="G544" s="831">
        <v>0.98677701452878097</v>
      </c>
      <c r="H544" s="831">
        <v>1.0231070558804407</v>
      </c>
      <c r="I544" s="831">
        <v>1.0061813782839477</v>
      </c>
      <c r="K544">
        <v>1.7367682776070226</v>
      </c>
      <c r="L544">
        <v>0</v>
      </c>
      <c r="M544">
        <v>1.3447760171781803E-3</v>
      </c>
      <c r="N544">
        <v>0.14278600338824035</v>
      </c>
      <c r="O544">
        <v>1.7533642937464646E-2</v>
      </c>
      <c r="P544">
        <v>2.0014462446186442E-2</v>
      </c>
      <c r="Q544">
        <v>2.1654904963398706E-3</v>
      </c>
      <c r="R544">
        <v>1.3366672664781368E-3</v>
      </c>
      <c r="S544">
        <v>0.15283910121066316</v>
      </c>
      <c r="T544">
        <v>1.0698687947992467</v>
      </c>
      <c r="U544">
        <v>2.3153409812783306E-2</v>
      </c>
      <c r="V544">
        <v>0.20343492920570641</v>
      </c>
      <c r="W544">
        <v>8.4374731640010206E-2</v>
      </c>
      <c r="X544">
        <v>1.6967852753972036E-2</v>
      </c>
      <c r="Y544">
        <v>3.6379676671075166E-3</v>
      </c>
    </row>
    <row r="545" spans="1:25" x14ac:dyDescent="0.25">
      <c r="A545" s="827"/>
      <c r="B545" s="1066">
        <v>295</v>
      </c>
      <c r="C545" s="831">
        <v>0.96546730467554642</v>
      </c>
      <c r="D545" s="831">
        <v>1.0236450057966007</v>
      </c>
      <c r="E545" s="831">
        <v>0.98351385945147696</v>
      </c>
      <c r="F545" s="831">
        <v>0.98516978706247604</v>
      </c>
      <c r="G545" s="831">
        <v>0.97924222463003852</v>
      </c>
      <c r="H545" s="831">
        <v>0.97001251011138867</v>
      </c>
      <c r="I545" s="831">
        <v>1.0197317207800216</v>
      </c>
      <c r="K545">
        <v>1.7410928737513724</v>
      </c>
      <c r="L545">
        <v>0</v>
      </c>
      <c r="M545">
        <v>1.4260427460163789E-3</v>
      </c>
      <c r="N545">
        <v>0.13643643240881995</v>
      </c>
      <c r="O545">
        <v>1.8279869573959204E-2</v>
      </c>
      <c r="P545">
        <v>1.9697812911544224E-2</v>
      </c>
      <c r="Q545">
        <v>2.1834675588306746E-3</v>
      </c>
      <c r="R545">
        <v>1.4169721111956359E-3</v>
      </c>
      <c r="S545">
        <v>0.15751625403781092</v>
      </c>
      <c r="T545">
        <v>1.0728301473466002</v>
      </c>
      <c r="U545">
        <v>2.4156724712848646E-2</v>
      </c>
      <c r="V545">
        <v>0.20782609701431257</v>
      </c>
      <c r="W545">
        <v>8.2484767574519016E-2</v>
      </c>
      <c r="X545">
        <v>1.5833840265004707E-2</v>
      </c>
      <c r="Y545">
        <v>3.8565309819436041E-3</v>
      </c>
    </row>
    <row r="546" spans="1:25" x14ac:dyDescent="0.25">
      <c r="A546" s="827"/>
      <c r="B546" s="1066">
        <v>296</v>
      </c>
      <c r="C546" s="831">
        <v>1.0116090566967275</v>
      </c>
      <c r="D546" s="831">
        <v>0.99709090239912523</v>
      </c>
      <c r="E546" s="831">
        <v>1.000938799856582</v>
      </c>
      <c r="F546" s="831">
        <v>0.98591131223698458</v>
      </c>
      <c r="G546" s="831">
        <v>0.96684378054939424</v>
      </c>
      <c r="H546" s="831">
        <v>0.98910486979694501</v>
      </c>
      <c r="I546" s="831">
        <v>1.0020195260648279</v>
      </c>
      <c r="K546">
        <v>1.7281678054898728</v>
      </c>
      <c r="L546">
        <v>0</v>
      </c>
      <c r="M546">
        <v>1.3538278239431701E-3</v>
      </c>
      <c r="N546">
        <v>0.13676588491491481</v>
      </c>
      <c r="O546">
        <v>1.7654774027418788E-2</v>
      </c>
      <c r="P546">
        <v>1.9792374493610876E-2</v>
      </c>
      <c r="Q546">
        <v>2.1416318937116027E-3</v>
      </c>
      <c r="R546">
        <v>1.3454007133975043E-3</v>
      </c>
      <c r="S546">
        <v>0.15069643867719726</v>
      </c>
      <c r="T546">
        <v>1.071278782025975</v>
      </c>
      <c r="U546">
        <v>2.305488246068077E-2</v>
      </c>
      <c r="V546">
        <v>0.20520984982340981</v>
      </c>
      <c r="W546">
        <v>8.16986519313182E-2</v>
      </c>
      <c r="X546">
        <v>1.6221225121537071E-2</v>
      </c>
      <c r="Y546">
        <v>3.6617372306420311E-3</v>
      </c>
    </row>
    <row r="547" spans="1:25" x14ac:dyDescent="0.25">
      <c r="A547" s="827"/>
      <c r="B547" s="1066">
        <v>297</v>
      </c>
      <c r="C547" s="831">
        <v>0.99201371753740508</v>
      </c>
      <c r="D547" s="831">
        <v>1.0235158229623234</v>
      </c>
      <c r="E547" s="831">
        <v>0.9911047340543665</v>
      </c>
      <c r="F547" s="831">
        <v>1.0369516217846284</v>
      </c>
      <c r="G547" s="831">
        <v>0.95402346511849634</v>
      </c>
      <c r="H547" s="831">
        <v>1.0158238736225467</v>
      </c>
      <c r="I547" s="831">
        <v>0.97361783990674489</v>
      </c>
      <c r="K547">
        <v>1.7341355399058054</v>
      </c>
      <c r="L547">
        <v>0</v>
      </c>
      <c r="M547">
        <v>1.4305051532419008E-3</v>
      </c>
      <c r="N547">
        <v>0.14017759212319231</v>
      </c>
      <c r="O547">
        <v>1.7791712240388429E-2</v>
      </c>
      <c r="P547">
        <v>1.9645888022547322E-2</v>
      </c>
      <c r="Q547">
        <v>2.1415297367148936E-3</v>
      </c>
      <c r="R547">
        <v>1.4218165678153382E-3</v>
      </c>
      <c r="S547">
        <v>0.14957016376152255</v>
      </c>
      <c r="T547">
        <v>1.0721529155053595</v>
      </c>
      <c r="U547">
        <v>2.3510287696625304E-2</v>
      </c>
      <c r="V547">
        <v>0.20491579106277111</v>
      </c>
      <c r="W547">
        <v>8.4303607487395821E-2</v>
      </c>
      <c r="X547">
        <v>1.6065024858826694E-2</v>
      </c>
      <c r="Y547">
        <v>3.8697159958877366E-3</v>
      </c>
    </row>
    <row r="548" spans="1:25" x14ac:dyDescent="0.25">
      <c r="A548" s="827"/>
      <c r="B548" s="1066">
        <v>298</v>
      </c>
      <c r="C548" s="831">
        <v>0.98530544208283377</v>
      </c>
      <c r="D548" s="831">
        <v>1.022967767547839</v>
      </c>
      <c r="E548" s="831">
        <v>0.98872215313104883</v>
      </c>
      <c r="F548" s="831">
        <v>1.013538795221169</v>
      </c>
      <c r="G548" s="831">
        <v>1.0326340272697276</v>
      </c>
      <c r="H548" s="831">
        <v>0.97642902927211006</v>
      </c>
      <c r="I548" s="831">
        <v>1.0037355086539943</v>
      </c>
      <c r="K548">
        <v>1.7303405572990698</v>
      </c>
      <c r="L548">
        <v>0</v>
      </c>
      <c r="M548">
        <v>1.391679168330493E-3</v>
      </c>
      <c r="N548">
        <v>0.1353317577416098</v>
      </c>
      <c r="O548">
        <v>1.7917178590673887E-2</v>
      </c>
      <c r="P548">
        <v>1.9664834181625183E-2</v>
      </c>
      <c r="Q548">
        <v>2.1513507311274578E-3</v>
      </c>
      <c r="R548">
        <v>1.3828857489095682E-3</v>
      </c>
      <c r="S548">
        <v>0.15242969181810059</v>
      </c>
      <c r="T548">
        <v>1.0723652476543581</v>
      </c>
      <c r="U548">
        <v>2.3670353275428782E-2</v>
      </c>
      <c r="V548">
        <v>0.20568654442039519</v>
      </c>
      <c r="W548">
        <v>8.152302946744093E-2</v>
      </c>
      <c r="X548">
        <v>1.5845603697361182E-2</v>
      </c>
      <c r="Y548">
        <v>3.763759140367235E-3</v>
      </c>
    </row>
    <row r="549" spans="1:25" x14ac:dyDescent="0.25">
      <c r="A549" s="827"/>
      <c r="B549" s="1066">
        <v>299</v>
      </c>
      <c r="C549" s="831">
        <v>0.98441373461364057</v>
      </c>
      <c r="D549" s="831">
        <v>0.96668169274790539</v>
      </c>
      <c r="E549" s="831">
        <v>1.0169268434482395</v>
      </c>
      <c r="F549" s="831">
        <v>0.95337367404271267</v>
      </c>
      <c r="G549" s="831">
        <v>0.98426910566741377</v>
      </c>
      <c r="H549" s="831">
        <v>1.0157512461612122</v>
      </c>
      <c r="I549" s="831">
        <v>1.0235371413875869</v>
      </c>
      <c r="K549">
        <v>1.7657718409408845</v>
      </c>
      <c r="L549">
        <v>0</v>
      </c>
      <c r="M549">
        <v>1.400877733790779E-3</v>
      </c>
      <c r="N549">
        <v>0.14875804068224521</v>
      </c>
      <c r="O549">
        <v>1.8399390028461336E-2</v>
      </c>
      <c r="P549">
        <v>2.0258483074412432E-2</v>
      </c>
      <c r="Q549">
        <v>2.2621310342240868E-3</v>
      </c>
      <c r="R549">
        <v>1.3924081153537486E-3</v>
      </c>
      <c r="S549">
        <v>0.16225541719958078</v>
      </c>
      <c r="T549">
        <v>1.0698654274676223</v>
      </c>
      <c r="U549">
        <v>2.3691794494777884E-2</v>
      </c>
      <c r="V549">
        <v>0.21110020556499362</v>
      </c>
      <c r="W549">
        <v>8.7901440287246238E-2</v>
      </c>
      <c r="X549">
        <v>1.749830484297623E-2</v>
      </c>
      <c r="Y549">
        <v>3.789675882781039E-3</v>
      </c>
    </row>
    <row r="550" spans="1:25" x14ac:dyDescent="0.25">
      <c r="A550" s="827"/>
      <c r="B550" s="1066">
        <v>300</v>
      </c>
      <c r="C550" s="831">
        <v>0.97235172127834113</v>
      </c>
      <c r="D550" s="831">
        <v>1.0185637353724413</v>
      </c>
      <c r="E550" s="831">
        <v>1.0292788317228523</v>
      </c>
      <c r="F550" s="831">
        <v>1.0181568443718048</v>
      </c>
      <c r="G550" s="831">
        <v>1.0125232458802269</v>
      </c>
      <c r="H550" s="831">
        <v>0.96335606700255094</v>
      </c>
      <c r="I550" s="831">
        <v>0.97722690629199027</v>
      </c>
      <c r="K550">
        <v>1.7354547065345527</v>
      </c>
      <c r="L550">
        <v>0</v>
      </c>
      <c r="M550">
        <v>1.2797783535621269E-3</v>
      </c>
      <c r="N550">
        <v>0.14116273679598429</v>
      </c>
      <c r="O550">
        <v>1.8191303024222717E-2</v>
      </c>
      <c r="P550">
        <v>2.0206348349956587E-2</v>
      </c>
      <c r="Q550">
        <v>2.2738977255650087E-3</v>
      </c>
      <c r="R550">
        <v>1.2715851021777109E-3</v>
      </c>
      <c r="S550">
        <v>0.14971439434259665</v>
      </c>
      <c r="T550">
        <v>1.0687801282788838</v>
      </c>
      <c r="U550">
        <v>2.3985690967504324E-2</v>
      </c>
      <c r="V550">
        <v>0.20751462175228275</v>
      </c>
      <c r="W550">
        <v>8.2722490742192553E-2</v>
      </c>
      <c r="X550">
        <v>1.7450452336535499E-2</v>
      </c>
      <c r="Y550">
        <v>3.4608354702114516E-3</v>
      </c>
    </row>
    <row r="551" spans="1:25" x14ac:dyDescent="0.25">
      <c r="A551" s="827"/>
      <c r="B551" s="1066">
        <v>301</v>
      </c>
      <c r="C551" s="831">
        <v>0.99887437243617749</v>
      </c>
      <c r="D551" s="831">
        <v>1.0288448966341159</v>
      </c>
      <c r="E551" s="831">
        <v>0.98708465273605017</v>
      </c>
      <c r="F551" s="831">
        <v>1.0325458492609727</v>
      </c>
      <c r="G551" s="831">
        <v>0.99272535220896196</v>
      </c>
      <c r="H551" s="831">
        <v>0.98399158498880313</v>
      </c>
      <c r="I551" s="831">
        <v>0.96931781707056341</v>
      </c>
      <c r="K551">
        <v>1.7183442292779085</v>
      </c>
      <c r="L551">
        <v>0</v>
      </c>
      <c r="M551">
        <v>1.3845936169722965E-3</v>
      </c>
      <c r="N551">
        <v>0.13396409339752785</v>
      </c>
      <c r="O551">
        <v>1.7628122281378514E-2</v>
      </c>
      <c r="P551">
        <v>1.9516299829497787E-2</v>
      </c>
      <c r="Q551">
        <v>2.1141178208467187E-3</v>
      </c>
      <c r="R551">
        <v>1.3759082088442092E-3</v>
      </c>
      <c r="S551">
        <v>0.14537985227063949</v>
      </c>
      <c r="T551">
        <v>1.0725113032453568</v>
      </c>
      <c r="U551">
        <v>2.3348809962379265E-2</v>
      </c>
      <c r="V551">
        <v>0.20371918975491221</v>
      </c>
      <c r="W551">
        <v>8.0790395514534957E-2</v>
      </c>
      <c r="X551">
        <v>1.5635962032508447E-2</v>
      </c>
      <c r="Y551">
        <v>3.7447685764547913E-3</v>
      </c>
    </row>
    <row r="552" spans="1:25" x14ac:dyDescent="0.25">
      <c r="A552" s="827"/>
      <c r="B552" s="1066">
        <v>302</v>
      </c>
      <c r="C552" s="831">
        <v>1.0217784872266238</v>
      </c>
      <c r="D552" s="831">
        <v>0.98064177959510235</v>
      </c>
      <c r="E552" s="831">
        <v>1.0185043112768333</v>
      </c>
      <c r="F552" s="831">
        <v>1.0235896723279911</v>
      </c>
      <c r="G552" s="831">
        <v>0.95971806571012375</v>
      </c>
      <c r="H552" s="831">
        <v>1.0156012536223982</v>
      </c>
      <c r="I552" s="831">
        <v>1.0047382991110283</v>
      </c>
      <c r="K552">
        <v>1.7379828892426281</v>
      </c>
      <c r="L552">
        <v>0</v>
      </c>
      <c r="M552">
        <v>1.3362386839644764E-3</v>
      </c>
      <c r="N552">
        <v>0.14259008216272107</v>
      </c>
      <c r="O552">
        <v>1.7611438921150809E-2</v>
      </c>
      <c r="P552">
        <v>2.0058264404948636E-2</v>
      </c>
      <c r="Q552">
        <v>2.1712449781403011E-3</v>
      </c>
      <c r="R552">
        <v>1.3281490973282766E-3</v>
      </c>
      <c r="S552">
        <v>0.15252605049446877</v>
      </c>
      <c r="T552">
        <v>1.0697265023021385</v>
      </c>
      <c r="U552">
        <v>2.2825424678500208E-2</v>
      </c>
      <c r="V552">
        <v>0.20566601422947958</v>
      </c>
      <c r="W552">
        <v>8.4166999661389075E-2</v>
      </c>
      <c r="X552">
        <v>1.7034172977631448E-2</v>
      </c>
      <c r="Y552">
        <v>3.6147840186953016E-3</v>
      </c>
    </row>
    <row r="553" spans="1:25" x14ac:dyDescent="0.25">
      <c r="A553" s="827"/>
      <c r="B553" s="1066">
        <v>303</v>
      </c>
      <c r="C553" s="831">
        <v>0.96741426681427156</v>
      </c>
      <c r="D553" s="831">
        <v>1.0016680922407248</v>
      </c>
      <c r="E553" s="831">
        <v>0.97740591125635989</v>
      </c>
      <c r="F553" s="831">
        <v>1.0004011970707907</v>
      </c>
      <c r="G553" s="831">
        <v>1.0199282822105482</v>
      </c>
      <c r="H553" s="831">
        <v>0.98899215432354992</v>
      </c>
      <c r="I553" s="831">
        <v>0.99504879001490465</v>
      </c>
      <c r="K553">
        <v>1.7472592017063062</v>
      </c>
      <c r="L553">
        <v>0</v>
      </c>
      <c r="M553">
        <v>1.4842284445837415E-3</v>
      </c>
      <c r="N553">
        <v>0.13934521156543497</v>
      </c>
      <c r="O553">
        <v>1.8423041570523879E-2</v>
      </c>
      <c r="P553">
        <v>1.9619776221263343E-2</v>
      </c>
      <c r="Q553">
        <v>2.1830918811023376E-3</v>
      </c>
      <c r="R553">
        <v>1.4749851328628007E-3</v>
      </c>
      <c r="S553">
        <v>0.15617906222066238</v>
      </c>
      <c r="T553">
        <v>1.0733766510214282</v>
      </c>
      <c r="U553">
        <v>2.4108108282406334E-2</v>
      </c>
      <c r="V553">
        <v>0.20964525745123497</v>
      </c>
      <c r="W553">
        <v>8.4601001463154898E-2</v>
      </c>
      <c r="X553">
        <v>1.5772820037880331E-2</v>
      </c>
      <c r="Y553">
        <v>4.014423302934173E-3</v>
      </c>
    </row>
    <row r="554" spans="1:25" x14ac:dyDescent="0.25">
      <c r="A554" s="827"/>
      <c r="B554" s="1066">
        <v>304</v>
      </c>
      <c r="C554" s="831">
        <v>0.99233362356738153</v>
      </c>
      <c r="D554" s="831">
        <v>0.98887113714080987</v>
      </c>
      <c r="E554" s="831">
        <v>0.98868399084082481</v>
      </c>
      <c r="F554" s="831">
        <v>0.97764363523987841</v>
      </c>
      <c r="G554" s="831">
        <v>1.0034235296341099</v>
      </c>
      <c r="H554" s="831">
        <v>0.97652869221946859</v>
      </c>
      <c r="I554" s="831">
        <v>1.0082251013632886</v>
      </c>
      <c r="K554">
        <v>1.7364447292136374</v>
      </c>
      <c r="L554">
        <v>0</v>
      </c>
      <c r="M554">
        <v>1.4034217765567538E-3</v>
      </c>
      <c r="N554">
        <v>0.13645990840514191</v>
      </c>
      <c r="O554">
        <v>1.8065373821574436E-2</v>
      </c>
      <c r="P554">
        <v>1.9717848544006759E-2</v>
      </c>
      <c r="Q554">
        <v>2.163060378012502E-3</v>
      </c>
      <c r="R554">
        <v>1.3945794445465831E-3</v>
      </c>
      <c r="S554">
        <v>0.15418543024624781</v>
      </c>
      <c r="T554">
        <v>1.0723686503616618</v>
      </c>
      <c r="U554">
        <v>2.3502708508918623E-2</v>
      </c>
      <c r="V554">
        <v>0.20805434853309107</v>
      </c>
      <c r="W554">
        <v>8.2204784125186892E-2</v>
      </c>
      <c r="X554">
        <v>1.5935873096741361E-2</v>
      </c>
      <c r="Y554">
        <v>3.7955855250654575E-3</v>
      </c>
    </row>
    <row r="555" spans="1:25" x14ac:dyDescent="0.25">
      <c r="A555" s="827"/>
      <c r="B555" s="1066">
        <v>305</v>
      </c>
      <c r="C555" s="831">
        <v>0.99187013049666961</v>
      </c>
      <c r="D555" s="831">
        <v>0.9695377660370571</v>
      </c>
      <c r="E555" s="831">
        <v>1.0247598664505628</v>
      </c>
      <c r="F555" s="831">
        <v>0.9978270369849892</v>
      </c>
      <c r="G555" s="831">
        <v>1.0002830244947694</v>
      </c>
      <c r="H555" s="831">
        <v>0.99257286460442862</v>
      </c>
      <c r="I555" s="831">
        <v>0.96450409077076693</v>
      </c>
      <c r="K555">
        <v>1.7448796438422085</v>
      </c>
      <c r="L555">
        <v>0</v>
      </c>
      <c r="M555">
        <v>1.3345331251905107E-3</v>
      </c>
      <c r="N555">
        <v>0.14518254479720039</v>
      </c>
      <c r="O555">
        <v>1.8236592420980094E-2</v>
      </c>
      <c r="P555">
        <v>2.0175913086857025E-2</v>
      </c>
      <c r="Q555">
        <v>2.260191428467501E-3</v>
      </c>
      <c r="R555">
        <v>1.3262741886710576E-3</v>
      </c>
      <c r="S555">
        <v>0.1499204213170813</v>
      </c>
      <c r="T555">
        <v>1.0691765132960178</v>
      </c>
      <c r="U555">
        <v>2.3513691138803302E-2</v>
      </c>
      <c r="V555">
        <v>0.20997347242824432</v>
      </c>
      <c r="W555">
        <v>8.5336691133272663E-2</v>
      </c>
      <c r="X555">
        <v>1.7502190596407771E-2</v>
      </c>
      <c r="Y555">
        <v>3.6096811353938242E-3</v>
      </c>
    </row>
    <row r="556" spans="1:25" x14ac:dyDescent="0.25">
      <c r="A556" s="827"/>
      <c r="B556" s="1066">
        <v>306</v>
      </c>
      <c r="C556" s="831">
        <v>1.0221927151431327</v>
      </c>
      <c r="D556" s="831">
        <v>1.013100174215352</v>
      </c>
      <c r="E556" s="831">
        <v>0.982384713354721</v>
      </c>
      <c r="F556" s="831">
        <v>0.98035791096299019</v>
      </c>
      <c r="G556" s="831">
        <v>0.97956695340099276</v>
      </c>
      <c r="H556" s="831">
        <v>1.0185210004432506</v>
      </c>
      <c r="I556" s="831">
        <v>1.0121512370076162</v>
      </c>
      <c r="K556">
        <v>1.7264615781539796</v>
      </c>
      <c r="L556">
        <v>0</v>
      </c>
      <c r="M556">
        <v>1.4242634001152769E-3</v>
      </c>
      <c r="N556">
        <v>0.13582983078277083</v>
      </c>
      <c r="O556">
        <v>1.7346445913349676E-2</v>
      </c>
      <c r="P556">
        <v>1.9517008642424605E-2</v>
      </c>
      <c r="Q556">
        <v>2.0678616197548601E-3</v>
      </c>
      <c r="R556">
        <v>1.4156427508956134E-3</v>
      </c>
      <c r="S556">
        <v>0.15173092927921064</v>
      </c>
      <c r="T556">
        <v>1.0729310711266562</v>
      </c>
      <c r="U556">
        <v>2.2816175025310619E-2</v>
      </c>
      <c r="V556">
        <v>0.20267795516046849</v>
      </c>
      <c r="W556">
        <v>8.2182268965727168E-2</v>
      </c>
      <c r="X556">
        <v>1.5517739386094577E-2</v>
      </c>
      <c r="Y556">
        <v>3.8529129014304463E-3</v>
      </c>
    </row>
    <row r="557" spans="1:25" x14ac:dyDescent="0.25">
      <c r="A557" s="827"/>
      <c r="B557" s="1066">
        <v>307</v>
      </c>
      <c r="C557" s="831">
        <v>1.00481089593272</v>
      </c>
      <c r="D557" s="831">
        <v>1.0250602860837275</v>
      </c>
      <c r="E557" s="831">
        <v>0.9868515458446756</v>
      </c>
      <c r="F557" s="831">
        <v>1.0088139908669831</v>
      </c>
      <c r="G557" s="831">
        <v>1.0112485749575333</v>
      </c>
      <c r="H557" s="831">
        <v>1.0329474858251768</v>
      </c>
      <c r="I557" s="831">
        <v>0.99432093954061729</v>
      </c>
      <c r="K557">
        <v>1.7346211788129455</v>
      </c>
      <c r="L557">
        <v>0</v>
      </c>
      <c r="M557">
        <v>1.4480061131500854E-3</v>
      </c>
      <c r="N557">
        <v>0.14003993468073389</v>
      </c>
      <c r="O557">
        <v>1.7553159522382834E-2</v>
      </c>
      <c r="P557">
        <v>1.9595576581444799E-2</v>
      </c>
      <c r="Q557">
        <v>2.104004091845212E-3</v>
      </c>
      <c r="R557">
        <v>1.4393559781026677E-3</v>
      </c>
      <c r="S557">
        <v>0.15191393813217705</v>
      </c>
      <c r="T557">
        <v>1.0725321032424944</v>
      </c>
      <c r="U557">
        <v>2.321086285261062E-2</v>
      </c>
      <c r="V557">
        <v>0.20342269074241268</v>
      </c>
      <c r="W557">
        <v>8.4468178559317611E-2</v>
      </c>
      <c r="X557">
        <v>1.5871928053749183E-2</v>
      </c>
      <c r="Y557">
        <v>3.9174524888247993E-3</v>
      </c>
    </row>
    <row r="558" spans="1:25" x14ac:dyDescent="0.25">
      <c r="A558" s="827"/>
      <c r="B558" s="1066">
        <v>308</v>
      </c>
      <c r="C558" s="831">
        <v>1.013193674682253</v>
      </c>
      <c r="D558" s="831">
        <v>1.0017776211555551</v>
      </c>
      <c r="E558" s="831">
        <v>1.0321821716265853</v>
      </c>
      <c r="F558" s="831">
        <v>1.0189159071118008</v>
      </c>
      <c r="G558" s="831">
        <v>0.96623942495140569</v>
      </c>
      <c r="H558" s="831">
        <v>1.0139621409039323</v>
      </c>
      <c r="I558" s="831">
        <v>1.01221427165638</v>
      </c>
      <c r="K558">
        <v>1.7391359988544135</v>
      </c>
      <c r="L558">
        <v>0</v>
      </c>
      <c r="M558">
        <v>1.2944769399583511E-3</v>
      </c>
      <c r="N558">
        <v>0.14412414624770101</v>
      </c>
      <c r="O558">
        <v>1.7589757207068631E-2</v>
      </c>
      <c r="P558">
        <v>2.024405146174621E-2</v>
      </c>
      <c r="Q558">
        <v>2.2020373997297909E-3</v>
      </c>
      <c r="R558">
        <v>1.2866137975909803E-3</v>
      </c>
      <c r="S558">
        <v>0.15347733774281494</v>
      </c>
      <c r="T558">
        <v>1.0685258679804799</v>
      </c>
      <c r="U558">
        <v>2.3018825009559367E-2</v>
      </c>
      <c r="V558">
        <v>0.20461866538701948</v>
      </c>
      <c r="W558">
        <v>8.4293823897671302E-2</v>
      </c>
      <c r="X558">
        <v>1.7547611038070555E-2</v>
      </c>
      <c r="Y558">
        <v>3.5017386249182607E-3</v>
      </c>
    </row>
    <row r="559" spans="1:25" x14ac:dyDescent="0.25">
      <c r="A559" s="827"/>
      <c r="B559" s="1066">
        <v>309</v>
      </c>
      <c r="C559" s="831">
        <v>1.0264296460891325</v>
      </c>
      <c r="D559" s="831">
        <v>1.0166033426785015</v>
      </c>
      <c r="E559" s="831">
        <v>0.99140557988422517</v>
      </c>
      <c r="F559" s="831">
        <v>1.0027434252416094</v>
      </c>
      <c r="G559" s="831">
        <v>1.0288251247002553</v>
      </c>
      <c r="H559" s="831">
        <v>0.98226513640719737</v>
      </c>
      <c r="I559" s="831">
        <v>1.0189439262640967</v>
      </c>
      <c r="K559">
        <v>1.7146939355845023</v>
      </c>
      <c r="L559">
        <v>0</v>
      </c>
      <c r="M559">
        <v>1.3401146755147525E-3</v>
      </c>
      <c r="N559">
        <v>0.13141613767045174</v>
      </c>
      <c r="O559">
        <v>1.7247899684590048E-2</v>
      </c>
      <c r="P559">
        <v>1.9595777474110246E-2</v>
      </c>
      <c r="Q559">
        <v>2.0755626134579637E-3</v>
      </c>
      <c r="R559">
        <v>1.3317016141310637E-3</v>
      </c>
      <c r="S559">
        <v>0.14933650890805852</v>
      </c>
      <c r="T559">
        <v>1.0721261197661869</v>
      </c>
      <c r="U559">
        <v>2.2721993647753558E-2</v>
      </c>
      <c r="V559">
        <v>0.20194128180712362</v>
      </c>
      <c r="W559">
        <v>7.9018051163946515E-2</v>
      </c>
      <c r="X559">
        <v>1.5598563111859729E-2</v>
      </c>
      <c r="Y559">
        <v>3.6244527983456394E-3</v>
      </c>
    </row>
    <row r="560" spans="1:25" x14ac:dyDescent="0.25">
      <c r="A560" s="827"/>
      <c r="B560" s="1066">
        <v>310</v>
      </c>
      <c r="C560" s="831">
        <v>1.0394083168968486</v>
      </c>
      <c r="D560" s="831">
        <v>1.0236922455052513</v>
      </c>
      <c r="E560" s="831">
        <v>1.0106462734428827</v>
      </c>
      <c r="F560" s="831">
        <v>1.0365271334060193</v>
      </c>
      <c r="G560" s="831">
        <v>1.0414935933915794</v>
      </c>
      <c r="H560" s="831">
        <v>0.98681694122779429</v>
      </c>
      <c r="I560" s="831">
        <v>1.009310120973171</v>
      </c>
      <c r="K560">
        <v>1.7084490985162697</v>
      </c>
      <c r="L560">
        <v>0</v>
      </c>
      <c r="M560">
        <v>1.2727126873194397E-3</v>
      </c>
      <c r="N560">
        <v>0.13250830639065883</v>
      </c>
      <c r="O560">
        <v>1.6979129591680121E-2</v>
      </c>
      <c r="P560">
        <v>1.9779217180230211E-2</v>
      </c>
      <c r="Q560">
        <v>2.0842725743015307E-3</v>
      </c>
      <c r="R560">
        <v>1.2647551650312619E-3</v>
      </c>
      <c r="S560">
        <v>0.14597194891111517</v>
      </c>
      <c r="T560">
        <v>1.0704194816778922</v>
      </c>
      <c r="U560">
        <v>2.2438273312967633E-2</v>
      </c>
      <c r="V560">
        <v>0.20004575059944063</v>
      </c>
      <c r="W560">
        <v>7.8633416952248097E-2</v>
      </c>
      <c r="X560">
        <v>1.6155012215236398E-2</v>
      </c>
      <c r="Y560">
        <v>3.4422466327869937E-3</v>
      </c>
    </row>
    <row r="561" spans="1:25" x14ac:dyDescent="0.25">
      <c r="A561" s="827"/>
      <c r="B561" s="1066">
        <v>311</v>
      </c>
      <c r="C561" s="831">
        <v>0.95950551904464598</v>
      </c>
      <c r="D561" s="831">
        <v>1.0111567762699998</v>
      </c>
      <c r="E561" s="831">
        <v>0.98495425574962758</v>
      </c>
      <c r="F561" s="831">
        <v>1.0091258190303589</v>
      </c>
      <c r="G561" s="831">
        <v>1.0310888061986496</v>
      </c>
      <c r="H561" s="831">
        <v>1.0086442038793924</v>
      </c>
      <c r="I561" s="831">
        <v>0.96693010669031387</v>
      </c>
      <c r="K561">
        <v>1.751773254819216</v>
      </c>
      <c r="L561">
        <v>0</v>
      </c>
      <c r="M561">
        <v>1.4958095819334492E-3</v>
      </c>
      <c r="N561">
        <v>0.14379099400126025</v>
      </c>
      <c r="O561">
        <v>1.8495794854742561E-2</v>
      </c>
      <c r="P561">
        <v>1.9694687185442372E-2</v>
      </c>
      <c r="Q561">
        <v>2.2102834486455833E-3</v>
      </c>
      <c r="R561">
        <v>1.4866686503077406E-3</v>
      </c>
      <c r="S561">
        <v>0.15383410545718831</v>
      </c>
      <c r="T561">
        <v>1.0727014734246014</v>
      </c>
      <c r="U561">
        <v>2.4306819956100727E-2</v>
      </c>
      <c r="V561">
        <v>0.20966264677628707</v>
      </c>
      <c r="W561">
        <v>8.6844497477275642E-2</v>
      </c>
      <c r="X561">
        <v>1.6194871183347944E-2</v>
      </c>
      <c r="Y561">
        <v>4.046221985948807E-3</v>
      </c>
    </row>
    <row r="562" spans="1:25" x14ac:dyDescent="0.25">
      <c r="A562" s="827"/>
      <c r="B562" s="1066">
        <v>312</v>
      </c>
      <c r="C562" s="831">
        <v>0.99802306229444626</v>
      </c>
      <c r="D562" s="831">
        <v>1.0047327314965175</v>
      </c>
      <c r="E562" s="831">
        <v>1.0214000111293677</v>
      </c>
      <c r="F562" s="831">
        <v>1.0041254798743802</v>
      </c>
      <c r="G562" s="831">
        <v>1.0153262997247687</v>
      </c>
      <c r="H562" s="831">
        <v>1.0394240393818774</v>
      </c>
      <c r="I562" s="831">
        <v>0.99150222874661298</v>
      </c>
      <c r="K562">
        <v>1.7499190102914581</v>
      </c>
      <c r="L562">
        <v>0</v>
      </c>
      <c r="M562">
        <v>1.3763855983676453E-3</v>
      </c>
      <c r="N562">
        <v>0.14822027120823811</v>
      </c>
      <c r="O562">
        <v>1.783333284854955E-2</v>
      </c>
      <c r="P562">
        <v>2.0132832708243776E-2</v>
      </c>
      <c r="Q562">
        <v>2.2093482266545518E-3</v>
      </c>
      <c r="R562">
        <v>1.3682277625836937E-3</v>
      </c>
      <c r="S562">
        <v>0.15424753870291982</v>
      </c>
      <c r="T562">
        <v>1.0694717277697503</v>
      </c>
      <c r="U562">
        <v>2.3368726414683145E-2</v>
      </c>
      <c r="V562">
        <v>0.20595939471855845</v>
      </c>
      <c r="W562">
        <v>8.7319554243931341E-2</v>
      </c>
      <c r="X562">
        <v>1.7440576352119774E-2</v>
      </c>
      <c r="Y562">
        <v>3.7238649335920981E-3</v>
      </c>
    </row>
    <row r="563" spans="1:25" x14ac:dyDescent="0.25">
      <c r="A563" s="827"/>
      <c r="B563" s="1066">
        <v>313</v>
      </c>
      <c r="C563" s="831">
        <v>1.0086512200721043</v>
      </c>
      <c r="D563" s="831">
        <v>1.0022714147879639</v>
      </c>
      <c r="E563" s="831">
        <v>1.0256715548754998</v>
      </c>
      <c r="F563" s="831">
        <v>1.0056874284716233</v>
      </c>
      <c r="G563" s="831">
        <v>1.0005852958456878</v>
      </c>
      <c r="H563" s="831">
        <v>0.99792450555255552</v>
      </c>
      <c r="I563" s="831">
        <v>0.98493218122102244</v>
      </c>
      <c r="K563">
        <v>1.7314610918262121</v>
      </c>
      <c r="L563">
        <v>0</v>
      </c>
      <c r="M563">
        <v>1.2971960974076885E-3</v>
      </c>
      <c r="N563">
        <v>0.141523109268446</v>
      </c>
      <c r="O563">
        <v>1.766502989646853E-2</v>
      </c>
      <c r="P563">
        <v>2.0099531317018558E-2</v>
      </c>
      <c r="Q563">
        <v>2.1973515246075134E-3</v>
      </c>
      <c r="R563">
        <v>1.2891894828265362E-3</v>
      </c>
      <c r="S563">
        <v>0.14885947419725765</v>
      </c>
      <c r="T563">
        <v>1.0690964813878041</v>
      </c>
      <c r="U563">
        <v>2.3122490147422729E-2</v>
      </c>
      <c r="V563">
        <v>0.20504841059203585</v>
      </c>
      <c r="W563">
        <v>8.3134741154256855E-2</v>
      </c>
      <c r="X563">
        <v>1.721373016442115E-2</v>
      </c>
      <c r="Y563">
        <v>3.508748791055033E-3</v>
      </c>
    </row>
    <row r="564" spans="1:25" x14ac:dyDescent="0.25">
      <c r="A564" s="827"/>
      <c r="B564" s="1066">
        <v>314</v>
      </c>
      <c r="C564" s="831">
        <v>1.0272753509766683</v>
      </c>
      <c r="D564" s="831">
        <v>1.0228709761353938</v>
      </c>
      <c r="E564" s="831">
        <v>1.0301901458042475</v>
      </c>
      <c r="F564" s="831">
        <v>1.021582227338395</v>
      </c>
      <c r="G564" s="831">
        <v>1.0355116801546804</v>
      </c>
      <c r="H564" s="831">
        <v>1.0187427573697523</v>
      </c>
      <c r="I564" s="831">
        <v>1.0078086306455947</v>
      </c>
      <c r="K564">
        <v>1.7264913763654302</v>
      </c>
      <c r="L564">
        <v>0</v>
      </c>
      <c r="M564">
        <v>1.2760994545878458E-3</v>
      </c>
      <c r="N564">
        <v>0.141204861463022</v>
      </c>
      <c r="O564">
        <v>1.7185896867371181E-2</v>
      </c>
      <c r="P564">
        <v>2.0114713614514532E-2</v>
      </c>
      <c r="Q564">
        <v>2.1508953373497149E-3</v>
      </c>
      <c r="R564">
        <v>1.2683712960008672E-3</v>
      </c>
      <c r="S564">
        <v>0.14975082956271071</v>
      </c>
      <c r="T564">
        <v>1.0687002854120962</v>
      </c>
      <c r="U564">
        <v>2.2703287756422479E-2</v>
      </c>
      <c r="V564">
        <v>0.20131405550481127</v>
      </c>
      <c r="W564">
        <v>8.2696649746790557E-2</v>
      </c>
      <c r="X564">
        <v>1.7225540709698051E-2</v>
      </c>
      <c r="Y564">
        <v>3.4520885492290054E-3</v>
      </c>
    </row>
    <row r="565" spans="1:25" x14ac:dyDescent="0.25">
      <c r="A565" s="827"/>
      <c r="B565" s="1066">
        <v>315</v>
      </c>
      <c r="C565" s="831">
        <v>0.97432954057115606</v>
      </c>
      <c r="D565" s="831">
        <v>0.99839165394986662</v>
      </c>
      <c r="E565" s="831">
        <v>1.0417142406649675</v>
      </c>
      <c r="F565" s="831">
        <v>0.96131405579808582</v>
      </c>
      <c r="G565" s="831">
        <v>0.96854850114626734</v>
      </c>
      <c r="H565" s="831">
        <v>0.98155433828247762</v>
      </c>
      <c r="I565" s="831">
        <v>1.0008697855093269</v>
      </c>
      <c r="K565">
        <v>1.7510529457335497</v>
      </c>
      <c r="L565">
        <v>0</v>
      </c>
      <c r="M565">
        <v>1.2790048232333168E-3</v>
      </c>
      <c r="N565">
        <v>0.14664650544426253</v>
      </c>
      <c r="O565">
        <v>1.8319451663561193E-2</v>
      </c>
      <c r="P565">
        <v>2.0479570132309933E-2</v>
      </c>
      <c r="Q565">
        <v>2.3143772758584787E-3</v>
      </c>
      <c r="R565">
        <v>1.2709813647005916E-3</v>
      </c>
      <c r="S565">
        <v>0.15564106805197717</v>
      </c>
      <c r="T565">
        <v>1.0676933459814661</v>
      </c>
      <c r="U565">
        <v>2.3937001730062898E-2</v>
      </c>
      <c r="V565">
        <v>0.20916724757783209</v>
      </c>
      <c r="W565">
        <v>8.5225572090933677E-2</v>
      </c>
      <c r="X565">
        <v>1.8177636947997955E-2</v>
      </c>
      <c r="Y565">
        <v>3.4591922958207401E-3</v>
      </c>
    </row>
    <row r="566" spans="1:25" x14ac:dyDescent="0.25">
      <c r="A566" s="827"/>
      <c r="B566" s="1066">
        <v>316</v>
      </c>
      <c r="C566" s="831">
        <v>1.0305389732982115</v>
      </c>
      <c r="D566" s="831">
        <v>0.98797915140345194</v>
      </c>
      <c r="E566" s="831">
        <v>1.0062206267700895</v>
      </c>
      <c r="F566" s="831">
        <v>1.0092791196056945</v>
      </c>
      <c r="G566" s="831">
        <v>0.99960318568987194</v>
      </c>
      <c r="H566" s="831">
        <v>1.004908333000575</v>
      </c>
      <c r="I566" s="831">
        <v>0.99935603287019703</v>
      </c>
      <c r="K566">
        <v>1.7257237598249329</v>
      </c>
      <c r="L566">
        <v>0</v>
      </c>
      <c r="M566">
        <v>1.3408122551230432E-3</v>
      </c>
      <c r="N566">
        <v>0.13770879864188443</v>
      </c>
      <c r="O566">
        <v>1.7402755132894618E-2</v>
      </c>
      <c r="P566">
        <v>1.9822113519054437E-2</v>
      </c>
      <c r="Q566">
        <v>2.1206731275541842E-3</v>
      </c>
      <c r="R566">
        <v>1.3326035810747947E-3</v>
      </c>
      <c r="S566">
        <v>0.14920489575265772</v>
      </c>
      <c r="T566">
        <v>1.0708107958893609</v>
      </c>
      <c r="U566">
        <v>2.2631388528334916E-2</v>
      </c>
      <c r="V566">
        <v>0.20407837689429792</v>
      </c>
      <c r="W566">
        <v>8.1965889595376581E-2</v>
      </c>
      <c r="X566">
        <v>1.6359373762532423E-2</v>
      </c>
      <c r="Y566">
        <v>3.6269076550331518E-3</v>
      </c>
    </row>
    <row r="567" spans="1:25" x14ac:dyDescent="0.25">
      <c r="A567" s="827"/>
      <c r="B567" s="1066">
        <v>317</v>
      </c>
      <c r="C567" s="831">
        <v>0.97492932793534925</v>
      </c>
      <c r="D567" s="831">
        <v>1.0248294559347586</v>
      </c>
      <c r="E567" s="831">
        <v>0.99162167348317654</v>
      </c>
      <c r="F567" s="831">
        <v>0.96134114299356199</v>
      </c>
      <c r="G567" s="831">
        <v>1.0060916762020837</v>
      </c>
      <c r="H567" s="831">
        <v>1.0323197572316327</v>
      </c>
      <c r="I567" s="831">
        <v>0.98460934295716773</v>
      </c>
      <c r="K567">
        <v>1.7501875984786948</v>
      </c>
      <c r="L567">
        <v>0</v>
      </c>
      <c r="M567">
        <v>1.4767477051770017E-3</v>
      </c>
      <c r="N567">
        <v>0.14495610615614268</v>
      </c>
      <c r="O567">
        <v>1.8093003875086517E-2</v>
      </c>
      <c r="P567">
        <v>1.9755968947455054E-2</v>
      </c>
      <c r="Q567">
        <v>2.1791587734201574E-3</v>
      </c>
      <c r="R567">
        <v>1.4679206683917694E-3</v>
      </c>
      <c r="S567">
        <v>0.15501033381250381</v>
      </c>
      <c r="T567">
        <v>1.0721068748437543</v>
      </c>
      <c r="U567">
        <v>2.3922275420408475E-2</v>
      </c>
      <c r="V567">
        <v>0.20666280129620707</v>
      </c>
      <c r="W567">
        <v>8.7146416365401339E-2</v>
      </c>
      <c r="X567">
        <v>1.63682898656567E-2</v>
      </c>
      <c r="Y567">
        <v>3.9951961594441128E-3</v>
      </c>
    </row>
    <row r="568" spans="1:25" x14ac:dyDescent="0.25">
      <c r="A568" s="827"/>
      <c r="B568" s="1066">
        <v>318</v>
      </c>
      <c r="C568" s="831">
        <v>0.97714409827792503</v>
      </c>
      <c r="D568" s="831">
        <v>1.0281004801289964</v>
      </c>
      <c r="E568" s="831">
        <v>1.0114712365201555</v>
      </c>
      <c r="F568" s="831">
        <v>1.0048164308434615</v>
      </c>
      <c r="G568" s="831">
        <v>1.0046823291282361</v>
      </c>
      <c r="H568" s="831">
        <v>1.0215941037723633</v>
      </c>
      <c r="I568" s="831">
        <v>1.0086897654335751</v>
      </c>
      <c r="K568">
        <v>1.7511655013066976</v>
      </c>
      <c r="L568">
        <v>0</v>
      </c>
      <c r="M568">
        <v>1.3963751295639289E-3</v>
      </c>
      <c r="N568">
        <v>0.14578762444996085</v>
      </c>
      <c r="O568">
        <v>1.8026035875131331E-2</v>
      </c>
      <c r="P568">
        <v>2.0051589967943696E-2</v>
      </c>
      <c r="Q568">
        <v>2.2153796693005681E-3</v>
      </c>
      <c r="R568">
        <v>1.3879387174105997E-3</v>
      </c>
      <c r="S568">
        <v>0.15744741527771244</v>
      </c>
      <c r="T568">
        <v>1.0703466206104759</v>
      </c>
      <c r="U568">
        <v>2.3868053790025209E-2</v>
      </c>
      <c r="V568">
        <v>0.20612515364740192</v>
      </c>
      <c r="W568">
        <v>8.6465217685951057E-2</v>
      </c>
      <c r="X568">
        <v>1.7063335090030541E-2</v>
      </c>
      <c r="Y568">
        <v>3.7775116549164231E-3</v>
      </c>
    </row>
    <row r="569" spans="1:25" x14ac:dyDescent="0.25">
      <c r="A569" s="827"/>
      <c r="B569" s="1066">
        <v>319</v>
      </c>
      <c r="C569" s="831">
        <v>1.0192607565395562</v>
      </c>
      <c r="D569" s="831">
        <v>0.9823273843076038</v>
      </c>
      <c r="E569" s="831">
        <v>0.99075419264410935</v>
      </c>
      <c r="F569" s="831">
        <v>1.0034098046600481</v>
      </c>
      <c r="G569" s="831">
        <v>0.98922976012603825</v>
      </c>
      <c r="H569" s="831">
        <v>0.99696241417551323</v>
      </c>
      <c r="I569" s="831">
        <v>0.99361882219800435</v>
      </c>
      <c r="K569">
        <v>1.7280294561839395</v>
      </c>
      <c r="L569">
        <v>0</v>
      </c>
      <c r="M569">
        <v>1.3930634742778999E-3</v>
      </c>
      <c r="N569">
        <v>0.13634679542920689</v>
      </c>
      <c r="O569">
        <v>1.7641182693748529E-2</v>
      </c>
      <c r="P569">
        <v>1.9647186709367669E-2</v>
      </c>
      <c r="Q569">
        <v>2.1155344081129185E-3</v>
      </c>
      <c r="R569">
        <v>1.3844709848212799E-3</v>
      </c>
      <c r="S569">
        <v>0.14978761182541536</v>
      </c>
      <c r="T569">
        <v>1.0721841418319227</v>
      </c>
      <c r="U569">
        <v>2.2881806984784123E-2</v>
      </c>
      <c r="V569">
        <v>0.20577369706850407</v>
      </c>
      <c r="W569">
        <v>8.2019539936672589E-2</v>
      </c>
      <c r="X569">
        <v>1.5872478155714291E-2</v>
      </c>
      <c r="Y569">
        <v>3.7680736299460357E-3</v>
      </c>
    </row>
    <row r="570" spans="1:25" x14ac:dyDescent="0.25">
      <c r="A570" s="827"/>
      <c r="B570" s="1066">
        <v>320</v>
      </c>
      <c r="C570" s="831">
        <v>0.99425749107774708</v>
      </c>
      <c r="D570" s="831">
        <v>1.0113215590604603</v>
      </c>
      <c r="E570" s="831">
        <v>0.97186192756280032</v>
      </c>
      <c r="F570" s="831">
        <v>0.99837940306270556</v>
      </c>
      <c r="G570" s="831">
        <v>0.9987413581204917</v>
      </c>
      <c r="H570" s="831">
        <v>1.013518296772812</v>
      </c>
      <c r="I570" s="831">
        <v>0.99788537920832265</v>
      </c>
      <c r="K570">
        <v>1.7368825824569474</v>
      </c>
      <c r="L570">
        <v>0</v>
      </c>
      <c r="M570">
        <v>1.4908025134967456E-3</v>
      </c>
      <c r="N570">
        <v>0.13758478552253986</v>
      </c>
      <c r="O570">
        <v>1.7848001404747439E-2</v>
      </c>
      <c r="P570">
        <v>1.9447842343729982E-2</v>
      </c>
      <c r="Q570">
        <v>2.1046797639510039E-3</v>
      </c>
      <c r="R570">
        <v>1.4817358728929783E-3</v>
      </c>
      <c r="S570">
        <v>0.15354892863457387</v>
      </c>
      <c r="T570">
        <v>1.0738739072924244</v>
      </c>
      <c r="U570">
        <v>2.3457231258094114E-2</v>
      </c>
      <c r="V570">
        <v>0.20576487973348404</v>
      </c>
      <c r="W570">
        <v>8.3855368712180245E-2</v>
      </c>
      <c r="X570">
        <v>1.5373227839911218E-2</v>
      </c>
      <c r="Y570">
        <v>4.0327965919154628E-3</v>
      </c>
    </row>
    <row r="571" spans="1:25" x14ac:dyDescent="0.25">
      <c r="A571" s="827"/>
      <c r="B571" s="1066">
        <v>321</v>
      </c>
      <c r="C571" s="831">
        <v>0.9988950540793774</v>
      </c>
      <c r="D571" s="831">
        <v>1.0129605219867575</v>
      </c>
      <c r="E571" s="831">
        <v>1.0068928168044666</v>
      </c>
      <c r="F571" s="831">
        <v>0.97545234673211034</v>
      </c>
      <c r="G571" s="831">
        <v>0.97881235120301713</v>
      </c>
      <c r="H571" s="831">
        <v>0.97685011950880785</v>
      </c>
      <c r="I571" s="831">
        <v>1.0167656313359885</v>
      </c>
      <c r="K571">
        <v>1.7299289147410821</v>
      </c>
      <c r="L571">
        <v>0</v>
      </c>
      <c r="M571">
        <v>1.3276757463068424E-3</v>
      </c>
      <c r="N571">
        <v>0.13661898997139746</v>
      </c>
      <c r="O571">
        <v>1.7752131359137814E-2</v>
      </c>
      <c r="P571">
        <v>1.9906837819139479E-2</v>
      </c>
      <c r="Q571">
        <v>2.1691390576751607E-3</v>
      </c>
      <c r="R571">
        <v>1.3192970028884107E-3</v>
      </c>
      <c r="S571">
        <v>0.15295935105810038</v>
      </c>
      <c r="T571">
        <v>1.0707513133812596</v>
      </c>
      <c r="U571">
        <v>2.3348326536463033E-2</v>
      </c>
      <c r="V571">
        <v>0.20512175486885814</v>
      </c>
      <c r="W571">
        <v>8.1280000879290451E-2</v>
      </c>
      <c r="X571">
        <v>1.6438757017455112E-2</v>
      </c>
      <c r="Y571">
        <v>3.5906915357221355E-3</v>
      </c>
    </row>
    <row r="572" spans="1:25" x14ac:dyDescent="0.25">
      <c r="A572" s="827"/>
      <c r="B572" s="1066">
        <v>322</v>
      </c>
      <c r="C572" s="831">
        <v>0.98194775466075812</v>
      </c>
      <c r="D572" s="831">
        <v>1.013816476401727</v>
      </c>
      <c r="E572" s="831">
        <v>1.0206519293020029</v>
      </c>
      <c r="F572" s="831">
        <v>1.0394582456971297</v>
      </c>
      <c r="G572" s="831">
        <v>0.9996027719598588</v>
      </c>
      <c r="H572" s="831">
        <v>0.98466106839317347</v>
      </c>
      <c r="I572" s="831">
        <v>1.0042291795481599</v>
      </c>
      <c r="K572">
        <v>1.7412167313113531</v>
      </c>
      <c r="L572">
        <v>0</v>
      </c>
      <c r="M572">
        <v>1.3219226747643424E-3</v>
      </c>
      <c r="N572">
        <v>0.14197710390539722</v>
      </c>
      <c r="O572">
        <v>1.8051615941801193E-2</v>
      </c>
      <c r="P572">
        <v>2.0140091627116365E-2</v>
      </c>
      <c r="Q572">
        <v>2.2363706581609889E-3</v>
      </c>
      <c r="R572">
        <v>1.313645849971386E-3</v>
      </c>
      <c r="S572">
        <v>0.15419691397941798</v>
      </c>
      <c r="T572">
        <v>1.0695375163828658</v>
      </c>
      <c r="U572">
        <v>2.3751292049504817E-2</v>
      </c>
      <c r="V572">
        <v>0.20688138107496079</v>
      </c>
      <c r="W572">
        <v>8.3683780292968066E-2</v>
      </c>
      <c r="X572">
        <v>1.7193631263566832E-2</v>
      </c>
      <c r="Y572">
        <v>3.5753109603840522E-3</v>
      </c>
    </row>
    <row r="573" spans="1:25" x14ac:dyDescent="0.25">
      <c r="A573" s="827"/>
      <c r="B573" s="1066">
        <v>323</v>
      </c>
      <c r="C573" s="831">
        <v>1.0053834331462561</v>
      </c>
      <c r="D573" s="831">
        <v>1.0289625888604261</v>
      </c>
      <c r="E573" s="831">
        <v>0.98651137387598853</v>
      </c>
      <c r="F573" s="831">
        <v>0.98682424687403936</v>
      </c>
      <c r="G573" s="831">
        <v>0.99074973244306275</v>
      </c>
      <c r="H573" s="831">
        <v>0.99639941295182799</v>
      </c>
      <c r="I573" s="831">
        <v>0.99115694643870178</v>
      </c>
      <c r="K573">
        <v>1.7218533656237416</v>
      </c>
      <c r="L573">
        <v>0</v>
      </c>
      <c r="M573">
        <v>1.3945830590130863E-3</v>
      </c>
      <c r="N573">
        <v>0.13470051142637743</v>
      </c>
      <c r="O573">
        <v>1.7513089767240812E-2</v>
      </c>
      <c r="P573">
        <v>1.9539996816705006E-2</v>
      </c>
      <c r="Q573">
        <v>2.099122662455048E-3</v>
      </c>
      <c r="R573">
        <v>1.3859438456810739E-3</v>
      </c>
      <c r="S573">
        <v>0.1485527714902693</v>
      </c>
      <c r="T573">
        <v>1.0725624602661061</v>
      </c>
      <c r="U573">
        <v>2.3197644927684394E-2</v>
      </c>
      <c r="V573">
        <v>0.20302557000037752</v>
      </c>
      <c r="W573">
        <v>8.1266677947818208E-2</v>
      </c>
      <c r="X573">
        <v>1.5632077260362576E-2</v>
      </c>
      <c r="Y573">
        <v>3.7720822716779414E-3</v>
      </c>
    </row>
    <row r="574" spans="1:25" x14ac:dyDescent="0.25">
      <c r="A574" s="827"/>
      <c r="B574" s="1066">
        <v>324</v>
      </c>
      <c r="C574" s="831">
        <v>1.0180149920567005</v>
      </c>
      <c r="D574" s="831">
        <v>0.96635637924860285</v>
      </c>
      <c r="E574" s="831">
        <v>0.98970049221405587</v>
      </c>
      <c r="F574" s="831">
        <v>0.99799417648847233</v>
      </c>
      <c r="G574" s="831">
        <v>1.0090684089284667</v>
      </c>
      <c r="H574" s="831">
        <v>0.98443768639432272</v>
      </c>
      <c r="I574" s="831">
        <v>0.98635410437887205</v>
      </c>
      <c r="K574">
        <v>1.7280989025150804</v>
      </c>
      <c r="L574">
        <v>0</v>
      </c>
      <c r="M574">
        <v>1.3906077827868181E-3</v>
      </c>
      <c r="N574">
        <v>0.13565111221189891</v>
      </c>
      <c r="O574">
        <v>1.7794811681118759E-2</v>
      </c>
      <c r="P574">
        <v>1.9645027869474151E-2</v>
      </c>
      <c r="Q574">
        <v>2.1287841816932723E-3</v>
      </c>
      <c r="R574">
        <v>1.3819330665848326E-3</v>
      </c>
      <c r="S574">
        <v>0.14900923753873282</v>
      </c>
      <c r="T574">
        <v>1.072278033627132</v>
      </c>
      <c r="U574">
        <v>2.2909807891124057E-2</v>
      </c>
      <c r="V574">
        <v>0.20742129722418298</v>
      </c>
      <c r="W574">
        <v>8.1660309084746932E-2</v>
      </c>
      <c r="X574">
        <v>1.5847989668045879E-2</v>
      </c>
      <c r="Y574">
        <v>3.761166253130947E-3</v>
      </c>
    </row>
    <row r="575" spans="1:25" x14ac:dyDescent="0.25">
      <c r="A575" s="827"/>
      <c r="B575" s="1066">
        <v>325</v>
      </c>
      <c r="C575" s="831">
        <v>1.0029016271816629</v>
      </c>
      <c r="D575" s="831">
        <v>1.0100524552344194</v>
      </c>
      <c r="E575" s="831">
        <v>1.0153990476132304</v>
      </c>
      <c r="F575" s="831">
        <v>1.0301096194054238</v>
      </c>
      <c r="G575" s="831">
        <v>1.0122737352000561</v>
      </c>
      <c r="H575" s="831">
        <v>1.0152007851433877</v>
      </c>
      <c r="I575" s="831">
        <v>0.98403026057480691</v>
      </c>
      <c r="K575">
        <v>1.7363230555960074</v>
      </c>
      <c r="L575">
        <v>0</v>
      </c>
      <c r="M575">
        <v>1.3516015172661739E-3</v>
      </c>
      <c r="N575">
        <v>0.1428420690319149</v>
      </c>
      <c r="O575">
        <v>1.7704221600316691E-2</v>
      </c>
      <c r="P575">
        <v>1.9981814547245604E-2</v>
      </c>
      <c r="Q575">
        <v>2.1812354344589412E-3</v>
      </c>
      <c r="R575">
        <v>1.3433959156709909E-3</v>
      </c>
      <c r="S575">
        <v>0.15030809404281906</v>
      </c>
      <c r="T575">
        <v>1.0700000679118604</v>
      </c>
      <c r="U575">
        <v>2.3255050411917035E-2</v>
      </c>
      <c r="V575">
        <v>0.20495593453807867</v>
      </c>
      <c r="W575">
        <v>8.4492973311069253E-2</v>
      </c>
      <c r="X575">
        <v>1.6953519535808943E-2</v>
      </c>
      <c r="Y575">
        <v>3.6562808321118534E-3</v>
      </c>
    </row>
    <row r="576" spans="1:25" x14ac:dyDescent="0.25">
      <c r="A576" s="827"/>
      <c r="B576" s="1066">
        <v>326</v>
      </c>
      <c r="C576" s="831">
        <v>1.0227529371466328</v>
      </c>
      <c r="D576" s="831">
        <v>0.99466239832346759</v>
      </c>
      <c r="E576" s="831">
        <v>1.0233979674349942</v>
      </c>
      <c r="F576" s="831">
        <v>1.0206264800701546</v>
      </c>
      <c r="G576" s="831">
        <v>0.96324775959641551</v>
      </c>
      <c r="H576" s="831">
        <v>1.0133738666961052</v>
      </c>
      <c r="I576" s="831">
        <v>0.96862059919920485</v>
      </c>
      <c r="K576">
        <v>1.7279571447992688</v>
      </c>
      <c r="L576">
        <v>0</v>
      </c>
      <c r="M576">
        <v>1.3098840733793749E-3</v>
      </c>
      <c r="N576">
        <v>0.14191588157192511</v>
      </c>
      <c r="O576">
        <v>1.7481716952730188E-2</v>
      </c>
      <c r="P576">
        <v>2.0012395456122926E-2</v>
      </c>
      <c r="Q576">
        <v>2.168295888484236E-3</v>
      </c>
      <c r="R576">
        <v>1.3019273494730742E-3</v>
      </c>
      <c r="S576">
        <v>0.14588616263673418</v>
      </c>
      <c r="T576">
        <v>1.0692961253065867</v>
      </c>
      <c r="U576">
        <v>2.2803677262829909E-2</v>
      </c>
      <c r="V576">
        <v>0.20426682213253555</v>
      </c>
      <c r="W576">
        <v>8.3493059192629102E-2</v>
      </c>
      <c r="X576">
        <v>1.7097548057567035E-2</v>
      </c>
      <c r="Y576">
        <v>3.5434170650302989E-3</v>
      </c>
    </row>
    <row r="577" spans="1:25" x14ac:dyDescent="0.25">
      <c r="A577" s="827"/>
      <c r="B577" s="1066">
        <v>327</v>
      </c>
      <c r="C577" s="831">
        <v>0.97487770323973033</v>
      </c>
      <c r="D577" s="831">
        <v>0.99895751460974613</v>
      </c>
      <c r="E577" s="831">
        <v>1.010982901128743</v>
      </c>
      <c r="F577" s="831">
        <v>1.0159629606906637</v>
      </c>
      <c r="G577" s="831">
        <v>1.0058237936518191</v>
      </c>
      <c r="H577" s="831">
        <v>0.99968467413019202</v>
      </c>
      <c r="I577" s="831">
        <v>1.0045935163264736</v>
      </c>
      <c r="K577">
        <v>1.7529267330463747</v>
      </c>
      <c r="L577">
        <v>0</v>
      </c>
      <c r="M577">
        <v>1.3889428756160274E-3</v>
      </c>
      <c r="N577">
        <v>0.14477450481475806</v>
      </c>
      <c r="O577">
        <v>1.8304451574759014E-2</v>
      </c>
      <c r="P577">
        <v>2.0085820544333475E-2</v>
      </c>
      <c r="Q577">
        <v>2.2432429191061843E-3</v>
      </c>
      <c r="R577">
        <v>1.3803873796906182E-3</v>
      </c>
      <c r="S577">
        <v>0.15743741265335912</v>
      </c>
      <c r="T577">
        <v>1.0703897474777793</v>
      </c>
      <c r="U577">
        <v>2.3923542225652874E-2</v>
      </c>
      <c r="V577">
        <v>0.20905005406713745</v>
      </c>
      <c r="W577">
        <v>8.5892817979500546E-2</v>
      </c>
      <c r="X577">
        <v>1.7076734882972292E-2</v>
      </c>
      <c r="Y577">
        <v>3.7569594029404443E-3</v>
      </c>
    </row>
    <row r="578" spans="1:25" x14ac:dyDescent="0.25">
      <c r="A578" s="827"/>
      <c r="B578" s="1066">
        <v>328</v>
      </c>
      <c r="C578" s="831">
        <v>1.0108233985859936</v>
      </c>
      <c r="D578" s="831">
        <v>0.98532699226020648</v>
      </c>
      <c r="E578" s="831">
        <v>1.0074092353768858</v>
      </c>
      <c r="F578" s="831">
        <v>1.0409585846770626</v>
      </c>
      <c r="G578" s="831">
        <v>0.96243433804628975</v>
      </c>
      <c r="H578" s="831">
        <v>0.99810402941046616</v>
      </c>
      <c r="I578" s="831">
        <v>0.97004157589214202</v>
      </c>
      <c r="K578">
        <v>1.7304190313254459</v>
      </c>
      <c r="L578">
        <v>0</v>
      </c>
      <c r="M578">
        <v>1.3559612163182608E-3</v>
      </c>
      <c r="N578">
        <v>0.13977468018585879</v>
      </c>
      <c r="O578">
        <v>1.77638367940307E-2</v>
      </c>
      <c r="P578">
        <v>1.9850363652661105E-2</v>
      </c>
      <c r="Q578">
        <v>2.1667711595171973E-3</v>
      </c>
      <c r="R578">
        <v>1.3476050483789328E-3</v>
      </c>
      <c r="S578">
        <v>0.14734627694448871</v>
      </c>
      <c r="T578">
        <v>1.0707056267848036</v>
      </c>
      <c r="U578">
        <v>2.3072801768269629E-2</v>
      </c>
      <c r="V578">
        <v>0.20638516932358358</v>
      </c>
      <c r="W578">
        <v>8.3128212155267986E-2</v>
      </c>
      <c r="X578">
        <v>1.6565912021098906E-2</v>
      </c>
      <c r="Y578">
        <v>3.6677367038026481E-3</v>
      </c>
    </row>
    <row r="579" spans="1:25" x14ac:dyDescent="0.25">
      <c r="A579" s="827"/>
      <c r="B579" s="1066">
        <v>329</v>
      </c>
      <c r="C579" s="831">
        <v>0.97343939388246958</v>
      </c>
      <c r="D579" s="831">
        <v>1.0370719679832847</v>
      </c>
      <c r="E579" s="831">
        <v>1.0016154428886301</v>
      </c>
      <c r="F579" s="831">
        <v>1.0066184893817751</v>
      </c>
      <c r="G579" s="831">
        <v>0.99719704459874114</v>
      </c>
      <c r="H579" s="831">
        <v>0.99749098029427086</v>
      </c>
      <c r="I579" s="831">
        <v>0.99640897054338751</v>
      </c>
      <c r="K579">
        <v>1.740138344400604</v>
      </c>
      <c r="L579">
        <v>0</v>
      </c>
      <c r="M579">
        <v>1.3918891262850984E-3</v>
      </c>
      <c r="N579">
        <v>0.14091182233168564</v>
      </c>
      <c r="O579">
        <v>1.8023832981514384E-2</v>
      </c>
      <c r="P579">
        <v>1.9863798336051938E-2</v>
      </c>
      <c r="Q579">
        <v>2.1948872249254519E-3</v>
      </c>
      <c r="R579">
        <v>1.3832706215616726E-3</v>
      </c>
      <c r="S579">
        <v>0.15381964081029864</v>
      </c>
      <c r="T579">
        <v>1.0712187705283529</v>
      </c>
      <c r="U579">
        <v>2.3958890553302466E-2</v>
      </c>
      <c r="V579">
        <v>0.20573883365161111</v>
      </c>
      <c r="W579">
        <v>8.4136346340433529E-2</v>
      </c>
      <c r="X579">
        <v>1.6515333510297513E-2</v>
      </c>
      <c r="Y579">
        <v>3.7648066368530259E-3</v>
      </c>
    </row>
    <row r="580" spans="1:25" x14ac:dyDescent="0.25">
      <c r="A580" s="827"/>
      <c r="B580" s="1066">
        <v>330</v>
      </c>
      <c r="C580" s="831">
        <v>1.0122100400732774</v>
      </c>
      <c r="D580" s="831">
        <v>0.98627334319003801</v>
      </c>
      <c r="E580" s="831">
        <v>1.026953957605468</v>
      </c>
      <c r="F580" s="831">
        <v>1.0216923775170863</v>
      </c>
      <c r="G580" s="831">
        <v>0.99709739900771832</v>
      </c>
      <c r="H580" s="831">
        <v>1.0133929374785788</v>
      </c>
      <c r="I580" s="831">
        <v>0.98158481968073252</v>
      </c>
      <c r="K580">
        <v>1.7383759619596058</v>
      </c>
      <c r="L580">
        <v>0</v>
      </c>
      <c r="M580">
        <v>1.3186896144878274E-3</v>
      </c>
      <c r="N580">
        <v>0.14445690473889328</v>
      </c>
      <c r="O580">
        <v>1.7731776681800978E-2</v>
      </c>
      <c r="P580">
        <v>2.014552541409298E-2</v>
      </c>
      <c r="Q580">
        <v>2.2055382127923323E-3</v>
      </c>
      <c r="R580">
        <v>1.3106851065891008E-3</v>
      </c>
      <c r="S580">
        <v>0.1499069974615744</v>
      </c>
      <c r="T580">
        <v>1.0689839599357378</v>
      </c>
      <c r="U580">
        <v>2.3041193996272521E-2</v>
      </c>
      <c r="V580">
        <v>0.20614797802932908</v>
      </c>
      <c r="W580">
        <v>8.4785058362019397E-2</v>
      </c>
      <c r="X580">
        <v>1.7411780842085597E-2</v>
      </c>
      <c r="Y580">
        <v>3.5672527929062666E-3</v>
      </c>
    </row>
    <row r="581" spans="1:25" x14ac:dyDescent="0.25">
      <c r="A581" s="827"/>
      <c r="B581" s="1066">
        <v>331</v>
      </c>
      <c r="C581" s="831">
        <v>1.0251417345786376</v>
      </c>
      <c r="D581" s="831">
        <v>1.0027017566046634</v>
      </c>
      <c r="E581" s="831">
        <v>1.0082815568136301</v>
      </c>
      <c r="F581" s="831">
        <v>1.0120783438088414</v>
      </c>
      <c r="G581" s="831">
        <v>1.0417792667645018</v>
      </c>
      <c r="H581" s="831">
        <v>0.97427355617102673</v>
      </c>
      <c r="I581" s="831">
        <v>1.0348956106821601</v>
      </c>
      <c r="K581">
        <v>1.7209155314532039</v>
      </c>
      <c r="L581">
        <v>0</v>
      </c>
      <c r="M581">
        <v>1.2924320418420351E-3</v>
      </c>
      <c r="N581">
        <v>0.13356635661777924</v>
      </c>
      <c r="O581">
        <v>1.7377490441653858E-2</v>
      </c>
      <c r="P581">
        <v>1.9881357263857643E-2</v>
      </c>
      <c r="Q581">
        <v>2.1245491164145801E-3</v>
      </c>
      <c r="R581">
        <v>1.2842608962884779E-3</v>
      </c>
      <c r="S581">
        <v>0.15215544642257756</v>
      </c>
      <c r="T581">
        <v>1.0706284770154924</v>
      </c>
      <c r="U581">
        <v>2.2750539863533481E-2</v>
      </c>
      <c r="V581">
        <v>0.20329757965753487</v>
      </c>
      <c r="W581">
        <v>7.9388794311727073E-2</v>
      </c>
      <c r="X581">
        <v>1.6257777084981787E-2</v>
      </c>
      <c r="Y581">
        <v>3.4953348032065548E-3</v>
      </c>
    </row>
    <row r="582" spans="1:25" x14ac:dyDescent="0.25">
      <c r="A582" s="827"/>
      <c r="B582" s="1066">
        <v>332</v>
      </c>
      <c r="C582" s="831">
        <v>0.98221330902620552</v>
      </c>
      <c r="D582" s="831">
        <v>1.0332519040636943</v>
      </c>
      <c r="E582" s="831">
        <v>0.97024817914355543</v>
      </c>
      <c r="F582" s="831">
        <v>0.97050009318246677</v>
      </c>
      <c r="G582" s="831">
        <v>1.0101078851805694</v>
      </c>
      <c r="H582" s="831">
        <v>0.95196410208271431</v>
      </c>
      <c r="I582" s="831">
        <v>0.96528152532618938</v>
      </c>
      <c r="K582">
        <v>1.7138984234998085</v>
      </c>
      <c r="L582">
        <v>0</v>
      </c>
      <c r="M582">
        <v>1.4085317132824389E-3</v>
      </c>
      <c r="N582">
        <v>0.12928706767578418</v>
      </c>
      <c r="O582">
        <v>1.7892592864876929E-2</v>
      </c>
      <c r="P582">
        <v>1.9303374437730204E-2</v>
      </c>
      <c r="Q582">
        <v>2.1101273922067535E-3</v>
      </c>
      <c r="R582">
        <v>1.3993957544673028E-3</v>
      </c>
      <c r="S582">
        <v>0.14474395763654302</v>
      </c>
      <c r="T582">
        <v>1.0740188657787755</v>
      </c>
      <c r="U582">
        <v>2.374487057340505E-2</v>
      </c>
      <c r="V582">
        <v>0.20511223738639234</v>
      </c>
      <c r="W582">
        <v>7.8886905843753269E-2</v>
      </c>
      <c r="X582">
        <v>1.4998865936183856E-2</v>
      </c>
      <c r="Y582">
        <v>3.8086939329735172E-3</v>
      </c>
    </row>
    <row r="583" spans="1:25" x14ac:dyDescent="0.25">
      <c r="A583" s="827"/>
      <c r="B583" s="1066">
        <v>333</v>
      </c>
      <c r="C583" s="831">
        <v>1.0057449851290319</v>
      </c>
      <c r="D583" s="831">
        <v>0.98520456015472557</v>
      </c>
      <c r="E583" s="831">
        <v>1.0233568096114924</v>
      </c>
      <c r="F583" s="831">
        <v>1.0040739583802554</v>
      </c>
      <c r="G583" s="831">
        <v>1.0375363355434417</v>
      </c>
      <c r="H583" s="831">
        <v>1.0116938683991614</v>
      </c>
      <c r="I583" s="831">
        <v>0.97547423278995549</v>
      </c>
      <c r="K583">
        <v>1.7402530963175862</v>
      </c>
      <c r="L583">
        <v>0</v>
      </c>
      <c r="M583">
        <v>1.3357111170944026E-3</v>
      </c>
      <c r="N583">
        <v>0.14469477095998048</v>
      </c>
      <c r="O583">
        <v>1.7854540304275086E-2</v>
      </c>
      <c r="P583">
        <v>2.0109792001110106E-2</v>
      </c>
      <c r="Q583">
        <v>2.2127045864038936E-3</v>
      </c>
      <c r="R583">
        <v>1.3275903941834468E-3</v>
      </c>
      <c r="S583">
        <v>0.1498799708200752</v>
      </c>
      <c r="T583">
        <v>1.0692997411844845</v>
      </c>
      <c r="U583">
        <v>2.3189305682007444E-2</v>
      </c>
      <c r="V583">
        <v>0.20694164942724663</v>
      </c>
      <c r="W583">
        <v>8.5130315793678205E-2</v>
      </c>
      <c r="X583">
        <v>1.7335162868324476E-2</v>
      </c>
      <c r="Y583">
        <v>3.6132634129115181E-3</v>
      </c>
    </row>
    <row r="584" spans="1:25" x14ac:dyDescent="0.25">
      <c r="A584" s="827"/>
      <c r="B584" s="1066">
        <v>334</v>
      </c>
      <c r="C584" s="831">
        <v>1.0058775254113084</v>
      </c>
      <c r="D584" s="831">
        <v>1.0313232358741444</v>
      </c>
      <c r="E584" s="831">
        <v>1.0076000014268747</v>
      </c>
      <c r="F584" s="831">
        <v>1.0115186663794038</v>
      </c>
      <c r="G584" s="831">
        <v>1.0125361938108446</v>
      </c>
      <c r="H584" s="831">
        <v>1.0324990839456829</v>
      </c>
      <c r="I584" s="831">
        <v>0.99556895514330734</v>
      </c>
      <c r="K584">
        <v>1.735081798156086</v>
      </c>
      <c r="L584">
        <v>0</v>
      </c>
      <c r="M584">
        <v>1.3802565414815688E-3</v>
      </c>
      <c r="N584">
        <v>0.14238974433258528</v>
      </c>
      <c r="O584">
        <v>1.7486390118943363E-2</v>
      </c>
      <c r="P584">
        <v>1.9862317187010089E-2</v>
      </c>
      <c r="Q584">
        <v>2.1412960467231865E-3</v>
      </c>
      <c r="R584">
        <v>1.372003515346094E-3</v>
      </c>
      <c r="S584">
        <v>0.15152887489271633</v>
      </c>
      <c r="T584">
        <v>1.0706887526145994</v>
      </c>
      <c r="U584">
        <v>2.3186250124006394E-2</v>
      </c>
      <c r="V584">
        <v>0.2027723640970914</v>
      </c>
      <c r="W584">
        <v>8.4672474262752262E-2</v>
      </c>
      <c r="X584">
        <v>1.6627446217858218E-2</v>
      </c>
      <c r="Y584">
        <v>3.7341412879347883E-3</v>
      </c>
    </row>
    <row r="585" spans="1:25" x14ac:dyDescent="0.25">
      <c r="A585" s="827"/>
      <c r="B585" s="1066">
        <v>335</v>
      </c>
      <c r="C585" s="831">
        <v>1.0247479273651487</v>
      </c>
      <c r="D585" s="831">
        <v>1.0061329298560147</v>
      </c>
      <c r="E585" s="831">
        <v>0.98300214949385045</v>
      </c>
      <c r="F585" s="831">
        <v>0.98424279770444167</v>
      </c>
      <c r="G585" s="831">
        <v>0.99751997632076406</v>
      </c>
      <c r="H585" s="831">
        <v>1.0012928484953993</v>
      </c>
      <c r="I585" s="831">
        <v>0.99173424846176661</v>
      </c>
      <c r="K585">
        <v>1.7188539936914979</v>
      </c>
      <c r="L585">
        <v>0</v>
      </c>
      <c r="M585">
        <v>1.3992280840374092E-3</v>
      </c>
      <c r="N585">
        <v>0.13368561229949821</v>
      </c>
      <c r="O585">
        <v>1.7357303599156236E-2</v>
      </c>
      <c r="P585">
        <v>1.9472853973613598E-2</v>
      </c>
      <c r="Q585">
        <v>2.0692879893656349E-3</v>
      </c>
      <c r="R585">
        <v>1.3906180647252811E-3</v>
      </c>
      <c r="S585">
        <v>0.147531252031773</v>
      </c>
      <c r="T585">
        <v>1.0728758783607262</v>
      </c>
      <c r="U585">
        <v>2.2759282820186296E-2</v>
      </c>
      <c r="V585">
        <v>0.20303475493016104</v>
      </c>
      <c r="W585">
        <v>8.0850353430658772E-2</v>
      </c>
      <c r="X585">
        <v>1.5441220320611265E-2</v>
      </c>
      <c r="Y585">
        <v>3.7848039550603808E-3</v>
      </c>
    </row>
    <row r="586" spans="1:25" x14ac:dyDescent="0.25">
      <c r="A586" s="827"/>
      <c r="B586" s="1066">
        <v>336</v>
      </c>
      <c r="C586" s="831">
        <v>1.0075650900238589</v>
      </c>
      <c r="D586" s="831">
        <v>0.98649209243847558</v>
      </c>
      <c r="E586" s="831">
        <v>1.0239129534877667</v>
      </c>
      <c r="F586" s="831">
        <v>0.97949661687877032</v>
      </c>
      <c r="G586" s="831">
        <v>1.0101336505245393</v>
      </c>
      <c r="H586" s="831">
        <v>1.0125548364228538</v>
      </c>
      <c r="I586" s="831">
        <v>1.0160086628346903</v>
      </c>
      <c r="K586">
        <v>1.7455639523754232</v>
      </c>
      <c r="L586">
        <v>0</v>
      </c>
      <c r="M586">
        <v>1.3320765937622932E-3</v>
      </c>
      <c r="N586">
        <v>0.14455116017710776</v>
      </c>
      <c r="O586">
        <v>1.7811729250445496E-2</v>
      </c>
      <c r="P586">
        <v>2.0194546788007018E-2</v>
      </c>
      <c r="Q586">
        <v>2.2088556310040997E-3</v>
      </c>
      <c r="R586">
        <v>1.3239839863284193E-3</v>
      </c>
      <c r="S586">
        <v>0.15580407701336446</v>
      </c>
      <c r="T586">
        <v>1.0692508871689199</v>
      </c>
      <c r="U586">
        <v>2.3147415615353342E-2</v>
      </c>
      <c r="V586">
        <v>0.20662133615903777</v>
      </c>
      <c r="W586">
        <v>8.5013994137259435E-2</v>
      </c>
      <c r="X586">
        <v>1.7364595082776289E-2</v>
      </c>
      <c r="Y586">
        <v>3.6034479595821625E-3</v>
      </c>
    </row>
    <row r="587" spans="1:25" x14ac:dyDescent="0.25">
      <c r="A587" s="827"/>
      <c r="B587" s="1066">
        <v>337</v>
      </c>
      <c r="C587" s="831">
        <v>1.0091900259466582</v>
      </c>
      <c r="D587" s="831">
        <v>0.99980685150704407</v>
      </c>
      <c r="E587" s="831">
        <v>1.0111673036472106</v>
      </c>
      <c r="F587" s="831">
        <v>1.002826825862033</v>
      </c>
      <c r="G587" s="831">
        <v>0.99531937524004321</v>
      </c>
      <c r="H587" s="831">
        <v>1.0228246773237866</v>
      </c>
      <c r="I587" s="831">
        <v>1.0064229538832774</v>
      </c>
      <c r="K587">
        <v>1.7409816292015394</v>
      </c>
      <c r="L587">
        <v>0</v>
      </c>
      <c r="M587">
        <v>1.3717146741530331E-3</v>
      </c>
      <c r="N587">
        <v>0.1430807299808195</v>
      </c>
      <c r="O587">
        <v>1.7675296682590914E-2</v>
      </c>
      <c r="P587">
        <v>1.9976620341861897E-2</v>
      </c>
      <c r="Q587">
        <v>2.1666889584573299E-3</v>
      </c>
      <c r="R587">
        <v>1.3634558826117972E-3</v>
      </c>
      <c r="S587">
        <v>0.15396450440677145</v>
      </c>
      <c r="T587">
        <v>1.0703734610879223</v>
      </c>
      <c r="U587">
        <v>2.311014506552005E-2</v>
      </c>
      <c r="V587">
        <v>0.20521846141838099</v>
      </c>
      <c r="W587">
        <v>8.4877295799950028E-2</v>
      </c>
      <c r="X587">
        <v>1.6835806801445006E-2</v>
      </c>
      <c r="Y587">
        <v>3.7108774493584042E-3</v>
      </c>
    </row>
    <row r="588" spans="1:25" x14ac:dyDescent="0.25">
      <c r="A588" s="827"/>
      <c r="B588" s="1066">
        <v>338</v>
      </c>
      <c r="C588" s="831">
        <v>1.0037372305893866</v>
      </c>
      <c r="D588" s="831">
        <v>0.98587826733863893</v>
      </c>
      <c r="E588" s="831">
        <v>0.99404454787555019</v>
      </c>
      <c r="F588" s="831">
        <v>1.010434371923508</v>
      </c>
      <c r="G588" s="831">
        <v>1.0127277583019825</v>
      </c>
      <c r="H588" s="831">
        <v>0.9824454499618166</v>
      </c>
      <c r="I588" s="831">
        <v>0.98925514765056799</v>
      </c>
      <c r="K588">
        <v>1.7306102356876858</v>
      </c>
      <c r="L588">
        <v>0</v>
      </c>
      <c r="M588">
        <v>1.3821325296682551E-3</v>
      </c>
      <c r="N588">
        <v>0.13665681900755164</v>
      </c>
      <c r="O588">
        <v>1.7884706106989966E-2</v>
      </c>
      <c r="P588">
        <v>1.9719838487601338E-2</v>
      </c>
      <c r="Q588">
        <v>2.1525150735762235E-3</v>
      </c>
      <c r="R588">
        <v>1.3734789282809703E-3</v>
      </c>
      <c r="S588">
        <v>0.15017538387303364</v>
      </c>
      <c r="T588">
        <v>1.0718912183069846</v>
      </c>
      <c r="U588">
        <v>2.3235690764014379E-2</v>
      </c>
      <c r="V588">
        <v>0.20709216099524061</v>
      </c>
      <c r="W588">
        <v>8.2020181042152251E-2</v>
      </c>
      <c r="X588">
        <v>1.6052218756353633E-2</v>
      </c>
      <c r="Y588">
        <v>3.7381568755737778E-3</v>
      </c>
    </row>
    <row r="589" spans="1:25" x14ac:dyDescent="0.25">
      <c r="A589" s="827"/>
      <c r="B589" s="1066">
        <v>339</v>
      </c>
      <c r="C589" s="831">
        <v>0.98686932968602159</v>
      </c>
      <c r="D589" s="831">
        <v>0.97618067975547462</v>
      </c>
      <c r="E589" s="831">
        <v>0.97152636104671408</v>
      </c>
      <c r="F589" s="831">
        <v>1.0122196760087177</v>
      </c>
      <c r="G589" s="831">
        <v>0.99968512557794453</v>
      </c>
      <c r="H589" s="831">
        <v>0.9780448976540308</v>
      </c>
      <c r="I589" s="831">
        <v>0.99665129491226656</v>
      </c>
      <c r="K589">
        <v>1.7396001873808389</v>
      </c>
      <c r="L589">
        <v>0</v>
      </c>
      <c r="M589">
        <v>1.4738276505176303E-3</v>
      </c>
      <c r="N589">
        <v>0.13584829828134545</v>
      </c>
      <c r="O589">
        <v>1.8272215750008085E-2</v>
      </c>
      <c r="P589">
        <v>1.9509270194198163E-2</v>
      </c>
      <c r="Q589">
        <v>2.147709307277416E-3</v>
      </c>
      <c r="R589">
        <v>1.4645659608680079E-3</v>
      </c>
      <c r="S589">
        <v>0.15419545570508589</v>
      </c>
      <c r="T589">
        <v>1.0739040422499646</v>
      </c>
      <c r="U589">
        <v>2.3632842967896646E-2</v>
      </c>
      <c r="V589">
        <v>0.20988534761378783</v>
      </c>
      <c r="W589">
        <v>8.2816406161005468E-2</v>
      </c>
      <c r="X589">
        <v>1.5411795088475514E-2</v>
      </c>
      <c r="Y589">
        <v>3.9860657514434704E-3</v>
      </c>
    </row>
    <row r="590" spans="1:25" x14ac:dyDescent="0.25">
      <c r="A590" s="827"/>
      <c r="B590" s="1066">
        <v>340</v>
      </c>
      <c r="C590" s="831">
        <v>1.0138581747273021</v>
      </c>
      <c r="D590" s="831">
        <v>0.97469079660415903</v>
      </c>
      <c r="E590" s="831">
        <v>1.03249619328569</v>
      </c>
      <c r="F590" s="831">
        <v>0.9942979419030965</v>
      </c>
      <c r="G590" s="831">
        <v>1.0005935203926513</v>
      </c>
      <c r="H590" s="831">
        <v>0.97543364694516499</v>
      </c>
      <c r="I590" s="831">
        <v>0.97995052527819781</v>
      </c>
      <c r="K590">
        <v>1.7294182362515651</v>
      </c>
      <c r="L590">
        <v>0</v>
      </c>
      <c r="M590">
        <v>1.2591887346046877E-3</v>
      </c>
      <c r="N590">
        <v>0.14030006641323675</v>
      </c>
      <c r="O590">
        <v>1.7798156254174774E-2</v>
      </c>
      <c r="P590">
        <v>2.0198510735532249E-2</v>
      </c>
      <c r="Q590">
        <v>2.2237833702143757E-3</v>
      </c>
      <c r="R590">
        <v>1.2512556761659314E-3</v>
      </c>
      <c r="S590">
        <v>0.14748622364527611</v>
      </c>
      <c r="T590">
        <v>1.0684983866698343</v>
      </c>
      <c r="U590">
        <v>2.3003738076655803E-2</v>
      </c>
      <c r="V590">
        <v>0.20706432930754223</v>
      </c>
      <c r="W590">
        <v>8.2039998436761408E-2</v>
      </c>
      <c r="X590">
        <v>1.7407470926573135E-2</v>
      </c>
      <c r="Y590">
        <v>3.4055054742008714E-3</v>
      </c>
    </row>
    <row r="591" spans="1:25" x14ac:dyDescent="0.25">
      <c r="A591" s="827"/>
      <c r="B591" s="1066">
        <v>341</v>
      </c>
      <c r="C591" s="831">
        <v>0.98916586512097693</v>
      </c>
      <c r="D591" s="831">
        <v>1.0071390594051211</v>
      </c>
      <c r="E591" s="831">
        <v>0.99742069437293956</v>
      </c>
      <c r="F591" s="831">
        <v>0.97489272096774271</v>
      </c>
      <c r="G591" s="831">
        <v>0.99478575621563281</v>
      </c>
      <c r="H591" s="831">
        <v>0.99591432505162769</v>
      </c>
      <c r="I591" s="831">
        <v>0.99279282440411609</v>
      </c>
      <c r="K591">
        <v>1.7378145774537488</v>
      </c>
      <c r="L591">
        <v>0</v>
      </c>
      <c r="M591">
        <v>1.3980865520971631E-3</v>
      </c>
      <c r="N591">
        <v>0.13970471390434896</v>
      </c>
      <c r="O591">
        <v>1.7973544006564056E-2</v>
      </c>
      <c r="P591">
        <v>1.9797407616162461E-2</v>
      </c>
      <c r="Q591">
        <v>2.1743849989803925E-3</v>
      </c>
      <c r="R591">
        <v>1.3894363940094687E-3</v>
      </c>
      <c r="S591">
        <v>0.15255164726176237</v>
      </c>
      <c r="T591">
        <v>1.071591081444176</v>
      </c>
      <c r="U591">
        <v>2.3577974858089906E-2</v>
      </c>
      <c r="V591">
        <v>0.20670177262259257</v>
      </c>
      <c r="W591">
        <v>8.3655445788881663E-2</v>
      </c>
      <c r="X591">
        <v>1.6313667273370063E-2</v>
      </c>
      <c r="Y591">
        <v>3.7815878369095871E-3</v>
      </c>
    </row>
    <row r="592" spans="1:25" x14ac:dyDescent="0.25">
      <c r="A592" s="827"/>
      <c r="B592" s="1066">
        <v>342</v>
      </c>
      <c r="C592" s="831">
        <v>0.98710496587387631</v>
      </c>
      <c r="D592" s="831">
        <v>1.0033637676960596</v>
      </c>
      <c r="E592" s="831">
        <v>0.99855959903251679</v>
      </c>
      <c r="F592" s="831">
        <v>1.0036541669059456</v>
      </c>
      <c r="G592" s="831">
        <v>0.98901032010435685</v>
      </c>
      <c r="H592" s="831">
        <v>1.0311025749692486</v>
      </c>
      <c r="I592" s="831">
        <v>1.0122717940949122</v>
      </c>
      <c r="K592">
        <v>1.7541377981134345</v>
      </c>
      <c r="L592">
        <v>0</v>
      </c>
      <c r="M592">
        <v>1.4494924023715759E-3</v>
      </c>
      <c r="N592">
        <v>0.14538682417417437</v>
      </c>
      <c r="O592">
        <v>1.8041716124920757E-2</v>
      </c>
      <c r="P592">
        <v>1.9905191007359102E-2</v>
      </c>
      <c r="Q592">
        <v>2.1844644274527794E-3</v>
      </c>
      <c r="R592">
        <v>1.4408328881194993E-3</v>
      </c>
      <c r="S592">
        <v>0.15869906288523397</v>
      </c>
      <c r="T592">
        <v>1.0714899306598502</v>
      </c>
      <c r="U592">
        <v>2.3627201467531819E-2</v>
      </c>
      <c r="V592">
        <v>0.20727508900796862</v>
      </c>
      <c r="W592">
        <v>8.6989992378946876E-2</v>
      </c>
      <c r="X592">
        <v>1.6625513343218788E-2</v>
      </c>
      <c r="Y592">
        <v>3.9214721510273604E-3</v>
      </c>
    </row>
    <row r="593" spans="1:25" x14ac:dyDescent="0.25">
      <c r="A593" s="827"/>
      <c r="B593" s="1066">
        <v>343</v>
      </c>
      <c r="C593" s="831">
        <v>1.0071789818007093</v>
      </c>
      <c r="D593" s="831">
        <v>0.95984865397455543</v>
      </c>
      <c r="E593" s="831">
        <v>0.98897570136018864</v>
      </c>
      <c r="F593" s="831">
        <v>0.9795393896407365</v>
      </c>
      <c r="G593" s="831">
        <v>0.98154035053783228</v>
      </c>
      <c r="H593" s="831">
        <v>0.99815284419954553</v>
      </c>
      <c r="I593" s="831">
        <v>0.99056313776063387</v>
      </c>
      <c r="K593">
        <v>1.7405157802040214</v>
      </c>
      <c r="L593">
        <v>0</v>
      </c>
      <c r="M593">
        <v>1.431714622219118E-3</v>
      </c>
      <c r="N593">
        <v>0.139358692724388</v>
      </c>
      <c r="O593">
        <v>1.8041643693190629E-2</v>
      </c>
      <c r="P593">
        <v>1.9712597569368134E-2</v>
      </c>
      <c r="Q593">
        <v>2.155513085606818E-3</v>
      </c>
      <c r="R593">
        <v>1.4229111424297971E-3</v>
      </c>
      <c r="S593">
        <v>0.15266810170538131</v>
      </c>
      <c r="T593">
        <v>1.0723426416401947</v>
      </c>
      <c r="U593">
        <v>2.3156289318712175E-2</v>
      </c>
      <c r="V593">
        <v>0.20923577069654556</v>
      </c>
      <c r="W593">
        <v>8.393415380157411E-2</v>
      </c>
      <c r="X593">
        <v>1.6046484381689055E-2</v>
      </c>
      <c r="Y593">
        <v>3.87269506716187E-3</v>
      </c>
    </row>
    <row r="594" spans="1:25" x14ac:dyDescent="0.25">
      <c r="A594" s="827"/>
      <c r="B594" s="1066">
        <v>344</v>
      </c>
      <c r="C594" s="831">
        <v>1.0090805871913382</v>
      </c>
      <c r="D594" s="831">
        <v>0.99551598741399028</v>
      </c>
      <c r="E594" s="831">
        <v>0.97490740132293174</v>
      </c>
      <c r="F594" s="831">
        <v>0.99517731576013913</v>
      </c>
      <c r="G594" s="831">
        <v>1.0190094693993703</v>
      </c>
      <c r="H594" s="831">
        <v>1.0018723779814986</v>
      </c>
      <c r="I594" s="831">
        <v>1.0008964039377941</v>
      </c>
      <c r="K594">
        <v>1.7305021034065111</v>
      </c>
      <c r="L594">
        <v>0</v>
      </c>
      <c r="M594">
        <v>1.4530960024037034E-3</v>
      </c>
      <c r="N594">
        <v>0.13537552011843471</v>
      </c>
      <c r="O594">
        <v>1.771169494513156E-2</v>
      </c>
      <c r="P594">
        <v>1.9461134021331226E-2</v>
      </c>
      <c r="Q594">
        <v>2.092406550847953E-3</v>
      </c>
      <c r="R594">
        <v>1.4441674004626566E-3</v>
      </c>
      <c r="S594">
        <v>0.15191472763228858</v>
      </c>
      <c r="T594">
        <v>1.0736006069955422</v>
      </c>
      <c r="U594">
        <v>2.3112651451574182E-2</v>
      </c>
      <c r="V594">
        <v>0.20562412971374305</v>
      </c>
      <c r="W594">
        <v>8.23338760751713E-2</v>
      </c>
      <c r="X594">
        <v>1.5353736909980974E-2</v>
      </c>
      <c r="Y594">
        <v>3.9305475944037349E-3</v>
      </c>
    </row>
    <row r="595" spans="1:25" x14ac:dyDescent="0.25">
      <c r="A595" s="827"/>
      <c r="B595" s="1066">
        <v>345</v>
      </c>
      <c r="C595" s="831">
        <v>0.98521944406053874</v>
      </c>
      <c r="D595" s="831">
        <v>0.97318993361968653</v>
      </c>
      <c r="E595" s="831">
        <v>0.99776202236898148</v>
      </c>
      <c r="F595" s="831">
        <v>0.98834190687921009</v>
      </c>
      <c r="G595" s="831">
        <v>1.0266589383195586</v>
      </c>
      <c r="H595" s="831">
        <v>1.0251510852119632</v>
      </c>
      <c r="I595" s="831">
        <v>1.0187124821297244</v>
      </c>
      <c r="K595">
        <v>1.7629835521438157</v>
      </c>
      <c r="L595">
        <v>0</v>
      </c>
      <c r="M595">
        <v>1.466459151385501E-3</v>
      </c>
      <c r="N595">
        <v>0.14672114383274207</v>
      </c>
      <c r="O595">
        <v>1.8328349017325489E-2</v>
      </c>
      <c r="P595">
        <v>1.9976698530317725E-2</v>
      </c>
      <c r="Q595">
        <v>2.2118110319765778E-3</v>
      </c>
      <c r="R595">
        <v>1.4576694452104536E-3</v>
      </c>
      <c r="S595">
        <v>0.16161410707281679</v>
      </c>
      <c r="T595">
        <v>1.0715607615724276</v>
      </c>
      <c r="U595">
        <v>2.3672419417729327E-2</v>
      </c>
      <c r="V595">
        <v>0.21036300951925774</v>
      </c>
      <c r="W595">
        <v>8.7836346067126508E-2</v>
      </c>
      <c r="X595">
        <v>1.6740400079010453E-2</v>
      </c>
      <c r="Y595">
        <v>3.9672957092593839E-3</v>
      </c>
    </row>
    <row r="596" spans="1:25" x14ac:dyDescent="0.25">
      <c r="A596" s="827"/>
      <c r="B596" s="1066">
        <v>346</v>
      </c>
      <c r="C596" s="831">
        <v>1.0026148370121992</v>
      </c>
      <c r="D596" s="831">
        <v>0.98705765904333154</v>
      </c>
      <c r="E596" s="831">
        <v>0.95883227490228229</v>
      </c>
      <c r="F596" s="831">
        <v>0.98699688079979397</v>
      </c>
      <c r="G596" s="831">
        <v>1.0083366681431076</v>
      </c>
      <c r="H596" s="831">
        <v>0.9967979916977312</v>
      </c>
      <c r="I596" s="831">
        <v>1.0061203815433788</v>
      </c>
      <c r="K596">
        <v>1.7336531060595317</v>
      </c>
      <c r="L596">
        <v>0</v>
      </c>
      <c r="M596">
        <v>1.5107214005847572E-3</v>
      </c>
      <c r="N596">
        <v>0.13385828936769387</v>
      </c>
      <c r="O596">
        <v>1.789501812942625E-2</v>
      </c>
      <c r="P596">
        <v>1.9288548270078185E-2</v>
      </c>
      <c r="Q596">
        <v>2.0780927711994898E-3</v>
      </c>
      <c r="R596">
        <v>1.5013979756563706E-3</v>
      </c>
      <c r="S596">
        <v>0.15387071893718376</v>
      </c>
      <c r="T596">
        <v>1.0750471092860017</v>
      </c>
      <c r="U596">
        <v>2.3261702338062851E-2</v>
      </c>
      <c r="V596">
        <v>0.20710455251226736</v>
      </c>
      <c r="W596">
        <v>8.2332813878549058E-2</v>
      </c>
      <c r="X596">
        <v>1.4839273639969551E-2</v>
      </c>
      <c r="Y596">
        <v>4.0863103540269823E-3</v>
      </c>
    </row>
    <row r="597" spans="1:25" x14ac:dyDescent="0.25">
      <c r="A597" s="827"/>
      <c r="B597" s="1066">
        <v>347</v>
      </c>
      <c r="C597" s="831">
        <v>1.0051317855742596</v>
      </c>
      <c r="D597" s="831">
        <v>1.0022472011954435</v>
      </c>
      <c r="E597" s="831">
        <v>1.0013365828259653</v>
      </c>
      <c r="F597" s="831">
        <v>0.97958962007710981</v>
      </c>
      <c r="G597" s="831">
        <v>0.97125759330360961</v>
      </c>
      <c r="H597" s="831">
        <v>0.99973548193345629</v>
      </c>
      <c r="I597" s="831">
        <v>1.0205358344193503</v>
      </c>
      <c r="K597">
        <v>1.7363843576428819</v>
      </c>
      <c r="L597">
        <v>0</v>
      </c>
      <c r="M597">
        <v>1.3728352893062883E-3</v>
      </c>
      <c r="N597">
        <v>0.13886665894385058</v>
      </c>
      <c r="O597">
        <v>1.7727077331195041E-2</v>
      </c>
      <c r="P597">
        <v>1.9860339891316397E-2</v>
      </c>
      <c r="Q597">
        <v>2.1521721205555048E-3</v>
      </c>
      <c r="R597">
        <v>1.3643771769144154E-3</v>
      </c>
      <c r="S597">
        <v>0.15491397778154517</v>
      </c>
      <c r="T597">
        <v>1.0712435005445571</v>
      </c>
      <c r="U597">
        <v>2.3203452754186216E-2</v>
      </c>
      <c r="V597">
        <v>0.20542423602784268</v>
      </c>
      <c r="W597">
        <v>8.293101585510626E-2</v>
      </c>
      <c r="X597">
        <v>1.6356999596373496E-2</v>
      </c>
      <c r="Y597">
        <v>3.7133849087455464E-3</v>
      </c>
    </row>
    <row r="598" spans="1:25" x14ac:dyDescent="0.25">
      <c r="A598" s="827"/>
      <c r="B598" s="1066">
        <v>348</v>
      </c>
      <c r="C598" s="831">
        <v>1.0055501378026208</v>
      </c>
      <c r="D598" s="831">
        <v>0.98008808186212515</v>
      </c>
      <c r="E598" s="831">
        <v>0.98927944163000059</v>
      </c>
      <c r="F598" s="831">
        <v>1.0079088835978596</v>
      </c>
      <c r="G598" s="831">
        <v>1.0123991322006929</v>
      </c>
      <c r="H598" s="831">
        <v>0.97508117995480437</v>
      </c>
      <c r="I598" s="831">
        <v>0.99867917182606769</v>
      </c>
      <c r="K598">
        <v>1.7298735678502253</v>
      </c>
      <c r="L598">
        <v>0</v>
      </c>
      <c r="M598">
        <v>1.3867897569739987E-3</v>
      </c>
      <c r="N598">
        <v>0.13509230621266879</v>
      </c>
      <c r="O598">
        <v>1.7900255562403003E-2</v>
      </c>
      <c r="P598">
        <v>1.9672771196862955E-2</v>
      </c>
      <c r="Q598">
        <v>2.1430001090348718E-3</v>
      </c>
      <c r="R598">
        <v>1.3780456557786584E-3</v>
      </c>
      <c r="S598">
        <v>0.15117383684361849</v>
      </c>
      <c r="T598">
        <v>1.0723155637590491</v>
      </c>
      <c r="U598">
        <v>2.3193799117037322E-2</v>
      </c>
      <c r="V598">
        <v>0.20744459872884469</v>
      </c>
      <c r="W598">
        <v>8.1347520388462227E-2</v>
      </c>
      <c r="X598">
        <v>1.5848074031037281E-2</v>
      </c>
      <c r="Y598">
        <v>3.7505860024011697E-3</v>
      </c>
    </row>
    <row r="599" spans="1:25" x14ac:dyDescent="0.25">
      <c r="A599" s="827"/>
      <c r="B599" s="1066">
        <v>349</v>
      </c>
      <c r="C599" s="831">
        <v>0.98031216781552499</v>
      </c>
      <c r="D599" s="831">
        <v>1.0144241808842653</v>
      </c>
      <c r="E599" s="831">
        <v>1.0116203057198145</v>
      </c>
      <c r="F599" s="831">
        <v>1.0305835750151429</v>
      </c>
      <c r="G599" s="831">
        <v>1.0112027050245396</v>
      </c>
      <c r="H599" s="831">
        <v>1.0260936319531258</v>
      </c>
      <c r="I599" s="831">
        <v>1.0032088977042772</v>
      </c>
      <c r="K599">
        <v>1.7536639414937429</v>
      </c>
      <c r="L599">
        <v>0</v>
      </c>
      <c r="M599">
        <v>1.4060261084594676E-3</v>
      </c>
      <c r="N599">
        <v>0.14686813835164408</v>
      </c>
      <c r="O599">
        <v>1.8076834601701123E-2</v>
      </c>
      <c r="P599">
        <v>2.0062465156623705E-2</v>
      </c>
      <c r="Q599">
        <v>2.2195428413797117E-3</v>
      </c>
      <c r="R599">
        <v>1.3975777581415045E-3</v>
      </c>
      <c r="S599">
        <v>0.15728310214952948</v>
      </c>
      <c r="T599">
        <v>1.0703334575054988</v>
      </c>
      <c r="U599">
        <v>2.3790919529514627E-2</v>
      </c>
      <c r="V599">
        <v>0.20700936696984226</v>
      </c>
      <c r="W599">
        <v>8.7097246857743116E-2</v>
      </c>
      <c r="X599">
        <v>1.712756993430643E-2</v>
      </c>
      <c r="Y599">
        <v>3.8037459462770236E-3</v>
      </c>
    </row>
    <row r="600" spans="1:25" x14ac:dyDescent="0.25">
      <c r="A600" s="827"/>
      <c r="B600" s="1066">
        <v>350</v>
      </c>
      <c r="C600" s="831">
        <v>0.99018687502627334</v>
      </c>
      <c r="D600" s="831">
        <v>0.9728579752512726</v>
      </c>
      <c r="E600" s="831">
        <v>1.0290685917429243</v>
      </c>
      <c r="F600" s="831">
        <v>0.98936814759453562</v>
      </c>
      <c r="G600" s="831">
        <v>0.9777009958136077</v>
      </c>
      <c r="H600" s="831">
        <v>1.0060346042079666</v>
      </c>
      <c r="I600" s="831">
        <v>0.9528766624933962</v>
      </c>
      <c r="K600">
        <v>1.747843461173149</v>
      </c>
      <c r="L600">
        <v>0</v>
      </c>
      <c r="M600">
        <v>1.3405609682585157E-3</v>
      </c>
      <c r="N600">
        <v>0.14781453764356051</v>
      </c>
      <c r="O600">
        <v>1.8239229418304095E-2</v>
      </c>
      <c r="P600">
        <v>2.0221252923497524E-2</v>
      </c>
      <c r="Q600">
        <v>2.2708312577233922E-3</v>
      </c>
      <c r="R600">
        <v>1.3323734238772015E-3</v>
      </c>
      <c r="S600">
        <v>0.1490954098998622</v>
      </c>
      <c r="T600">
        <v>1.0687985524853132</v>
      </c>
      <c r="U600">
        <v>2.3553662936286017E-2</v>
      </c>
      <c r="V600">
        <v>0.20983775484922981</v>
      </c>
      <c r="W600">
        <v>8.6632710526636819E-2</v>
      </c>
      <c r="X600">
        <v>1.776142553410124E-2</v>
      </c>
      <c r="Y600">
        <v>3.6262812430126038E-3</v>
      </c>
    </row>
    <row r="601" spans="1:25" x14ac:dyDescent="0.25">
      <c r="A601" s="827"/>
      <c r="B601" s="1066">
        <v>351</v>
      </c>
      <c r="C601" s="831">
        <v>1.0258279677068163</v>
      </c>
      <c r="D601" s="831">
        <v>0.99133603671526282</v>
      </c>
      <c r="E601" s="831">
        <v>0.97488032333034169</v>
      </c>
      <c r="F601" s="831">
        <v>0.999106964874383</v>
      </c>
      <c r="G601" s="831">
        <v>1.0089187260348595</v>
      </c>
      <c r="H601" s="831">
        <v>1.0043260409690742</v>
      </c>
      <c r="I601" s="831">
        <v>0.97192103453423329</v>
      </c>
      <c r="K601">
        <v>1.7191561949250318</v>
      </c>
      <c r="L601">
        <v>0</v>
      </c>
      <c r="M601">
        <v>1.4356879465053981E-3</v>
      </c>
      <c r="N601">
        <v>0.13374474009057488</v>
      </c>
      <c r="O601">
        <v>1.7455801994502175E-2</v>
      </c>
      <c r="P601">
        <v>1.9351852273409614E-2</v>
      </c>
      <c r="Q601">
        <v>2.0614055922623014E-3</v>
      </c>
      <c r="R601">
        <v>1.4268908877097225E-3</v>
      </c>
      <c r="S601">
        <v>0.14553002728294009</v>
      </c>
      <c r="T601">
        <v>1.0736030354368842</v>
      </c>
      <c r="U601">
        <v>2.2735320767710607E-2</v>
      </c>
      <c r="V601">
        <v>0.20425354315711713</v>
      </c>
      <c r="W601">
        <v>8.1343587771444556E-2</v>
      </c>
      <c r="X601">
        <v>1.5202150995090903E-2</v>
      </c>
      <c r="Y601">
        <v>3.8835266218911475E-3</v>
      </c>
    </row>
    <row r="602" spans="1:25" x14ac:dyDescent="0.25">
      <c r="A602" s="827"/>
      <c r="B602" s="1066">
        <v>352</v>
      </c>
      <c r="C602" s="831">
        <v>1.033001444227875</v>
      </c>
      <c r="D602" s="831">
        <v>1.0011582380559365</v>
      </c>
      <c r="E602" s="831">
        <v>1.019005968425617</v>
      </c>
      <c r="F602" s="831">
        <v>0.99187624692617526</v>
      </c>
      <c r="G602" s="831">
        <v>1.0192861465376311</v>
      </c>
      <c r="H602" s="831">
        <v>1.0309743221395824</v>
      </c>
      <c r="I602" s="831">
        <v>1.0030887291373056</v>
      </c>
      <c r="K602">
        <v>1.7308484926454819</v>
      </c>
      <c r="L602">
        <v>0</v>
      </c>
      <c r="M602">
        <v>1.3277957718003349E-3</v>
      </c>
      <c r="N602">
        <v>0.14192158391725737</v>
      </c>
      <c r="O602">
        <v>1.7257307256343453E-2</v>
      </c>
      <c r="P602">
        <v>1.9990291336365134E-2</v>
      </c>
      <c r="Q602">
        <v>2.132281270894302E-3</v>
      </c>
      <c r="R602">
        <v>1.3198637275580842E-3</v>
      </c>
      <c r="S602">
        <v>0.15040087208492139</v>
      </c>
      <c r="T602">
        <v>1.0696823418782506</v>
      </c>
      <c r="U602">
        <v>2.2577439778640161E-2</v>
      </c>
      <c r="V602">
        <v>0.20263860682185997</v>
      </c>
      <c r="W602">
        <v>8.3744026264222338E-2</v>
      </c>
      <c r="X602">
        <v>1.6919440107517413E-2</v>
      </c>
      <c r="Y602">
        <v>3.5922339734522505E-3</v>
      </c>
    </row>
    <row r="603" spans="1:25" x14ac:dyDescent="0.25">
      <c r="A603" s="827"/>
      <c r="B603" s="1066">
        <v>353</v>
      </c>
      <c r="C603" s="831">
        <v>0.98244550745944548</v>
      </c>
      <c r="D603" s="831">
        <v>1.0129654679367146</v>
      </c>
      <c r="E603" s="831">
        <v>0.97164144629681382</v>
      </c>
      <c r="F603" s="831">
        <v>1.0051566536526453</v>
      </c>
      <c r="G603" s="831">
        <v>0.99741259879690025</v>
      </c>
      <c r="H603" s="831">
        <v>0.99983648530539448</v>
      </c>
      <c r="I603" s="831">
        <v>0.95724495149224353</v>
      </c>
      <c r="K603">
        <v>1.7323697048587186</v>
      </c>
      <c r="L603">
        <v>0</v>
      </c>
      <c r="M603">
        <v>1.4879555412603146E-3</v>
      </c>
      <c r="N603">
        <v>0.13721607886388895</v>
      </c>
      <c r="O603">
        <v>1.8049323774486266E-2</v>
      </c>
      <c r="P603">
        <v>1.9389859993218121E-2</v>
      </c>
      <c r="Q603">
        <v>2.1282225898863727E-3</v>
      </c>
      <c r="R603">
        <v>1.4787811776323964E-3</v>
      </c>
      <c r="S603">
        <v>0.14801453234259621</v>
      </c>
      <c r="T603">
        <v>1.0738937067469208</v>
      </c>
      <c r="U603">
        <v>2.3739258535177221E-2</v>
      </c>
      <c r="V603">
        <v>0.20690285933374597</v>
      </c>
      <c r="W603">
        <v>8.3643518881088078E-2</v>
      </c>
      <c r="X603">
        <v>1.537676327590819E-2</v>
      </c>
      <c r="Y603">
        <v>4.0247548854311895E-3</v>
      </c>
    </row>
    <row r="604" spans="1:25" x14ac:dyDescent="0.25">
      <c r="A604" s="827"/>
      <c r="B604" s="1066">
        <v>354</v>
      </c>
      <c r="C604" s="831">
        <v>0.99990956168318901</v>
      </c>
      <c r="D604" s="831">
        <v>1.0091910571925207</v>
      </c>
      <c r="E604" s="831">
        <v>1.0158789427927701</v>
      </c>
      <c r="F604" s="831">
        <v>0.99921354593586487</v>
      </c>
      <c r="G604" s="831">
        <v>1.0169661837112971</v>
      </c>
      <c r="H604" s="831">
        <v>0.98649176852900688</v>
      </c>
      <c r="I604" s="831">
        <v>0.96742889479264504</v>
      </c>
      <c r="K604">
        <v>1.7268652667411117</v>
      </c>
      <c r="L604">
        <v>0</v>
      </c>
      <c r="M604">
        <v>1.3164831633467771E-3</v>
      </c>
      <c r="N604">
        <v>0.13931356556170241</v>
      </c>
      <c r="O604">
        <v>1.7764054704255641E-2</v>
      </c>
      <c r="P604">
        <v>1.9939107187367165E-2</v>
      </c>
      <c r="Q604">
        <v>2.1895016832853866E-3</v>
      </c>
      <c r="R604">
        <v>1.3082587389711584E-3</v>
      </c>
      <c r="S604">
        <v>0.14628119634493378</v>
      </c>
      <c r="T604">
        <v>1.0699577665509024</v>
      </c>
      <c r="U604">
        <v>2.3324637339244371E-2</v>
      </c>
      <c r="V604">
        <v>0.20535169024622496</v>
      </c>
      <c r="W604">
        <v>8.2379055323279937E-2</v>
      </c>
      <c r="X604">
        <v>1.6812267204188679E-2</v>
      </c>
      <c r="Y604">
        <v>3.5606490201020957E-3</v>
      </c>
    </row>
    <row r="605" spans="1:25" x14ac:dyDescent="0.25">
      <c r="A605" s="827"/>
      <c r="B605" s="1066">
        <v>355</v>
      </c>
      <c r="C605" s="831">
        <v>0.97309505781557903</v>
      </c>
      <c r="D605" s="831">
        <v>0.97608665333621802</v>
      </c>
      <c r="E605" s="831">
        <v>1.0091043648376119</v>
      </c>
      <c r="F605" s="831">
        <v>0.98527025461241458</v>
      </c>
      <c r="G605" s="831">
        <v>1.0353221860539144</v>
      </c>
      <c r="H605" s="831">
        <v>0.98982307799221769</v>
      </c>
      <c r="I605" s="831">
        <v>0.96954311917559499</v>
      </c>
      <c r="K605">
        <v>1.7515168221388806</v>
      </c>
      <c r="L605">
        <v>0</v>
      </c>
      <c r="M605">
        <v>1.3978238704669234E-3</v>
      </c>
      <c r="N605">
        <v>0.14484457100318379</v>
      </c>
      <c r="O605">
        <v>1.8531671923166359E-2</v>
      </c>
      <c r="P605">
        <v>2.0032826990308034E-2</v>
      </c>
      <c r="Q605">
        <v>2.2624999703475478E-3</v>
      </c>
      <c r="R605">
        <v>1.3891443897824261E-3</v>
      </c>
      <c r="S605">
        <v>0.15298255776353686</v>
      </c>
      <c r="T605">
        <v>1.0705557326710364</v>
      </c>
      <c r="U605">
        <v>2.3967368563825614E-2</v>
      </c>
      <c r="V605">
        <v>0.21146809363922325</v>
      </c>
      <c r="W605">
        <v>8.6044144127676164E-2</v>
      </c>
      <c r="X605">
        <v>1.7055241869596744E-2</v>
      </c>
      <c r="Y605">
        <v>3.7807930976627435E-3</v>
      </c>
    </row>
    <row r="606" spans="1:25" x14ac:dyDescent="0.25">
      <c r="A606" s="827"/>
      <c r="B606" s="1066">
        <v>356</v>
      </c>
      <c r="C606" s="831">
        <v>0.97642533902748108</v>
      </c>
      <c r="D606" s="831">
        <v>1.02431323963403</v>
      </c>
      <c r="E606" s="831">
        <v>0.99037005136789003</v>
      </c>
      <c r="F606" s="831">
        <v>0.98540043321535975</v>
      </c>
      <c r="G606" s="831">
        <v>1.012912320525267</v>
      </c>
      <c r="H606" s="831">
        <v>1.0276402277453749</v>
      </c>
      <c r="I606" s="831">
        <v>0.97397798670134739</v>
      </c>
      <c r="K606">
        <v>1.7461688955363894</v>
      </c>
      <c r="L606">
        <v>0</v>
      </c>
      <c r="M606">
        <v>1.4720043785786843E-3</v>
      </c>
      <c r="N606">
        <v>0.14392468322459101</v>
      </c>
      <c r="O606">
        <v>1.8069394624550053E-2</v>
      </c>
      <c r="P606">
        <v>1.9706855768632073E-2</v>
      </c>
      <c r="Q606">
        <v>2.1734766218732909E-3</v>
      </c>
      <c r="R606">
        <v>1.4631659861816736E-3</v>
      </c>
      <c r="S606">
        <v>0.15280218280211333</v>
      </c>
      <c r="T606">
        <v>1.0722183665594296</v>
      </c>
      <c r="U606">
        <v>2.3885623371401241E-2</v>
      </c>
      <c r="V606">
        <v>0.20654394092401343</v>
      </c>
      <c r="W606">
        <v>8.6600935603491982E-2</v>
      </c>
      <c r="X606">
        <v>1.6270018946841297E-2</v>
      </c>
      <c r="Y606">
        <v>3.982255481848801E-3</v>
      </c>
    </row>
    <row r="607" spans="1:25" x14ac:dyDescent="0.25">
      <c r="A607" s="827"/>
      <c r="B607" s="1066">
        <v>357</v>
      </c>
      <c r="C607" s="831">
        <v>1.024959467909887</v>
      </c>
      <c r="D607" s="831">
        <v>0.98065102365398726</v>
      </c>
      <c r="E607" s="831">
        <v>1.0353050950440572</v>
      </c>
      <c r="F607" s="831">
        <v>1.0037153124960279</v>
      </c>
      <c r="G607" s="831">
        <v>0.98803884110876117</v>
      </c>
      <c r="H607" s="831">
        <v>0.98348211691886567</v>
      </c>
      <c r="I607" s="831">
        <v>1.0183421125514185</v>
      </c>
      <c r="K607">
        <v>1.7305668350657897</v>
      </c>
      <c r="L607">
        <v>0</v>
      </c>
      <c r="M607">
        <v>1.2449352320189242E-3</v>
      </c>
      <c r="N607">
        <v>0.13993317014504755</v>
      </c>
      <c r="O607">
        <v>1.7556706356085087E-2</v>
      </c>
      <c r="P607">
        <v>2.0268838600258778E-2</v>
      </c>
      <c r="Q607">
        <v>2.2008157173691928E-3</v>
      </c>
      <c r="R607">
        <v>1.2371522478727786E-3</v>
      </c>
      <c r="S607">
        <v>0.1517996112851554</v>
      </c>
      <c r="T607">
        <v>1.0682527347508095</v>
      </c>
      <c r="U607">
        <v>2.2754585550453836E-2</v>
      </c>
      <c r="V607">
        <v>0.20533022457982844</v>
      </c>
      <c r="W607">
        <v>8.1671997128256416E-2</v>
      </c>
      <c r="X607">
        <v>1.7438813345091526E-2</v>
      </c>
      <c r="Y607">
        <v>3.3671205915807982E-3</v>
      </c>
    </row>
    <row r="608" spans="1:25" x14ac:dyDescent="0.25">
      <c r="A608" s="827"/>
      <c r="B608" s="1066">
        <v>358</v>
      </c>
      <c r="C608" s="831">
        <v>0.98368815452902747</v>
      </c>
      <c r="D608" s="831">
        <v>1.0221372161334801</v>
      </c>
      <c r="E608" s="831">
        <v>1.0125182068041099</v>
      </c>
      <c r="F608" s="831">
        <v>0.97157621786344328</v>
      </c>
      <c r="G608" s="831">
        <v>0.98467120513952722</v>
      </c>
      <c r="H608" s="831">
        <v>1.0051327649905601</v>
      </c>
      <c r="I608" s="831">
        <v>0.99718672546632214</v>
      </c>
      <c r="K608">
        <v>1.742247731067901</v>
      </c>
      <c r="L608">
        <v>0</v>
      </c>
      <c r="M608">
        <v>1.3653021547635591E-3</v>
      </c>
      <c r="N608">
        <v>0.1429942899540001</v>
      </c>
      <c r="O608">
        <v>1.7953223069130501E-2</v>
      </c>
      <c r="P608">
        <v>2.0010861811885626E-2</v>
      </c>
      <c r="Q608">
        <v>2.2076997816401827E-3</v>
      </c>
      <c r="R608">
        <v>1.3569223038620919E-3</v>
      </c>
      <c r="S608">
        <v>0.15380338427528889</v>
      </c>
      <c r="T608">
        <v>1.0702541888463173</v>
      </c>
      <c r="U608">
        <v>2.3709269844231853E-2</v>
      </c>
      <c r="V608">
        <v>0.20593799875041158</v>
      </c>
      <c r="W608">
        <v>8.4748290401133741E-2</v>
      </c>
      <c r="X608">
        <v>1.6943808982968232E-2</v>
      </c>
      <c r="Y608">
        <v>3.6930952017953638E-3</v>
      </c>
    </row>
    <row r="609" spans="1:25" x14ac:dyDescent="0.25">
      <c r="A609" s="827"/>
      <c r="B609" s="1066">
        <v>359</v>
      </c>
      <c r="C609" s="831">
        <v>0.97769684218616715</v>
      </c>
      <c r="D609" s="831">
        <v>1.0184529954218284</v>
      </c>
      <c r="E609" s="831">
        <v>1.0284519028818953</v>
      </c>
      <c r="F609" s="831">
        <v>0.99750550313847508</v>
      </c>
      <c r="G609" s="831">
        <v>0.98526209277221311</v>
      </c>
      <c r="H609" s="831">
        <v>0.99752724602493015</v>
      </c>
      <c r="I609" s="831">
        <v>1.008275218828534</v>
      </c>
      <c r="K609">
        <v>1.7480699454360378</v>
      </c>
      <c r="L609">
        <v>0</v>
      </c>
      <c r="M609">
        <v>1.3203005486015691E-3</v>
      </c>
      <c r="N609">
        <v>0.14529112059642219</v>
      </c>
      <c r="O609">
        <v>1.8092739320790811E-2</v>
      </c>
      <c r="P609">
        <v>2.0274843286913417E-2</v>
      </c>
      <c r="Q609">
        <v>2.2597079842049893E-3</v>
      </c>
      <c r="R609">
        <v>1.3121374962020258E-3</v>
      </c>
      <c r="S609">
        <v>0.15614244495743543</v>
      </c>
      <c r="T609">
        <v>1.0688526051750242</v>
      </c>
      <c r="U609">
        <v>2.3854559912613715E-2</v>
      </c>
      <c r="V609">
        <v>0.20693189450910501</v>
      </c>
      <c r="W609">
        <v>8.518898706818287E-2</v>
      </c>
      <c r="X609">
        <v>1.7617999959092266E-2</v>
      </c>
      <c r="Y609">
        <v>3.5712057186525403E-3</v>
      </c>
    </row>
    <row r="610" spans="1:25" x14ac:dyDescent="0.25">
      <c r="A610" s="827"/>
      <c r="B610" s="1066">
        <v>360</v>
      </c>
      <c r="C610" s="831">
        <v>1.0266676081053772</v>
      </c>
      <c r="D610" s="831">
        <v>0.96173822756038363</v>
      </c>
      <c r="E610" s="831">
        <v>1.0177188769301457</v>
      </c>
      <c r="F610" s="831">
        <v>0.98231298740058015</v>
      </c>
      <c r="G610" s="831">
        <v>1.0114489280610579</v>
      </c>
      <c r="H610" s="831">
        <v>0.99457749151681785</v>
      </c>
      <c r="I610" s="831">
        <v>0.98031454786143957</v>
      </c>
      <c r="K610">
        <v>1.7304301809271228</v>
      </c>
      <c r="L610">
        <v>0</v>
      </c>
      <c r="M610">
        <v>1.3160875760077561E-3</v>
      </c>
      <c r="N610">
        <v>0.1400808239563443</v>
      </c>
      <c r="O610">
        <v>1.7683334899335486E-2</v>
      </c>
      <c r="P610">
        <v>1.9999266098408602E-2</v>
      </c>
      <c r="Q610">
        <v>2.1748779310363157E-3</v>
      </c>
      <c r="R610">
        <v>1.3079646555860535E-3</v>
      </c>
      <c r="S610">
        <v>0.14784955510199849</v>
      </c>
      <c r="T610">
        <v>1.0697956625184204</v>
      </c>
      <c r="U610">
        <v>2.2716727121977486E-2</v>
      </c>
      <c r="V610">
        <v>0.20695188919720511</v>
      </c>
      <c r="W610">
        <v>8.2729745790211168E-2</v>
      </c>
      <c r="X610">
        <v>1.6896572610534434E-2</v>
      </c>
      <c r="Y610">
        <v>3.5598486220724036E-3</v>
      </c>
    </row>
    <row r="611" spans="1:25" x14ac:dyDescent="0.25">
      <c r="A611" s="827"/>
      <c r="B611" s="1066">
        <v>361</v>
      </c>
      <c r="C611" s="831">
        <v>0.99705196229698334</v>
      </c>
      <c r="D611" s="831">
        <v>0.99246346289010534</v>
      </c>
      <c r="E611" s="831">
        <v>1.0039586855141893</v>
      </c>
      <c r="F611" s="831">
        <v>0.97479194088000198</v>
      </c>
      <c r="G611" s="831">
        <v>1.0307213087752647</v>
      </c>
      <c r="H611" s="831">
        <v>0.99662506560209907</v>
      </c>
      <c r="I611" s="831">
        <v>0.97752069725099888</v>
      </c>
      <c r="K611">
        <v>1.7361617763305826</v>
      </c>
      <c r="L611">
        <v>0</v>
      </c>
      <c r="M611">
        <v>1.3781593512126572E-3</v>
      </c>
      <c r="N611">
        <v>0.14054483031662329</v>
      </c>
      <c r="O611">
        <v>1.7950342372025724E-2</v>
      </c>
      <c r="P611">
        <v>1.9855299005780383E-2</v>
      </c>
      <c r="Q611">
        <v>2.1832620323167674E-3</v>
      </c>
      <c r="R611">
        <v>1.3696487511167684E-3</v>
      </c>
      <c r="S611">
        <v>0.14997785890197349</v>
      </c>
      <c r="T611">
        <v>1.0710110818477852</v>
      </c>
      <c r="U611">
        <v>2.3391486883565533E-2</v>
      </c>
      <c r="V611">
        <v>0.20720099522734664</v>
      </c>
      <c r="W611">
        <v>8.3783041685140433E-2</v>
      </c>
      <c r="X611">
        <v>1.6544356262170507E-2</v>
      </c>
      <c r="Y611">
        <v>3.7277323959503828E-3</v>
      </c>
    </row>
    <row r="612" spans="1:25" x14ac:dyDescent="0.25">
      <c r="A612" s="827"/>
      <c r="B612" s="1066">
        <v>362</v>
      </c>
      <c r="C612" s="831">
        <v>0.98666559714978208</v>
      </c>
      <c r="D612" s="831">
        <v>1.0059367092120819</v>
      </c>
      <c r="E612" s="831">
        <v>1.034545733339133</v>
      </c>
      <c r="F612" s="831">
        <v>0.98320719878002538</v>
      </c>
      <c r="G612" s="831">
        <v>1.0101386583657139</v>
      </c>
      <c r="H612" s="831">
        <v>0.99722574990135326</v>
      </c>
      <c r="I612" s="831">
        <v>1.0018431999740687</v>
      </c>
      <c r="K612">
        <v>1.7461190289939037</v>
      </c>
      <c r="L612">
        <v>0</v>
      </c>
      <c r="M612">
        <v>1.2983810519673928E-3</v>
      </c>
      <c r="N612">
        <v>0.14560784275194619</v>
      </c>
      <c r="O612">
        <v>1.8028835024992969E-2</v>
      </c>
      <c r="P612">
        <v>2.0333390820035328E-2</v>
      </c>
      <c r="Q612">
        <v>2.2630425022843377E-3</v>
      </c>
      <c r="R612">
        <v>1.290359128161504E-3</v>
      </c>
      <c r="S612">
        <v>0.15450423835954252</v>
      </c>
      <c r="T612">
        <v>1.0683191150302558</v>
      </c>
      <c r="U612">
        <v>2.3637722816804239E-2</v>
      </c>
      <c r="V612">
        <v>0.20708291701640369</v>
      </c>
      <c r="W612">
        <v>8.5027128680360692E-2</v>
      </c>
      <c r="X612">
        <v>1.781088573499973E-2</v>
      </c>
      <c r="Y612">
        <v>3.5119321800833347E-3</v>
      </c>
    </row>
    <row r="613" spans="1:25" x14ac:dyDescent="0.25">
      <c r="A613" s="827"/>
      <c r="B613" s="1066">
        <v>363</v>
      </c>
      <c r="C613" s="831">
        <v>1.0463629171617115</v>
      </c>
      <c r="D613" s="831">
        <v>1.0202298386164037</v>
      </c>
      <c r="E613" s="831">
        <v>0.99436129788287153</v>
      </c>
      <c r="F613" s="831">
        <v>1.0025198772302153</v>
      </c>
      <c r="G613" s="831">
        <v>0.98999614313003448</v>
      </c>
      <c r="H613" s="831">
        <v>0.99755088175009599</v>
      </c>
      <c r="I613" s="831">
        <v>1.0218440826513706</v>
      </c>
      <c r="K613">
        <v>1.7090201985929681</v>
      </c>
      <c r="L613">
        <v>0</v>
      </c>
      <c r="M613">
        <v>1.3246361867234758E-3</v>
      </c>
      <c r="N613">
        <v>0.13111135481562186</v>
      </c>
      <c r="O613">
        <v>1.6892116229379837E-2</v>
      </c>
      <c r="P613">
        <v>1.9577396536773095E-2</v>
      </c>
      <c r="Q613">
        <v>2.0394103782439849E-3</v>
      </c>
      <c r="R613">
        <v>1.3164453710435586E-3</v>
      </c>
      <c r="S613">
        <v>0.14775414296498707</v>
      </c>
      <c r="T613">
        <v>1.0718630412016203</v>
      </c>
      <c r="U613">
        <v>2.2289138420124987E-2</v>
      </c>
      <c r="V613">
        <v>0.19966231277792235</v>
      </c>
      <c r="W613">
        <v>7.8674721308818654E-2</v>
      </c>
      <c r="X613">
        <v>1.5581824441275394E-2</v>
      </c>
      <c r="Y613">
        <v>3.582930333880633E-3</v>
      </c>
    </row>
    <row r="614" spans="1:25" x14ac:dyDescent="0.25">
      <c r="A614" s="827"/>
      <c r="B614" s="1066">
        <v>364</v>
      </c>
      <c r="C614" s="831">
        <v>1.0295893009147259</v>
      </c>
      <c r="D614" s="831">
        <v>1.0207403564702857</v>
      </c>
      <c r="E614" s="831">
        <v>0.98532653713469964</v>
      </c>
      <c r="F614" s="831">
        <v>1.0243418624816014</v>
      </c>
      <c r="G614" s="831">
        <v>1.0111638982529727</v>
      </c>
      <c r="H614" s="831">
        <v>1.0035121620471932</v>
      </c>
      <c r="I614" s="831">
        <v>0.99706837269120285</v>
      </c>
      <c r="K614">
        <v>1.7143148942001212</v>
      </c>
      <c r="L614">
        <v>0</v>
      </c>
      <c r="M614">
        <v>1.3799219176628809E-3</v>
      </c>
      <c r="N614">
        <v>0.13279989850454452</v>
      </c>
      <c r="O614">
        <v>1.7163434664570976E-2</v>
      </c>
      <c r="P614">
        <v>1.9470540758316779E-2</v>
      </c>
      <c r="Q614">
        <v>2.0534117660995824E-3</v>
      </c>
      <c r="R614">
        <v>1.3714395913206915E-3</v>
      </c>
      <c r="S614">
        <v>0.14690071126048726</v>
      </c>
      <c r="T614">
        <v>1.0726682293622407</v>
      </c>
      <c r="U614">
        <v>2.2652263264179746E-2</v>
      </c>
      <c r="V614">
        <v>0.20126767629781223</v>
      </c>
      <c r="W614">
        <v>8.0185636249157047E-2</v>
      </c>
      <c r="X614">
        <v>1.5428967926419752E-2</v>
      </c>
      <c r="Y614">
        <v>3.732606472635147E-3</v>
      </c>
    </row>
    <row r="615" spans="1:25" x14ac:dyDescent="0.25">
      <c r="A615" s="827"/>
      <c r="B615" s="1066">
        <v>365</v>
      </c>
      <c r="C615" s="831">
        <v>0.99950627138617165</v>
      </c>
      <c r="D615" s="831">
        <v>0.97671653873655584</v>
      </c>
      <c r="E615" s="831">
        <v>0.97557476108757735</v>
      </c>
      <c r="F615" s="831">
        <v>1.0106207565618981</v>
      </c>
      <c r="G615" s="831">
        <v>1.0306414567444344</v>
      </c>
      <c r="H615" s="831">
        <v>1.000503200422999</v>
      </c>
      <c r="I615" s="831">
        <v>0.99641983746539986</v>
      </c>
      <c r="K615">
        <v>1.7398475666159134</v>
      </c>
      <c r="L615">
        <v>0</v>
      </c>
      <c r="M615">
        <v>1.4756560809461368E-3</v>
      </c>
      <c r="N615">
        <v>0.1377637207275062</v>
      </c>
      <c r="O615">
        <v>1.8036699994923314E-2</v>
      </c>
      <c r="P615">
        <v>1.9536015172815904E-2</v>
      </c>
      <c r="Q615">
        <v>2.1288968088575585E-3</v>
      </c>
      <c r="R615">
        <v>1.4665906459258749E-3</v>
      </c>
      <c r="S615">
        <v>0.15380031627549556</v>
      </c>
      <c r="T615">
        <v>1.0735407647242727</v>
      </c>
      <c r="U615">
        <v>2.3334048585766445E-2</v>
      </c>
      <c r="V615">
        <v>0.20842548773024483</v>
      </c>
      <c r="W615">
        <v>8.3747432736476612E-2</v>
      </c>
      <c r="X615">
        <v>1.5551673017839026E-2</v>
      </c>
      <c r="Y615">
        <v>3.9915762767337342E-3</v>
      </c>
    </row>
    <row r="616" spans="1:25" x14ac:dyDescent="0.25">
      <c r="A616" s="827"/>
      <c r="B616" s="1066">
        <v>366</v>
      </c>
      <c r="C616" s="831">
        <v>1.0087724098093245</v>
      </c>
      <c r="D616" s="831">
        <v>0.99608655464749063</v>
      </c>
      <c r="E616" s="831">
        <v>0.99672013733969944</v>
      </c>
      <c r="F616" s="831">
        <v>1.0199433476127695</v>
      </c>
      <c r="G616" s="831">
        <v>0.97558214192860948</v>
      </c>
      <c r="H616" s="831">
        <v>0.97724669834815825</v>
      </c>
      <c r="I616" s="831">
        <v>0.98726793787251121</v>
      </c>
      <c r="K616">
        <v>1.7235787427996945</v>
      </c>
      <c r="L616">
        <v>0</v>
      </c>
      <c r="M616">
        <v>1.3539436717032588E-3</v>
      </c>
      <c r="N616">
        <v>0.13498380516529043</v>
      </c>
      <c r="O616">
        <v>1.7712505900590009E-2</v>
      </c>
      <c r="P616">
        <v>1.9706377925481442E-2</v>
      </c>
      <c r="Q616">
        <v>2.1393601548133669E-3</v>
      </c>
      <c r="R616">
        <v>1.3454142760756021E-3</v>
      </c>
      <c r="S616">
        <v>0.1481231369534583</v>
      </c>
      <c r="T616">
        <v>1.0716533250886118</v>
      </c>
      <c r="U616">
        <v>2.3119712307270123E-2</v>
      </c>
      <c r="V616">
        <v>0.20560220943255839</v>
      </c>
      <c r="W616">
        <v>8.0867390594948255E-2</v>
      </c>
      <c r="X616">
        <v>1.6017674528517479E-2</v>
      </c>
      <c r="Y616">
        <v>3.6617741437808778E-3</v>
      </c>
    </row>
    <row r="617" spans="1:25" x14ac:dyDescent="0.25">
      <c r="A617" s="827"/>
      <c r="B617" s="1066">
        <v>367</v>
      </c>
      <c r="C617" s="831">
        <v>0.98579485327547256</v>
      </c>
      <c r="D617" s="831">
        <v>1.0086040054425074</v>
      </c>
      <c r="E617" s="831">
        <v>1.0071484677146305</v>
      </c>
      <c r="F617" s="831">
        <v>0.98795315773193049</v>
      </c>
      <c r="G617" s="831">
        <v>1.0002407286083885</v>
      </c>
      <c r="H617" s="831">
        <v>0.95548499288767563</v>
      </c>
      <c r="I617" s="831">
        <v>1.0007919755508565</v>
      </c>
      <c r="K617">
        <v>1.7291636781181559</v>
      </c>
      <c r="L617">
        <v>0</v>
      </c>
      <c r="M617">
        <v>1.3177501339440103E-3</v>
      </c>
      <c r="N617">
        <v>0.13568650742081134</v>
      </c>
      <c r="O617">
        <v>1.8023146962529182E-2</v>
      </c>
      <c r="P617">
        <v>1.9916380275183748E-2</v>
      </c>
      <c r="Q617">
        <v>2.2020446448626934E-3</v>
      </c>
      <c r="R617">
        <v>1.3092510449568147E-3</v>
      </c>
      <c r="S617">
        <v>0.15127862129104735</v>
      </c>
      <c r="T617">
        <v>1.0707286951579595</v>
      </c>
      <c r="U617">
        <v>2.3658601808287036E-2</v>
      </c>
      <c r="V617">
        <v>0.2069351874543634</v>
      </c>
      <c r="W617">
        <v>8.0711179602367317E-2</v>
      </c>
      <c r="X617">
        <v>1.6468462839851428E-2</v>
      </c>
      <c r="Y617">
        <v>3.5633497498814733E-3</v>
      </c>
    </row>
    <row r="618" spans="1:25" x14ac:dyDescent="0.25">
      <c r="A618" s="827"/>
      <c r="B618" s="1066">
        <v>368</v>
      </c>
      <c r="C618" s="831">
        <v>0.99209667645817079</v>
      </c>
      <c r="D618" s="831">
        <v>0.99575431988905794</v>
      </c>
      <c r="E618" s="831">
        <v>0.99222042993018256</v>
      </c>
      <c r="F618" s="831">
        <v>1.0160784540854451</v>
      </c>
      <c r="G618" s="831">
        <v>0.99357078013226174</v>
      </c>
      <c r="H618" s="831">
        <v>1.0178650982263129</v>
      </c>
      <c r="I618" s="831">
        <v>1.0175207173409382</v>
      </c>
      <c r="K618">
        <v>1.7493483128285463</v>
      </c>
      <c r="L618">
        <v>0</v>
      </c>
      <c r="M618">
        <v>1.44778230855954E-3</v>
      </c>
      <c r="N618">
        <v>0.14236788871707329</v>
      </c>
      <c r="O618">
        <v>1.8012950910559444E-2</v>
      </c>
      <c r="P618">
        <v>1.98128728357287E-2</v>
      </c>
      <c r="Q618">
        <v>2.1657409733432994E-3</v>
      </c>
      <c r="R618">
        <v>1.4390259590503793E-3</v>
      </c>
      <c r="S618">
        <v>0.158245936425293</v>
      </c>
      <c r="T618">
        <v>1.0720535598208256</v>
      </c>
      <c r="U618">
        <v>2.3508321771186325E-2</v>
      </c>
      <c r="V618">
        <v>0.20743266133393359</v>
      </c>
      <c r="W618">
        <v>8.5555144194906757E-2</v>
      </c>
      <c r="X618">
        <v>1.628543790944794E-2</v>
      </c>
      <c r="Y618">
        <v>3.9165542857552233E-3</v>
      </c>
    </row>
    <row r="619" spans="1:25" x14ac:dyDescent="0.25">
      <c r="A619" s="827"/>
      <c r="B619" s="1066">
        <v>369</v>
      </c>
      <c r="C619" s="831">
        <v>0.99517281429918958</v>
      </c>
      <c r="D619" s="831">
        <v>1.0040905695492035</v>
      </c>
      <c r="E619" s="831">
        <v>1.0259453693383827</v>
      </c>
      <c r="F619" s="831">
        <v>1.022809671469689</v>
      </c>
      <c r="G619" s="831">
        <v>1.0388542986331422</v>
      </c>
      <c r="H619" s="831">
        <v>1.0022294941796726</v>
      </c>
      <c r="I619" s="831">
        <v>1.0299605136085654</v>
      </c>
      <c r="K619">
        <v>1.7467172526641701</v>
      </c>
      <c r="L619">
        <v>0</v>
      </c>
      <c r="M619">
        <v>1.3185907591090615E-3</v>
      </c>
      <c r="N619">
        <v>0.14398332569483935</v>
      </c>
      <c r="O619">
        <v>1.7889586197619878E-2</v>
      </c>
      <c r="P619">
        <v>2.0252140277018216E-2</v>
      </c>
      <c r="Q619">
        <v>2.2262182995500179E-3</v>
      </c>
      <c r="R619">
        <v>1.3104858550785474E-3</v>
      </c>
      <c r="S619">
        <v>0.15797377816196151</v>
      </c>
      <c r="T619">
        <v>1.0690724509371401</v>
      </c>
      <c r="U619">
        <v>2.343565616262051E-2</v>
      </c>
      <c r="V619">
        <v>0.20632657758928225</v>
      </c>
      <c r="W619">
        <v>8.4564379929397485E-2</v>
      </c>
      <c r="X619">
        <v>1.7434533822791511E-2</v>
      </c>
      <c r="Y619">
        <v>3.566710495977783E-3</v>
      </c>
    </row>
    <row r="620" spans="1:25" x14ac:dyDescent="0.25">
      <c r="A620" s="827"/>
      <c r="B620" s="1066">
        <v>370</v>
      </c>
      <c r="C620" s="831">
        <v>1.000971581833475</v>
      </c>
      <c r="D620" s="831">
        <v>0.98406199295071128</v>
      </c>
      <c r="E620" s="831">
        <v>1.0011470158810358</v>
      </c>
      <c r="F620" s="831">
        <v>1.004649420298011</v>
      </c>
      <c r="G620" s="831">
        <v>0.97144215502791997</v>
      </c>
      <c r="H620" s="831">
        <v>0.97658221802054201</v>
      </c>
      <c r="I620" s="831">
        <v>0.9882403708839802</v>
      </c>
      <c r="K620">
        <v>1.73150462818579</v>
      </c>
      <c r="L620">
        <v>0</v>
      </c>
      <c r="M620">
        <v>1.3583693609833746E-3</v>
      </c>
      <c r="N620">
        <v>0.1373035009872598</v>
      </c>
      <c r="O620">
        <v>1.7949133703653797E-2</v>
      </c>
      <c r="P620">
        <v>1.982301589439444E-2</v>
      </c>
      <c r="Q620">
        <v>2.17543634895228E-3</v>
      </c>
      <c r="R620">
        <v>1.3498147761193068E-3</v>
      </c>
      <c r="S620">
        <v>0.15013258358515083</v>
      </c>
      <c r="T620">
        <v>1.0712603134973147</v>
      </c>
      <c r="U620">
        <v>2.3299890148313098E-2</v>
      </c>
      <c r="V620">
        <v>0.20756540282236685</v>
      </c>
      <c r="W620">
        <v>8.2008126968021011E-2</v>
      </c>
      <c r="X620">
        <v>1.6322027960951693E-2</v>
      </c>
      <c r="Y620">
        <v>3.6737508542753934E-3</v>
      </c>
    </row>
    <row r="621" spans="1:25" x14ac:dyDescent="0.25">
      <c r="A621" s="827"/>
      <c r="B621" s="1066">
        <v>371</v>
      </c>
      <c r="C621" s="831">
        <v>1.026497427243984</v>
      </c>
      <c r="D621" s="831">
        <v>1.0115340007050575</v>
      </c>
      <c r="E621" s="831">
        <v>1.0288122116892435</v>
      </c>
      <c r="F621" s="831">
        <v>0.98274579319862765</v>
      </c>
      <c r="G621" s="831">
        <v>0.96300055812881014</v>
      </c>
      <c r="H621" s="831">
        <v>1.0207267955179575</v>
      </c>
      <c r="I621" s="831">
        <v>1.0340403408949042</v>
      </c>
      <c r="K621">
        <v>1.7343312280668661</v>
      </c>
      <c r="L621">
        <v>0</v>
      </c>
      <c r="M621">
        <v>1.2897635726745646E-3</v>
      </c>
      <c r="N621">
        <v>0.14211012826076946</v>
      </c>
      <c r="O621">
        <v>1.7285794031967443E-2</v>
      </c>
      <c r="P621">
        <v>2.0179210941991883E-2</v>
      </c>
      <c r="Q621">
        <v>2.1584966955951403E-3</v>
      </c>
      <c r="R621">
        <v>1.2819748569050924E-3</v>
      </c>
      <c r="S621">
        <v>0.15462005022215211</v>
      </c>
      <c r="T621">
        <v>1.0688210224079757</v>
      </c>
      <c r="U621">
        <v>2.2720493280651663E-2</v>
      </c>
      <c r="V621">
        <v>0.20237843906667993</v>
      </c>
      <c r="W621">
        <v>8.3303731041299636E-2</v>
      </c>
      <c r="X621">
        <v>1.7272537875955268E-2</v>
      </c>
      <c r="Y621">
        <v>3.4891129575976621E-3</v>
      </c>
    </row>
    <row r="622" spans="1:25" x14ac:dyDescent="0.25">
      <c r="A622" s="827"/>
      <c r="B622" s="1066">
        <v>372</v>
      </c>
      <c r="C622" s="831">
        <v>0.99104552311191862</v>
      </c>
      <c r="D622" s="831">
        <v>0.98024942495104117</v>
      </c>
      <c r="E622" s="831">
        <v>1.014498923620573</v>
      </c>
      <c r="F622" s="831">
        <v>0.99050988807080498</v>
      </c>
      <c r="G622" s="831">
        <v>1.0065886780123976</v>
      </c>
      <c r="H622" s="831">
        <v>0.96223149499115801</v>
      </c>
      <c r="I622" s="831">
        <v>0.98665220290661859</v>
      </c>
      <c r="K622">
        <v>1.7348898065935425</v>
      </c>
      <c r="L622">
        <v>0</v>
      </c>
      <c r="M622">
        <v>1.3166032080070415E-3</v>
      </c>
      <c r="N622">
        <v>0.13871017267079513</v>
      </c>
      <c r="O622">
        <v>1.8160880425859987E-2</v>
      </c>
      <c r="P622">
        <v>2.0033678513308215E-2</v>
      </c>
      <c r="Q622">
        <v>2.2299946541405455E-3</v>
      </c>
      <c r="R622">
        <v>1.3081906794502663E-3</v>
      </c>
      <c r="S622">
        <v>0.15060210083783154</v>
      </c>
      <c r="T622">
        <v>1.0700794347272387</v>
      </c>
      <c r="U622">
        <v>2.3533255894310066E-2</v>
      </c>
      <c r="V622">
        <v>0.20902380010007529</v>
      </c>
      <c r="W622">
        <v>8.2098927607183916E-2</v>
      </c>
      <c r="X622">
        <v>1.6865509906834022E-2</v>
      </c>
      <c r="Y622">
        <v>3.5604637845220448E-3</v>
      </c>
    </row>
    <row r="623" spans="1:25" x14ac:dyDescent="0.25">
      <c r="A623" s="827"/>
      <c r="B623" s="1066">
        <v>373</v>
      </c>
      <c r="C623" s="831">
        <v>1.0045158619873984</v>
      </c>
      <c r="D623" s="831">
        <v>1.0210393222060288</v>
      </c>
      <c r="E623" s="831">
        <v>0.99022861446905741</v>
      </c>
      <c r="F623" s="831">
        <v>1.0062641186234396</v>
      </c>
      <c r="G623" s="831">
        <v>0.98521730943727759</v>
      </c>
      <c r="H623" s="831">
        <v>1.003010133310829</v>
      </c>
      <c r="I623" s="831">
        <v>0.98267221783629743</v>
      </c>
      <c r="K623">
        <v>1.7254897778794671</v>
      </c>
      <c r="L623">
        <v>0</v>
      </c>
      <c r="M623">
        <v>1.3989820560179806E-3</v>
      </c>
      <c r="N623">
        <v>0.1367046708478836</v>
      </c>
      <c r="O623">
        <v>1.7589518605995332E-2</v>
      </c>
      <c r="P623">
        <v>1.9598345218229132E-2</v>
      </c>
      <c r="Q623">
        <v>2.114903869991267E-3</v>
      </c>
      <c r="R623">
        <v>1.3903780604920121E-3</v>
      </c>
      <c r="S623">
        <v>0.14834056863801712</v>
      </c>
      <c r="T623">
        <v>1.0722309691549268</v>
      </c>
      <c r="U623">
        <v>2.3217680059486996E-2</v>
      </c>
      <c r="V623">
        <v>0.20380671781088797</v>
      </c>
      <c r="W623">
        <v>8.2264596336750082E-2</v>
      </c>
      <c r="X623">
        <v>1.584626059016718E-2</v>
      </c>
      <c r="Y623">
        <v>3.7841507426547979E-3</v>
      </c>
    </row>
    <row r="624" spans="1:25" x14ac:dyDescent="0.25">
      <c r="A624" s="827"/>
      <c r="B624" s="1066">
        <v>374</v>
      </c>
      <c r="C624" s="831">
        <v>1.0072274305580633</v>
      </c>
      <c r="D624" s="831">
        <v>0.99546704533230068</v>
      </c>
      <c r="E624" s="831">
        <v>1.0080487742119304</v>
      </c>
      <c r="F624" s="831">
        <v>1.02811470389061</v>
      </c>
      <c r="G624" s="831">
        <v>1.019779546934543</v>
      </c>
      <c r="H624" s="831">
        <v>1.0088968840087789</v>
      </c>
      <c r="I624" s="831">
        <v>0.98697610122179624</v>
      </c>
      <c r="K624">
        <v>1.7355526240020984</v>
      </c>
      <c r="L624">
        <v>0</v>
      </c>
      <c r="M624">
        <v>1.367307549227766E-3</v>
      </c>
      <c r="N624">
        <v>0.14123347179104193</v>
      </c>
      <c r="O624">
        <v>1.774467733989275E-2</v>
      </c>
      <c r="P624">
        <v>1.9896753895895552E-2</v>
      </c>
      <c r="Q624">
        <v>2.1676479110894604E-3</v>
      </c>
      <c r="R624">
        <v>1.3589646068531765E-3</v>
      </c>
      <c r="S624">
        <v>0.15057574700877138</v>
      </c>
      <c r="T624">
        <v>1.0706490619382814</v>
      </c>
      <c r="U624">
        <v>2.3155175475494297E-2</v>
      </c>
      <c r="V624">
        <v>0.205823197679357</v>
      </c>
      <c r="W624">
        <v>8.3959248586405855E-2</v>
      </c>
      <c r="X624">
        <v>1.665733164094978E-2</v>
      </c>
      <c r="Y624">
        <v>3.6986536772920958E-3</v>
      </c>
    </row>
    <row r="625" spans="1:25" x14ac:dyDescent="0.25">
      <c r="A625" s="827"/>
      <c r="B625" s="1066">
        <v>375</v>
      </c>
      <c r="C625" s="831">
        <v>1.0104271555082447</v>
      </c>
      <c r="D625" s="831">
        <v>1.0194863817156155</v>
      </c>
      <c r="E625" s="831">
        <v>0.96861694673105403</v>
      </c>
      <c r="F625" s="831">
        <v>0.98677413222419974</v>
      </c>
      <c r="G625" s="831">
        <v>1.0192133706536466</v>
      </c>
      <c r="H625" s="831">
        <v>1.0114107908793821</v>
      </c>
      <c r="I625" s="831">
        <v>1.013980057387766</v>
      </c>
      <c r="K625">
        <v>1.727498170839463</v>
      </c>
      <c r="L625">
        <v>0</v>
      </c>
      <c r="M625">
        <v>1.4685429018479756E-3</v>
      </c>
      <c r="N625">
        <v>0.13416386473878922</v>
      </c>
      <c r="O625">
        <v>1.7498646817292011E-2</v>
      </c>
      <c r="P625">
        <v>1.9356825757366247E-2</v>
      </c>
      <c r="Q625">
        <v>2.0579965702791528E-3</v>
      </c>
      <c r="R625">
        <v>1.4595872103026419E-3</v>
      </c>
      <c r="S625">
        <v>0.15286709564852219</v>
      </c>
      <c r="T625">
        <v>1.0741654939973555</v>
      </c>
      <c r="U625">
        <v>2.3081849860390961E-2</v>
      </c>
      <c r="V625">
        <v>0.20332774446850016</v>
      </c>
      <c r="W625">
        <v>8.195597839918764E-2</v>
      </c>
      <c r="X625">
        <v>1.5059115039673854E-2</v>
      </c>
      <c r="Y625">
        <v>3.9725152336492287E-3</v>
      </c>
    </row>
    <row r="626" spans="1:25" x14ac:dyDescent="0.25">
      <c r="A626" s="827"/>
      <c r="B626" s="1066">
        <v>376</v>
      </c>
      <c r="C626" s="831">
        <v>0.95580727297874624</v>
      </c>
      <c r="D626" s="831">
        <v>0.96719961107623931</v>
      </c>
      <c r="E626" s="831">
        <v>0.96709892415535181</v>
      </c>
      <c r="F626" s="831">
        <v>0.97697902858913532</v>
      </c>
      <c r="G626" s="831">
        <v>1.0023810532954274</v>
      </c>
      <c r="H626" s="831">
        <v>1.0278992279433579</v>
      </c>
      <c r="I626" s="831">
        <v>1.0115014216021865</v>
      </c>
      <c r="K626">
        <v>1.7778130431894674</v>
      </c>
      <c r="L626">
        <v>0</v>
      </c>
      <c r="M626">
        <v>1.6209881699343696E-3</v>
      </c>
      <c r="N626">
        <v>0.14740995687324504</v>
      </c>
      <c r="O626">
        <v>1.8945451975829322E-2</v>
      </c>
      <c r="P626">
        <v>1.9676637265488878E-2</v>
      </c>
      <c r="Q626">
        <v>2.215078595867189E-3</v>
      </c>
      <c r="R626">
        <v>1.6113031710608171E-3</v>
      </c>
      <c r="S626">
        <v>0.16604656973008439</v>
      </c>
      <c r="T626">
        <v>1.0743020355584405</v>
      </c>
      <c r="U626">
        <v>2.44008688337547E-2</v>
      </c>
      <c r="V626">
        <v>0.2144113009395863</v>
      </c>
      <c r="W626">
        <v>9.0143264463141845E-2</v>
      </c>
      <c r="X626">
        <v>1.5886127887223735E-2</v>
      </c>
      <c r="Y626">
        <v>4.3854360656799566E-3</v>
      </c>
    </row>
    <row r="627" spans="1:25" x14ac:dyDescent="0.25">
      <c r="A627" s="827"/>
      <c r="B627" s="1066">
        <v>377</v>
      </c>
      <c r="C627" s="831">
        <v>1.0036588618844582</v>
      </c>
      <c r="D627" s="831">
        <v>0.96790534558277053</v>
      </c>
      <c r="E627" s="831">
        <v>0.96731748714791532</v>
      </c>
      <c r="F627" s="831">
        <v>1.0140969585926576</v>
      </c>
      <c r="G627" s="831">
        <v>1.0201684998161604</v>
      </c>
      <c r="H627" s="831">
        <v>1.0293045816152817</v>
      </c>
      <c r="I627" s="831">
        <v>0.96722132428042018</v>
      </c>
      <c r="K627">
        <v>1.743182097780235</v>
      </c>
      <c r="L627">
        <v>0</v>
      </c>
      <c r="M627">
        <v>1.5445951652645847E-3</v>
      </c>
      <c r="N627">
        <v>0.14055978339589104</v>
      </c>
      <c r="O627">
        <v>1.8036203568313789E-2</v>
      </c>
      <c r="P627">
        <v>1.9392952909528801E-2</v>
      </c>
      <c r="Q627">
        <v>2.1093706120052049E-3</v>
      </c>
      <c r="R627">
        <v>1.5353786383186148E-3</v>
      </c>
      <c r="S627">
        <v>0.1512602096471781</v>
      </c>
      <c r="T627">
        <v>1.0742823711566218</v>
      </c>
      <c r="U627">
        <v>2.3237505076688168E-2</v>
      </c>
      <c r="V627">
        <v>0.20882628979011525</v>
      </c>
      <c r="W627">
        <v>8.5941134395444346E-2</v>
      </c>
      <c r="X627">
        <v>1.5366699239322988E-2</v>
      </c>
      <c r="Y627">
        <v>4.1787945160711749E-3</v>
      </c>
    </row>
    <row r="628" spans="1:25" x14ac:dyDescent="0.25">
      <c r="A628" s="827"/>
      <c r="B628" s="1066">
        <v>378</v>
      </c>
      <c r="C628" s="831">
        <v>1.0051175804742092</v>
      </c>
      <c r="D628" s="831">
        <v>0.99778680406723463</v>
      </c>
      <c r="E628" s="831">
        <v>1.0127054423354989</v>
      </c>
      <c r="F628" s="831">
        <v>1.0001538640056638</v>
      </c>
      <c r="G628" s="831">
        <v>1.0168349988144771</v>
      </c>
      <c r="H628" s="831">
        <v>1.0260534126267424</v>
      </c>
      <c r="I628" s="831">
        <v>1.0078767290976767</v>
      </c>
      <c r="K628">
        <v>1.7451969411691313</v>
      </c>
      <c r="L628">
        <v>0</v>
      </c>
      <c r="M628">
        <v>1.3784047486857635E-3</v>
      </c>
      <c r="N628">
        <v>0.14447051991314402</v>
      </c>
      <c r="O628">
        <v>1.7763179802814062E-2</v>
      </c>
      <c r="P628">
        <v>2.0023917624991387E-2</v>
      </c>
      <c r="Q628">
        <v>2.1804471957170722E-3</v>
      </c>
      <c r="R628">
        <v>1.3701331566654507E-3</v>
      </c>
      <c r="S628">
        <v>0.15517446122970135</v>
      </c>
      <c r="T628">
        <v>1.0702376631299941</v>
      </c>
      <c r="U628">
        <v>2.3203780683350241E-2</v>
      </c>
      <c r="V628">
        <v>0.20583587686679644</v>
      </c>
      <c r="W628">
        <v>8.5612333361712187E-2</v>
      </c>
      <c r="X628">
        <v>1.6973982164759534E-2</v>
      </c>
      <c r="Y628">
        <v>3.7290507881696487E-3</v>
      </c>
    </row>
    <row r="629" spans="1:25" x14ac:dyDescent="0.25">
      <c r="A629" s="827"/>
      <c r="B629" s="1066">
        <v>379</v>
      </c>
      <c r="C629" s="831">
        <v>0.98356433099389906</v>
      </c>
      <c r="D629" s="831">
        <v>1.0238975678100362</v>
      </c>
      <c r="E629" s="831">
        <v>1.0396199392194436</v>
      </c>
      <c r="F629" s="831">
        <v>0.98579729988645715</v>
      </c>
      <c r="G629" s="831">
        <v>0.99405180938856474</v>
      </c>
      <c r="H629" s="831">
        <v>0.95616709800404709</v>
      </c>
      <c r="I629" s="831">
        <v>1.0144181059285791</v>
      </c>
      <c r="K629">
        <v>1.7325375051735523</v>
      </c>
      <c r="L629">
        <v>0</v>
      </c>
      <c r="M629">
        <v>1.225663727991854E-3</v>
      </c>
      <c r="N629">
        <v>0.13959540446159399</v>
      </c>
      <c r="O629">
        <v>1.7941530862477649E-2</v>
      </c>
      <c r="P629">
        <v>2.0360593997023422E-2</v>
      </c>
      <c r="Q629">
        <v>2.266626615643124E-3</v>
      </c>
      <c r="R629">
        <v>1.2177545994725247E-3</v>
      </c>
      <c r="S629">
        <v>0.15278245651375288</v>
      </c>
      <c r="T629">
        <v>1.0678759645077127</v>
      </c>
      <c r="U629">
        <v>2.3712254667405026E-2</v>
      </c>
      <c r="V629">
        <v>0.20579595410081922</v>
      </c>
      <c r="W629">
        <v>8.124082957847234E-2</v>
      </c>
      <c r="X629">
        <v>1.7659472410101448E-2</v>
      </c>
      <c r="Y629">
        <v>3.3143265870683842E-3</v>
      </c>
    </row>
    <row r="630" spans="1:25" x14ac:dyDescent="0.25">
      <c r="A630" s="827"/>
      <c r="B630" s="1066">
        <v>380</v>
      </c>
      <c r="C630" s="831">
        <v>0.99029546766639154</v>
      </c>
      <c r="D630" s="831">
        <v>1.0256125629934081</v>
      </c>
      <c r="E630" s="831">
        <v>1.0086112781827019</v>
      </c>
      <c r="F630" s="831">
        <v>0.99433218806654367</v>
      </c>
      <c r="G630" s="831">
        <v>0.98782519037984817</v>
      </c>
      <c r="H630" s="831">
        <v>1.0039814179405775</v>
      </c>
      <c r="I630" s="831">
        <v>0.97397724581554446</v>
      </c>
      <c r="K630">
        <v>1.7331718354400025</v>
      </c>
      <c r="L630">
        <v>0</v>
      </c>
      <c r="M630">
        <v>1.363758850230271E-3</v>
      </c>
      <c r="N630">
        <v>0.14110714969980517</v>
      </c>
      <c r="O630">
        <v>1.7806115888960156E-2</v>
      </c>
      <c r="P630">
        <v>1.9874707801487059E-2</v>
      </c>
      <c r="Q630">
        <v>2.1816772211630405E-3</v>
      </c>
      <c r="R630">
        <v>1.3553765840564462E-3</v>
      </c>
      <c r="S630">
        <v>0.14893135447234146</v>
      </c>
      <c r="T630">
        <v>1.07059932332112</v>
      </c>
      <c r="U630">
        <v>2.3551080116787932E-2</v>
      </c>
      <c r="V630">
        <v>0.20491261197834257</v>
      </c>
      <c r="W630">
        <v>8.385206087064663E-2</v>
      </c>
      <c r="X630">
        <v>1.6675248073493271E-2</v>
      </c>
      <c r="Y630">
        <v>3.6888882620307924E-3</v>
      </c>
    </row>
    <row r="631" spans="1:25" x14ac:dyDescent="0.25">
      <c r="A631" s="827"/>
      <c r="B631" s="1066">
        <v>381</v>
      </c>
      <c r="C631" s="831">
        <v>0.97773356467136119</v>
      </c>
      <c r="D631" s="831">
        <v>0.96331988869496477</v>
      </c>
      <c r="E631" s="831">
        <v>0.99770971822310628</v>
      </c>
      <c r="F631" s="831">
        <v>1.028367010984772</v>
      </c>
      <c r="G631" s="831">
        <v>0.97738239968812257</v>
      </c>
      <c r="H631" s="831">
        <v>1.0128202371110646</v>
      </c>
      <c r="I631" s="831">
        <v>0.97703450511609991</v>
      </c>
      <c r="K631">
        <v>1.7596009707394304</v>
      </c>
      <c r="L631">
        <v>0</v>
      </c>
      <c r="M631">
        <v>1.4668491569825716E-3</v>
      </c>
      <c r="N631">
        <v>0.14672626479738515</v>
      </c>
      <c r="O631">
        <v>1.855447986309865E-2</v>
      </c>
      <c r="P631">
        <v>1.9926526588122401E-2</v>
      </c>
      <c r="Q631">
        <v>2.2370795664608048E-3</v>
      </c>
      <c r="R631">
        <v>1.4579575870072455E-3</v>
      </c>
      <c r="S631">
        <v>0.15595478860456755</v>
      </c>
      <c r="T631">
        <v>1.0715654074194858</v>
      </c>
      <c r="U631">
        <v>2.3853663964315725E-2</v>
      </c>
      <c r="V631">
        <v>0.21221134099987685</v>
      </c>
      <c r="W631">
        <v>8.7842560477894627E-2</v>
      </c>
      <c r="X631">
        <v>1.6769670091951374E-2</v>
      </c>
      <c r="Y631">
        <v>3.9680799362443349E-3</v>
      </c>
    </row>
    <row r="632" spans="1:25" x14ac:dyDescent="0.25">
      <c r="A632" s="827"/>
      <c r="B632" s="1066">
        <v>382</v>
      </c>
      <c r="C632" s="831">
        <v>1.0225935472879513</v>
      </c>
      <c r="D632" s="831">
        <v>0.98011124648964998</v>
      </c>
      <c r="E632" s="831">
        <v>0.97243498826558972</v>
      </c>
      <c r="F632" s="831">
        <v>0.99108939365926529</v>
      </c>
      <c r="G632" s="831">
        <v>1.0014104740645673</v>
      </c>
      <c r="H632" s="831">
        <v>1.0126137736460674</v>
      </c>
      <c r="I632" s="831">
        <v>0.96501044984550133</v>
      </c>
      <c r="K632">
        <v>1.7249609999342743</v>
      </c>
      <c r="L632">
        <v>0</v>
      </c>
      <c r="M632">
        <v>1.4671324080606776E-3</v>
      </c>
      <c r="N632">
        <v>0.13564379019350514</v>
      </c>
      <c r="O632">
        <v>1.7601725864223674E-2</v>
      </c>
      <c r="P632">
        <v>1.9347048328032541E-2</v>
      </c>
      <c r="Q632">
        <v>2.0715105949731085E-3</v>
      </c>
      <c r="R632">
        <v>1.4582245836169535E-3</v>
      </c>
      <c r="S632">
        <v>0.14620708382504938</v>
      </c>
      <c r="T632">
        <v>1.0738224543515367</v>
      </c>
      <c r="U632">
        <v>2.2807231631920138E-2</v>
      </c>
      <c r="V632">
        <v>0.20562934765806845</v>
      </c>
      <c r="W632">
        <v>8.2639318893634253E-2</v>
      </c>
      <c r="X632">
        <v>1.5231589804773248E-2</v>
      </c>
      <c r="Y632">
        <v>3.9688066130005497E-3</v>
      </c>
    </row>
    <row r="633" spans="1:25" x14ac:dyDescent="0.25">
      <c r="A633" s="827"/>
      <c r="B633" s="1066">
        <v>383</v>
      </c>
      <c r="C633" s="831">
        <v>1.0098442839913395</v>
      </c>
      <c r="D633" s="831">
        <v>1.0242261757634372</v>
      </c>
      <c r="E633" s="831">
        <v>1.033300802404036</v>
      </c>
      <c r="F633" s="831">
        <v>1.0347690327036776</v>
      </c>
      <c r="G633" s="831">
        <v>1.0223473096199069</v>
      </c>
      <c r="H633" s="831">
        <v>0.99965398735892197</v>
      </c>
      <c r="I633" s="831">
        <v>0.96574708925639818</v>
      </c>
      <c r="K633">
        <v>1.7235209302577887</v>
      </c>
      <c r="L633">
        <v>0</v>
      </c>
      <c r="M633">
        <v>1.2646897715042937E-3</v>
      </c>
      <c r="N633">
        <v>0.14128347887400136</v>
      </c>
      <c r="O633">
        <v>1.7472091954111306E-2</v>
      </c>
      <c r="P633">
        <v>2.0113028710990712E-2</v>
      </c>
      <c r="Q633">
        <v>2.1936782443646844E-3</v>
      </c>
      <c r="R633">
        <v>1.2568836266121334E-3</v>
      </c>
      <c r="S633">
        <v>0.14460142341645749</v>
      </c>
      <c r="T633">
        <v>1.0684279891387656</v>
      </c>
      <c r="U633">
        <v>2.3095172461760641E-2</v>
      </c>
      <c r="V633">
        <v>0.20297338643269844</v>
      </c>
      <c r="W633">
        <v>8.2570602362021128E-2</v>
      </c>
      <c r="X633">
        <v>1.7377061907446603E-2</v>
      </c>
      <c r="Y633">
        <v>3.4208229000620696E-3</v>
      </c>
    </row>
    <row r="634" spans="1:25" x14ac:dyDescent="0.25">
      <c r="A634" s="827"/>
      <c r="B634" s="1066">
        <v>384</v>
      </c>
      <c r="C634" s="831">
        <v>0.99415681398216527</v>
      </c>
      <c r="D634" s="831">
        <v>0.97978403255925361</v>
      </c>
      <c r="E634" s="831">
        <v>1.0031622424735183</v>
      </c>
      <c r="F634" s="831">
        <v>0.98666181963541466</v>
      </c>
      <c r="G634" s="831">
        <v>1.0002070256396975</v>
      </c>
      <c r="H634" s="831">
        <v>1.0045123786573511</v>
      </c>
      <c r="I634" s="831">
        <v>1.0315890694627141</v>
      </c>
      <c r="K634">
        <v>1.7522036447242859</v>
      </c>
      <c r="L634">
        <v>0</v>
      </c>
      <c r="M634">
        <v>1.4036066744204671E-3</v>
      </c>
      <c r="N634">
        <v>0.14279370272218753</v>
      </c>
      <c r="O634">
        <v>1.8107948531355028E-2</v>
      </c>
      <c r="P634">
        <v>2.0005764119417783E-2</v>
      </c>
      <c r="Q634">
        <v>2.1983367311550102E-3</v>
      </c>
      <c r="R634">
        <v>1.3950160573805625E-3</v>
      </c>
      <c r="S634">
        <v>0.16017819177858555</v>
      </c>
      <c r="T634">
        <v>1.0710816497406153</v>
      </c>
      <c r="U634">
        <v>2.345960674441604E-2</v>
      </c>
      <c r="V634">
        <v>0.20872058971064286</v>
      </c>
      <c r="W634">
        <v>8.5169949178026588E-2</v>
      </c>
      <c r="X634">
        <v>1.6699722243654291E-2</v>
      </c>
      <c r="Y634">
        <v>3.7967738412701675E-3</v>
      </c>
    </row>
    <row r="635" spans="1:25" x14ac:dyDescent="0.25">
      <c r="A635" s="827"/>
      <c r="B635" s="1066">
        <v>385</v>
      </c>
      <c r="C635" s="831">
        <v>1.013892322451778</v>
      </c>
      <c r="D635" s="831">
        <v>0.99714017579203296</v>
      </c>
      <c r="E635" s="831">
        <v>1.0371295936461316</v>
      </c>
      <c r="F635" s="831">
        <v>1.0353967904388748</v>
      </c>
      <c r="G635" s="831">
        <v>0.98820262555722571</v>
      </c>
      <c r="H635" s="831">
        <v>0.99813194610015088</v>
      </c>
      <c r="I635" s="831">
        <v>0.97251241858497384</v>
      </c>
      <c r="K635">
        <v>1.7296560505119483</v>
      </c>
      <c r="L635">
        <v>0</v>
      </c>
      <c r="M635">
        <v>1.2627703576934539E-3</v>
      </c>
      <c r="N635">
        <v>0.14275563695715959</v>
      </c>
      <c r="O635">
        <v>1.7614621401608979E-2</v>
      </c>
      <c r="P635">
        <v>2.0218056614663728E-2</v>
      </c>
      <c r="Q635">
        <v>2.2150924512772665E-3</v>
      </c>
      <c r="R635">
        <v>1.2549811054232884E-3</v>
      </c>
      <c r="S635">
        <v>0.14654880228800132</v>
      </c>
      <c r="T635">
        <v>1.0680933340795311</v>
      </c>
      <c r="U635">
        <v>2.3002963314590476E-2</v>
      </c>
      <c r="V635">
        <v>0.20496394335847806</v>
      </c>
      <c r="W635">
        <v>8.3217960529385168E-2</v>
      </c>
      <c r="X635">
        <v>1.7617783904968633E-2</v>
      </c>
      <c r="Y635">
        <v>3.4156448645519728E-3</v>
      </c>
    </row>
    <row r="636" spans="1:25" x14ac:dyDescent="0.25">
      <c r="A636" s="827"/>
      <c r="B636" s="1066">
        <v>386</v>
      </c>
      <c r="C636" s="831">
        <v>1.0185333028946226</v>
      </c>
      <c r="D636" s="831">
        <v>0.99363345104941714</v>
      </c>
      <c r="E636" s="831">
        <v>0.97047868355018296</v>
      </c>
      <c r="F636" s="831">
        <v>1.0061683569221056</v>
      </c>
      <c r="G636" s="831">
        <v>1.0056748240057869</v>
      </c>
      <c r="H636" s="831">
        <v>1.0130522008998166</v>
      </c>
      <c r="I636" s="831">
        <v>0.96975208618850339</v>
      </c>
      <c r="K636">
        <v>1.7240237653354034</v>
      </c>
      <c r="L636">
        <v>0</v>
      </c>
      <c r="M636">
        <v>1.470515416707075E-3</v>
      </c>
      <c r="N636">
        <v>0.13512929606685298</v>
      </c>
      <c r="O636">
        <v>1.7562378516862508E-2</v>
      </c>
      <c r="P636">
        <v>1.9317204705506189E-2</v>
      </c>
      <c r="Q636">
        <v>2.0650892292518376E-3</v>
      </c>
      <c r="R636">
        <v>1.4615808776663154E-3</v>
      </c>
      <c r="S636">
        <v>0.14670273221573071</v>
      </c>
      <c r="T636">
        <v>1.0739981542395964</v>
      </c>
      <c r="U636">
        <v>2.2898149556839879E-2</v>
      </c>
      <c r="V636">
        <v>0.20480147987519745</v>
      </c>
      <c r="W636">
        <v>8.2438373727398637E-2</v>
      </c>
      <c r="X636">
        <v>1.5141900402206263E-2</v>
      </c>
      <c r="Y636">
        <v>3.9779413390008764E-3</v>
      </c>
    </row>
    <row r="637" spans="1:25" x14ac:dyDescent="0.25">
      <c r="A637" s="827"/>
      <c r="B637" s="1066">
        <v>387</v>
      </c>
      <c r="C637" s="831">
        <v>0.99415541544887165</v>
      </c>
      <c r="D637" s="831">
        <v>0.98232436807175705</v>
      </c>
      <c r="E637" s="831">
        <v>0.99022189279980866</v>
      </c>
      <c r="F637" s="831">
        <v>0.97793385447802594</v>
      </c>
      <c r="G637" s="831">
        <v>1.029018548173918</v>
      </c>
      <c r="H637" s="831">
        <v>1.0348551594076607</v>
      </c>
      <c r="I637" s="831">
        <v>0.9689143371196669</v>
      </c>
      <c r="K637">
        <v>1.7492429273480592</v>
      </c>
      <c r="L637">
        <v>0</v>
      </c>
      <c r="M637">
        <v>1.4841897635025211E-3</v>
      </c>
      <c r="N637">
        <v>0.1450582482469758</v>
      </c>
      <c r="O637">
        <v>1.8086699524532616E-2</v>
      </c>
      <c r="P637">
        <v>1.9720184125362743E-2</v>
      </c>
      <c r="Q637">
        <v>2.1677939940805339E-3</v>
      </c>
      <c r="R637">
        <v>1.4753704122217499E-3</v>
      </c>
      <c r="S637">
        <v>0.15242477733589985</v>
      </c>
      <c r="T637">
        <v>1.0722315681013941</v>
      </c>
      <c r="U637">
        <v>2.3459639746339644E-2</v>
      </c>
      <c r="V637">
        <v>0.20848013154572451</v>
      </c>
      <c r="W637">
        <v>8.7291922238859052E-2</v>
      </c>
      <c r="X637">
        <v>1.6315309933829947E-2</v>
      </c>
      <c r="Y637">
        <v>4.0154719063419256E-3</v>
      </c>
    </row>
    <row r="638" spans="1:25" x14ac:dyDescent="0.25">
      <c r="A638" s="827"/>
      <c r="B638" s="1066">
        <v>388</v>
      </c>
      <c r="C638" s="831">
        <v>1.0149226010953272</v>
      </c>
      <c r="D638" s="831">
        <v>1.0437260002473652</v>
      </c>
      <c r="E638" s="831">
        <v>1.0067959192219087</v>
      </c>
      <c r="F638" s="831">
        <v>1.0274533689293006</v>
      </c>
      <c r="G638" s="831">
        <v>1.0357871843944122</v>
      </c>
      <c r="H638" s="831">
        <v>1.0198610955836485</v>
      </c>
      <c r="I638" s="831">
        <v>0.98807037570847656</v>
      </c>
      <c r="K638">
        <v>1.7220236809137668</v>
      </c>
      <c r="L638">
        <v>0</v>
      </c>
      <c r="M638">
        <v>1.3462341941708107E-3</v>
      </c>
      <c r="N638">
        <v>0.13852200376720358</v>
      </c>
      <c r="O638">
        <v>1.7237362474255349E-2</v>
      </c>
      <c r="P638">
        <v>1.9765478325267819E-2</v>
      </c>
      <c r="Q638">
        <v>2.1111303879467079E-3</v>
      </c>
      <c r="R638">
        <v>1.3380770636825679E-3</v>
      </c>
      <c r="S638">
        <v>0.14744526460131127</v>
      </c>
      <c r="T638">
        <v>1.0707598868543466</v>
      </c>
      <c r="U638">
        <v>2.2979612310468776E-2</v>
      </c>
      <c r="V638">
        <v>0.20079485145080961</v>
      </c>
      <c r="W638">
        <v>8.2417616687198963E-2</v>
      </c>
      <c r="X638">
        <v>1.6356826515087224E-2</v>
      </c>
      <c r="Y638">
        <v>3.6418046703584547E-3</v>
      </c>
    </row>
    <row r="639" spans="1:25" x14ac:dyDescent="0.25">
      <c r="A639" s="827"/>
      <c r="B639" s="1066">
        <v>389</v>
      </c>
      <c r="C639" s="831">
        <v>0.97831060721286811</v>
      </c>
      <c r="D639" s="831">
        <v>1.0078669369069677</v>
      </c>
      <c r="E639" s="831">
        <v>0.98840939784608861</v>
      </c>
      <c r="F639" s="831">
        <v>1.0057673907225819</v>
      </c>
      <c r="G639" s="831">
        <v>0.99881625692725295</v>
      </c>
      <c r="H639" s="831">
        <v>0.96486321122381558</v>
      </c>
      <c r="I639" s="831">
        <v>1.0158444562904292</v>
      </c>
      <c r="K639">
        <v>1.7365075258543934</v>
      </c>
      <c r="L639">
        <v>0</v>
      </c>
      <c r="M639">
        <v>1.3952786425722222E-3</v>
      </c>
      <c r="N639">
        <v>0.1355404307304561</v>
      </c>
      <c r="O639">
        <v>1.8167036183204185E-2</v>
      </c>
      <c r="P639">
        <v>1.9733057700599663E-2</v>
      </c>
      <c r="Q639">
        <v>2.1780263035910971E-3</v>
      </c>
      <c r="R639">
        <v>1.3863675157608393E-3</v>
      </c>
      <c r="S639">
        <v>0.1554720723980095</v>
      </c>
      <c r="T639">
        <v>1.0723931358231586</v>
      </c>
      <c r="U639">
        <v>2.3839594221253809E-2</v>
      </c>
      <c r="V639">
        <v>0.20783218598414255</v>
      </c>
      <c r="W639">
        <v>8.1666347820038801E-2</v>
      </c>
      <c r="X639">
        <v>1.5921314454776139E-2</v>
      </c>
      <c r="Y639">
        <v>3.7732353619722597E-3</v>
      </c>
    </row>
    <row r="640" spans="1:25" x14ac:dyDescent="0.25">
      <c r="A640" s="827"/>
      <c r="B640" s="1066">
        <v>390</v>
      </c>
      <c r="C640" s="831">
        <v>1.0014146750398769</v>
      </c>
      <c r="D640" s="831">
        <v>0.98622046319071599</v>
      </c>
      <c r="E640" s="831">
        <v>0.95994236972892266</v>
      </c>
      <c r="F640" s="831">
        <v>1.0226745736141192</v>
      </c>
      <c r="G640" s="831">
        <v>1.0391552205917032</v>
      </c>
      <c r="H640" s="831">
        <v>0.99610670567492532</v>
      </c>
      <c r="I640" s="831">
        <v>0.97879786288748249</v>
      </c>
      <c r="K640">
        <v>1.7301960279564044</v>
      </c>
      <c r="L640">
        <v>0</v>
      </c>
      <c r="M640">
        <v>1.5085563323184589E-3</v>
      </c>
      <c r="N640">
        <v>0.13412976240541843</v>
      </c>
      <c r="O640">
        <v>1.79233632759133E-2</v>
      </c>
      <c r="P640">
        <v>1.9254062305860166E-2</v>
      </c>
      <c r="Q640">
        <v>2.0836153741882303E-3</v>
      </c>
      <c r="R640">
        <v>1.4992404566794636E-3</v>
      </c>
      <c r="S640">
        <v>0.14987563073325708</v>
      </c>
      <c r="T640">
        <v>1.0749469078239899</v>
      </c>
      <c r="U640">
        <v>2.328958070978384E-2</v>
      </c>
      <c r="V640">
        <v>0.20731402203831217</v>
      </c>
      <c r="W640">
        <v>8.2435337935197153E-2</v>
      </c>
      <c r="X640">
        <v>1.4872622931525152E-2</v>
      </c>
      <c r="Y640">
        <v>4.0804382985977806E-3</v>
      </c>
    </row>
    <row r="641" spans="1:25" x14ac:dyDescent="0.25">
      <c r="A641" s="827"/>
      <c r="B641" s="1066">
        <v>391</v>
      </c>
      <c r="C641" s="831">
        <v>1.0033861250550538</v>
      </c>
      <c r="D641" s="831">
        <v>1.022313776528577</v>
      </c>
      <c r="E641" s="831">
        <v>0.97289433607213682</v>
      </c>
      <c r="F641" s="831">
        <v>0.95499883888879311</v>
      </c>
      <c r="G641" s="831">
        <v>0.99050203777317247</v>
      </c>
      <c r="H641" s="831">
        <v>0.98468406457934832</v>
      </c>
      <c r="I641" s="831">
        <v>0.99225589858245589</v>
      </c>
      <c r="K641">
        <v>1.7197143423431283</v>
      </c>
      <c r="L641">
        <v>0</v>
      </c>
      <c r="M641">
        <v>1.4251348308026736E-3</v>
      </c>
      <c r="N641">
        <v>0.13192400385541453</v>
      </c>
      <c r="O641">
        <v>1.759940102208047E-2</v>
      </c>
      <c r="P641">
        <v>1.9366747456854797E-2</v>
      </c>
      <c r="Q641">
        <v>2.0793779872417283E-3</v>
      </c>
      <c r="R641">
        <v>1.4162059704458494E-3</v>
      </c>
      <c r="S641">
        <v>0.14859041503649018</v>
      </c>
      <c r="T641">
        <v>1.0737812201511501</v>
      </c>
      <c r="U641">
        <v>2.3243821412243976E-2</v>
      </c>
      <c r="V641">
        <v>0.20381527661080812</v>
      </c>
      <c r="W641">
        <v>8.034733843772747E-2</v>
      </c>
      <c r="X641">
        <v>1.5121223434092036E-2</v>
      </c>
      <c r="Y641">
        <v>3.8544457993809141E-3</v>
      </c>
    </row>
    <row r="642" spans="1:25" x14ac:dyDescent="0.25">
      <c r="A642" s="827"/>
      <c r="B642" s="1066">
        <v>392</v>
      </c>
      <c r="C642" s="831">
        <v>1.0126798569472919</v>
      </c>
      <c r="D642" s="831">
        <v>1.0170333792067576</v>
      </c>
      <c r="E642" s="831">
        <v>0.98670835718803518</v>
      </c>
      <c r="F642" s="831">
        <v>0.99495774759339117</v>
      </c>
      <c r="G642" s="831">
        <v>1.0027962810303515</v>
      </c>
      <c r="H642" s="831">
        <v>1.0051024657522718</v>
      </c>
      <c r="I642" s="831">
        <v>0.96291632621676648</v>
      </c>
      <c r="K642">
        <v>1.7194158959971249</v>
      </c>
      <c r="L642">
        <v>0</v>
      </c>
      <c r="M642">
        <v>1.4034158324769677E-3</v>
      </c>
      <c r="N642">
        <v>0.13564494220885515</v>
      </c>
      <c r="O642">
        <v>1.7478743073988535E-2</v>
      </c>
      <c r="P642">
        <v>1.9490327387936098E-2</v>
      </c>
      <c r="Q642">
        <v>2.093445811477111E-3</v>
      </c>
      <c r="R642">
        <v>1.3948052666988469E-3</v>
      </c>
      <c r="S642">
        <v>0.14456319881967808</v>
      </c>
      <c r="T642">
        <v>1.0725448808999278</v>
      </c>
      <c r="U642">
        <v>2.3030504397123685E-2</v>
      </c>
      <c r="V642">
        <v>0.20330888167322816</v>
      </c>
      <c r="W642">
        <v>8.182533277655131E-2</v>
      </c>
      <c r="X642">
        <v>1.5648049375614374E-2</v>
      </c>
      <c r="Y642">
        <v>3.7962001385216672E-3</v>
      </c>
    </row>
    <row r="643" spans="1:25" x14ac:dyDescent="0.25">
      <c r="A643" s="827"/>
      <c r="B643" s="1066">
        <v>393</v>
      </c>
      <c r="C643" s="831">
        <v>1.000328052393622</v>
      </c>
      <c r="D643" s="831">
        <v>1.0038617923066575</v>
      </c>
      <c r="E643" s="831">
        <v>1.0153368530046871</v>
      </c>
      <c r="F643" s="831">
        <v>1.0275929481194457</v>
      </c>
      <c r="G643" s="831">
        <v>1.0132451048693873</v>
      </c>
      <c r="H643" s="831">
        <v>0.98648565439086278</v>
      </c>
      <c r="I643" s="831">
        <v>1.0068324042223742</v>
      </c>
      <c r="K643">
        <v>1.7340810168461696</v>
      </c>
      <c r="L643">
        <v>0</v>
      </c>
      <c r="M643">
        <v>1.3205884438272193E-3</v>
      </c>
      <c r="N643">
        <v>0.13951315330802172</v>
      </c>
      <c r="O643">
        <v>1.7799227606929528E-2</v>
      </c>
      <c r="P643">
        <v>2.0023699111962896E-2</v>
      </c>
      <c r="Q643">
        <v>2.1917039015551905E-3</v>
      </c>
      <c r="R643">
        <v>1.3123418671505162E-3</v>
      </c>
      <c r="S643">
        <v>0.15250954250170382</v>
      </c>
      <c r="T643">
        <v>1.0700055508234001</v>
      </c>
      <c r="U643">
        <v>2.3314879396310207E-2</v>
      </c>
      <c r="V643">
        <v>0.20578975589157866</v>
      </c>
      <c r="W643">
        <v>8.2527350189695564E-2</v>
      </c>
      <c r="X643">
        <v>1.6842638742684143E-2</v>
      </c>
      <c r="Y643">
        <v>3.5717619490034662E-3</v>
      </c>
    </row>
    <row r="644" spans="1:25" x14ac:dyDescent="0.25">
      <c r="A644" s="827"/>
      <c r="B644" s="1066">
        <v>394</v>
      </c>
      <c r="C644" s="831">
        <v>1.043193534204319</v>
      </c>
      <c r="D644" s="831">
        <v>0.970010759991208</v>
      </c>
      <c r="E644" s="831">
        <v>0.99621333103584353</v>
      </c>
      <c r="F644" s="831">
        <v>1.0032314574596113</v>
      </c>
      <c r="G644" s="831">
        <v>1.0011572633550192</v>
      </c>
      <c r="H644" s="831">
        <v>0.98563958901219462</v>
      </c>
      <c r="I644" s="831">
        <v>1.0101378543296622</v>
      </c>
      <c r="K644">
        <v>1.7188375405561687</v>
      </c>
      <c r="L644">
        <v>0</v>
      </c>
      <c r="M644">
        <v>1.3379172219384642E-3</v>
      </c>
      <c r="N644">
        <v>0.13318482972581797</v>
      </c>
      <c r="O644">
        <v>1.7335537853409046E-2</v>
      </c>
      <c r="P644">
        <v>1.9682285994460699E-2</v>
      </c>
      <c r="Q644">
        <v>2.0881731738453127E-3</v>
      </c>
      <c r="R644">
        <v>1.3295787626398357E-3</v>
      </c>
      <c r="S644">
        <v>0.14876985209742533</v>
      </c>
      <c r="T644">
        <v>1.0716983657552352</v>
      </c>
      <c r="U644">
        <v>2.2356856262622578E-2</v>
      </c>
      <c r="V644">
        <v>0.2044524206160494</v>
      </c>
      <c r="W644">
        <v>7.9817385627988693E-2</v>
      </c>
      <c r="X644">
        <v>1.5841496812225967E-2</v>
      </c>
      <c r="Y644">
        <v>3.6186750963843224E-3</v>
      </c>
    </row>
    <row r="645" spans="1:25" x14ac:dyDescent="0.25">
      <c r="A645" s="827"/>
      <c r="B645" s="1066">
        <v>395</v>
      </c>
      <c r="C645" s="831">
        <v>1.0227511328535417</v>
      </c>
      <c r="D645" s="831">
        <v>0.98612437533994346</v>
      </c>
      <c r="E645" s="831">
        <v>0.98569464109472416</v>
      </c>
      <c r="F645" s="831">
        <v>1.0363061691026063</v>
      </c>
      <c r="G645" s="831">
        <v>1.0105216788558773</v>
      </c>
      <c r="H645" s="831">
        <v>1.0369607786831654</v>
      </c>
      <c r="I645" s="831">
        <v>0.96657952249183976</v>
      </c>
      <c r="K645">
        <v>1.732303659958597</v>
      </c>
      <c r="L645">
        <v>0</v>
      </c>
      <c r="M645">
        <v>1.4568982891754478E-3</v>
      </c>
      <c r="N645">
        <v>0.14039908413761312</v>
      </c>
      <c r="O645">
        <v>1.7550224992227418E-2</v>
      </c>
      <c r="P645">
        <v>1.9539625173737155E-2</v>
      </c>
      <c r="Q645">
        <v>2.0945484315636692E-3</v>
      </c>
      <c r="R645">
        <v>1.4482559472642383E-3</v>
      </c>
      <c r="S645">
        <v>0.14771225457465945</v>
      </c>
      <c r="T645">
        <v>1.0726353634632222</v>
      </c>
      <c r="U645">
        <v>2.2803717492086092E-2</v>
      </c>
      <c r="V645">
        <v>0.20505259483197122</v>
      </c>
      <c r="W645">
        <v>8.4752518030704216E-2</v>
      </c>
      <c r="X645">
        <v>1.5830695901715069E-2</v>
      </c>
      <c r="Y645">
        <v>3.9416752710085493E-3</v>
      </c>
    </row>
    <row r="646" spans="1:25" x14ac:dyDescent="0.25">
      <c r="A646" s="827"/>
      <c r="B646" s="1066">
        <v>396</v>
      </c>
      <c r="C646" s="831">
        <v>0.98004300048459025</v>
      </c>
      <c r="D646" s="831">
        <v>0.97517556921534521</v>
      </c>
      <c r="E646" s="831">
        <v>1.0068836167247861</v>
      </c>
      <c r="F646" s="831">
        <v>1.0025018645680464</v>
      </c>
      <c r="G646" s="831">
        <v>0.98394177190315046</v>
      </c>
      <c r="H646" s="831">
        <v>0.99577409324499389</v>
      </c>
      <c r="I646" s="831">
        <v>1.0108183368683821</v>
      </c>
      <c r="K646">
        <v>1.756005722140606</v>
      </c>
      <c r="L646">
        <v>0</v>
      </c>
      <c r="M646">
        <v>1.4034064061587681E-3</v>
      </c>
      <c r="N646">
        <v>0.14442782988703601</v>
      </c>
      <c r="O646">
        <v>1.8408100664548493E-2</v>
      </c>
      <c r="P646">
        <v>2.0071331548216397E-2</v>
      </c>
      <c r="Q646">
        <v>2.2422503371916478E-3</v>
      </c>
      <c r="R646">
        <v>1.3947450076839127E-3</v>
      </c>
      <c r="S646">
        <v>0.1588718017568064</v>
      </c>
      <c r="T646">
        <v>1.0707521273866858</v>
      </c>
      <c r="U646">
        <v>2.3797453669656476E-2</v>
      </c>
      <c r="V646">
        <v>0.21076046727943512</v>
      </c>
      <c r="W646">
        <v>8.5926324642681545E-2</v>
      </c>
      <c r="X646">
        <v>1.6960660233476647E-2</v>
      </c>
      <c r="Y646">
        <v>3.7960361333473961E-3</v>
      </c>
    </row>
    <row r="647" spans="1:25" x14ac:dyDescent="0.25">
      <c r="A647" s="827"/>
      <c r="B647" s="1066">
        <v>397</v>
      </c>
      <c r="C647" s="831">
        <v>1.0265073027128864</v>
      </c>
      <c r="D647" s="831">
        <v>1.016097839859244</v>
      </c>
      <c r="E647" s="831">
        <v>1.0020346060448131</v>
      </c>
      <c r="F647" s="831">
        <v>0.99263837497563634</v>
      </c>
      <c r="G647" s="831">
        <v>0.97347365360013349</v>
      </c>
      <c r="H647" s="831">
        <v>0.97861968851228376</v>
      </c>
      <c r="I647" s="831">
        <v>1.0154060564345231</v>
      </c>
      <c r="K647">
        <v>1.7143818890233624</v>
      </c>
      <c r="L647">
        <v>0</v>
      </c>
      <c r="M647">
        <v>1.3057967336633012E-3</v>
      </c>
      <c r="N647">
        <v>0.13235397224062742</v>
      </c>
      <c r="O647">
        <v>1.7250473401252894E-2</v>
      </c>
      <c r="P647">
        <v>1.9729534561836196E-2</v>
      </c>
      <c r="Q647">
        <v>2.0981259965925192E-3</v>
      </c>
      <c r="R647">
        <v>1.2975689093975436E-3</v>
      </c>
      <c r="S647">
        <v>0.14858038551240557</v>
      </c>
      <c r="T647">
        <v>1.0711816036021684</v>
      </c>
      <c r="U647">
        <v>2.2720274699133288E-2</v>
      </c>
      <c r="V647">
        <v>0.20197711626178289</v>
      </c>
      <c r="W647">
        <v>7.9003948353021963E-2</v>
      </c>
      <c r="X647">
        <v>1.5963127390903935E-2</v>
      </c>
      <c r="Y647">
        <v>3.5315548279040887E-3</v>
      </c>
    </row>
    <row r="648" spans="1:25" x14ac:dyDescent="0.25">
      <c r="A648" s="827"/>
      <c r="B648" s="1066">
        <v>398</v>
      </c>
      <c r="C648" s="831">
        <v>1.036457557188005</v>
      </c>
      <c r="D648" s="831">
        <v>0.99559262463144949</v>
      </c>
      <c r="E648" s="831">
        <v>0.98314388062036362</v>
      </c>
      <c r="F648" s="831">
        <v>1.0087852451776385</v>
      </c>
      <c r="G648" s="831">
        <v>1.019760644737967</v>
      </c>
      <c r="H648" s="831">
        <v>0.99260559930946102</v>
      </c>
      <c r="I648" s="831">
        <v>0.97930374502383499</v>
      </c>
      <c r="K648">
        <v>1.7112811252039961</v>
      </c>
      <c r="L648">
        <v>0</v>
      </c>
      <c r="M648">
        <v>1.3775569737245949E-3</v>
      </c>
      <c r="N648">
        <v>0.13166679245379512</v>
      </c>
      <c r="O648">
        <v>1.7243256994038558E-2</v>
      </c>
      <c r="P648">
        <v>1.9421422382511776E-2</v>
      </c>
      <c r="Q648">
        <v>2.0542140051788512E-3</v>
      </c>
      <c r="R648">
        <v>1.3690134479180302E-3</v>
      </c>
      <c r="S648">
        <v>0.14407688224295664</v>
      </c>
      <c r="T648">
        <v>1.072863211003855</v>
      </c>
      <c r="U648">
        <v>2.2502154320316943E-2</v>
      </c>
      <c r="V648">
        <v>0.20278725325529995</v>
      </c>
      <c r="W648">
        <v>7.9621598067686358E-2</v>
      </c>
      <c r="X648">
        <v>1.5326880694089551E-2</v>
      </c>
      <c r="Y648">
        <v>3.7260033100710598E-3</v>
      </c>
    </row>
    <row r="649" spans="1:25" x14ac:dyDescent="0.25">
      <c r="A649" s="827"/>
      <c r="B649" s="1066">
        <v>399</v>
      </c>
      <c r="C649" s="831">
        <v>0.95661651772473411</v>
      </c>
      <c r="D649" s="831">
        <v>0.98055750536803943</v>
      </c>
      <c r="E649" s="831">
        <v>0.995429320302188</v>
      </c>
      <c r="F649" s="831">
        <v>0.98688854482416</v>
      </c>
      <c r="G649" s="831">
        <v>1.0259773103938368</v>
      </c>
      <c r="H649" s="831">
        <v>0.97589468260119439</v>
      </c>
      <c r="I649" s="831">
        <v>1.014208988633317</v>
      </c>
      <c r="K649">
        <v>1.7608056688822442</v>
      </c>
      <c r="L649">
        <v>0</v>
      </c>
      <c r="M649">
        <v>1.4398802891151734E-3</v>
      </c>
      <c r="N649">
        <v>0.14297582513319992</v>
      </c>
      <c r="O649">
        <v>1.8811813553508965E-2</v>
      </c>
      <c r="P649">
        <v>1.9986817458890214E-2</v>
      </c>
      <c r="Q649">
        <v>2.2662454480860423E-3</v>
      </c>
      <c r="R649">
        <v>1.4308086475795828E-3</v>
      </c>
      <c r="S649">
        <v>0.16140820877182754</v>
      </c>
      <c r="T649">
        <v>1.0717680610950258</v>
      </c>
      <c r="U649">
        <v>2.4380227046230246E-2</v>
      </c>
      <c r="V649">
        <v>0.21296038357455715</v>
      </c>
      <c r="W649">
        <v>8.5731221149550743E-2</v>
      </c>
      <c r="X649">
        <v>1.6631747820135327E-2</v>
      </c>
      <c r="Y649">
        <v>3.8941894727677119E-3</v>
      </c>
    </row>
    <row r="650" spans="1:25" x14ac:dyDescent="0.25">
      <c r="A650" s="827"/>
      <c r="B650" s="1066">
        <v>400</v>
      </c>
      <c r="C650" s="831">
        <v>0.99861784050657165</v>
      </c>
      <c r="D650" s="831">
        <v>1.0218662736391602</v>
      </c>
      <c r="E650" s="831">
        <v>1.0373877875725193</v>
      </c>
      <c r="F650" s="831">
        <v>1.0232328118114737</v>
      </c>
      <c r="G650" s="831">
        <v>1.0338759879037525</v>
      </c>
      <c r="H650" s="831">
        <v>0.99571083625913714</v>
      </c>
      <c r="I650" s="831">
        <v>0.99004708581205425</v>
      </c>
      <c r="K650">
        <v>1.7332079470070711</v>
      </c>
      <c r="L650">
        <v>0</v>
      </c>
      <c r="M650">
        <v>1.2642029130917032E-3</v>
      </c>
      <c r="N650">
        <v>0.14302819067111358</v>
      </c>
      <c r="O650">
        <v>1.7686934496453675E-2</v>
      </c>
      <c r="P650">
        <v>2.026315632892919E-2</v>
      </c>
      <c r="Q650">
        <v>2.2292009046390687E-3</v>
      </c>
      <c r="R650">
        <v>1.2563703260909385E-3</v>
      </c>
      <c r="S650">
        <v>0.14977170990867444</v>
      </c>
      <c r="T650">
        <v>1.0680707867029755</v>
      </c>
      <c r="U650">
        <v>2.3354807967853185E-2</v>
      </c>
      <c r="V650">
        <v>0.20435817525987179</v>
      </c>
      <c r="W650">
        <v>8.3362490608057338E-2</v>
      </c>
      <c r="X650">
        <v>1.7670900880248072E-2</v>
      </c>
      <c r="Y650">
        <v>3.4194258652528475E-3</v>
      </c>
    </row>
    <row r="651" spans="1:25" x14ac:dyDescent="0.25">
      <c r="A651" s="827"/>
      <c r="B651" s="1066">
        <v>401</v>
      </c>
      <c r="C651" s="831">
        <v>1.0324417050455719</v>
      </c>
      <c r="D651" s="831">
        <v>1.0069488974678762</v>
      </c>
      <c r="E651" s="831">
        <v>1.0349178829924566</v>
      </c>
      <c r="F651" s="831">
        <v>0.96868379970586038</v>
      </c>
      <c r="G651" s="831">
        <v>1.007958409742719</v>
      </c>
      <c r="H651" s="831">
        <v>1.0201081928739792</v>
      </c>
      <c r="I651" s="831">
        <v>0.99114553742559719</v>
      </c>
      <c r="K651">
        <v>1.726499681985191</v>
      </c>
      <c r="L651">
        <v>0</v>
      </c>
      <c r="M651">
        <v>1.2677094816300673E-3</v>
      </c>
      <c r="N651">
        <v>0.14235221070920087</v>
      </c>
      <c r="O651">
        <v>1.7221636461076238E-2</v>
      </c>
      <c r="P651">
        <v>2.015827910796042E-2</v>
      </c>
      <c r="Q651">
        <v>2.1626912622655248E-3</v>
      </c>
      <c r="R651">
        <v>1.2600521260905401E-3</v>
      </c>
      <c r="S651">
        <v>0.14758832408991415</v>
      </c>
      <c r="T651">
        <v>1.0682865805015755</v>
      </c>
      <c r="U651">
        <v>2.2589680157557877E-2</v>
      </c>
      <c r="V651">
        <v>0.20218207916384426</v>
      </c>
      <c r="W651">
        <v>8.3105355205885717E-2</v>
      </c>
      <c r="X651">
        <v>1.7431056170302228E-2</v>
      </c>
      <c r="Y651">
        <v>3.4294465111467196E-3</v>
      </c>
    </row>
    <row r="652" spans="1:25" x14ac:dyDescent="0.25">
      <c r="A652" s="827"/>
      <c r="B652" s="1066">
        <v>402</v>
      </c>
      <c r="C652" s="831">
        <v>1.0144298536773737</v>
      </c>
      <c r="D652" s="831">
        <v>0.98024547997096656</v>
      </c>
      <c r="E652" s="831">
        <v>0.99462760510678982</v>
      </c>
      <c r="F652" s="831">
        <v>1.0399121745253523</v>
      </c>
      <c r="G652" s="831">
        <v>0.99060891810002372</v>
      </c>
      <c r="H652" s="831">
        <v>1.0209473171716772</v>
      </c>
      <c r="I652" s="831">
        <v>1.0184975544668713</v>
      </c>
      <c r="K652">
        <v>1.7427982517266096</v>
      </c>
      <c r="L652">
        <v>0</v>
      </c>
      <c r="M652">
        <v>1.4231084076796806E-3</v>
      </c>
      <c r="N652">
        <v>0.14099773701157134</v>
      </c>
      <c r="O652">
        <v>1.7742273715506591E-2</v>
      </c>
      <c r="P652">
        <v>1.9797281873149275E-2</v>
      </c>
      <c r="Q652">
        <v>2.1356159480066866E-3</v>
      </c>
      <c r="R652">
        <v>1.4145383110520976E-3</v>
      </c>
      <c r="S652">
        <v>0.15614987153812529</v>
      </c>
      <c r="T652">
        <v>1.0718393542577505</v>
      </c>
      <c r="U652">
        <v>2.2990774387955454E-2</v>
      </c>
      <c r="V652">
        <v>0.20647698381271334</v>
      </c>
      <c r="W652">
        <v>8.4591671974282953E-2</v>
      </c>
      <c r="X652">
        <v>1.6235350323922201E-2</v>
      </c>
      <c r="Y652">
        <v>3.8499069802548922E-3</v>
      </c>
    </row>
    <row r="653" spans="1:25" x14ac:dyDescent="0.25">
      <c r="A653" s="827"/>
      <c r="B653" s="1066">
        <v>403</v>
      </c>
      <c r="C653" s="831">
        <v>0.98370010157989718</v>
      </c>
      <c r="D653" s="831">
        <v>1.0064333340962306</v>
      </c>
      <c r="E653" s="831">
        <v>1.006186500745357</v>
      </c>
      <c r="F653" s="831">
        <v>1.0066891370618944</v>
      </c>
      <c r="G653" s="831">
        <v>0.97446136009952855</v>
      </c>
      <c r="H653" s="831">
        <v>1.0273969652377481</v>
      </c>
      <c r="I653" s="831">
        <v>1.0107254095832139</v>
      </c>
      <c r="K653">
        <v>1.7548327768258403</v>
      </c>
      <c r="L653">
        <v>0</v>
      </c>
      <c r="M653">
        <v>1.4242131949290071E-3</v>
      </c>
      <c r="N653">
        <v>0.14627740118648586</v>
      </c>
      <c r="O653">
        <v>1.807914587321198E-2</v>
      </c>
      <c r="P653">
        <v>2.0009388046043807E-2</v>
      </c>
      <c r="Q653">
        <v>2.2063713758276055E-3</v>
      </c>
      <c r="R653">
        <v>1.4156718948484155E-3</v>
      </c>
      <c r="S653">
        <v>0.15853090229207062</v>
      </c>
      <c r="T653">
        <v>1.0708138161776672</v>
      </c>
      <c r="U653">
        <v>2.3708981894833045E-2</v>
      </c>
      <c r="V653">
        <v>0.20736729354972408</v>
      </c>
      <c r="W653">
        <v>8.7068046445078262E-2</v>
      </c>
      <c r="X653">
        <v>1.6926979063313301E-2</v>
      </c>
      <c r="Y653">
        <v>3.8529922216626721E-3</v>
      </c>
    </row>
    <row r="654" spans="1:25" x14ac:dyDescent="0.25">
      <c r="A654" s="827"/>
      <c r="B654" s="1066">
        <v>404</v>
      </c>
      <c r="C654" s="831">
        <v>1.036074343880286</v>
      </c>
      <c r="D654" s="831">
        <v>1.0411354066715479</v>
      </c>
      <c r="E654" s="831">
        <v>0.99977426631152222</v>
      </c>
      <c r="F654" s="831">
        <v>0.98786243380748018</v>
      </c>
      <c r="G654" s="831">
        <v>1.0012179092432358</v>
      </c>
      <c r="H654" s="831">
        <v>0.97826559239726729</v>
      </c>
      <c r="I654" s="831">
        <v>1.0320176493671931</v>
      </c>
      <c r="K654">
        <v>1.7053508975839502</v>
      </c>
      <c r="L654">
        <v>0</v>
      </c>
      <c r="M654">
        <v>1.2852557815862644E-3</v>
      </c>
      <c r="N654">
        <v>0.12935724485738492</v>
      </c>
      <c r="O654">
        <v>1.6904382976400043E-2</v>
      </c>
      <c r="P654">
        <v>1.9647773468292676E-2</v>
      </c>
      <c r="Q654">
        <v>2.0554046515697333E-3</v>
      </c>
      <c r="R654">
        <v>1.27713861227806E-3</v>
      </c>
      <c r="S654">
        <v>0.14809371126575105</v>
      </c>
      <c r="T654">
        <v>1.0713821050224765</v>
      </c>
      <c r="U654">
        <v>2.2510477202780731E-2</v>
      </c>
      <c r="V654">
        <v>0.19891649037110859</v>
      </c>
      <c r="W654">
        <v>7.7334598803748933E-2</v>
      </c>
      <c r="X654">
        <v>1.568087583975392E-2</v>
      </c>
      <c r="Y654">
        <v>3.4759502939904906E-3</v>
      </c>
    </row>
    <row r="655" spans="1:25" x14ac:dyDescent="0.25">
      <c r="A655" s="827"/>
      <c r="B655" s="1066">
        <v>405</v>
      </c>
      <c r="C655" s="831">
        <v>0.97470395736922155</v>
      </c>
      <c r="D655" s="831">
        <v>1.0124404095090098</v>
      </c>
      <c r="E655" s="831">
        <v>0.9848317432526158</v>
      </c>
      <c r="F655" s="831">
        <v>0.97140281109257509</v>
      </c>
      <c r="G655" s="831">
        <v>0.9882928374540938</v>
      </c>
      <c r="H655" s="831">
        <v>1.0172430573939002</v>
      </c>
      <c r="I655" s="831">
        <v>1.0099855387116683</v>
      </c>
      <c r="K655">
        <v>1.7522251273022373</v>
      </c>
      <c r="L655">
        <v>0</v>
      </c>
      <c r="M655">
        <v>1.4845698274197493E-3</v>
      </c>
      <c r="N655">
        <v>0.14266340578393655</v>
      </c>
      <c r="O655">
        <v>1.8196946566846204E-2</v>
      </c>
      <c r="P655">
        <v>1.9729042315309784E-2</v>
      </c>
      <c r="Q655">
        <v>2.1745251921094625E-3</v>
      </c>
      <c r="R655">
        <v>1.4755733467938265E-3</v>
      </c>
      <c r="S655">
        <v>0.15873135598735458</v>
      </c>
      <c r="T655">
        <v>1.072712414711857</v>
      </c>
      <c r="U655">
        <v>2.3927806717079472E-2</v>
      </c>
      <c r="V655">
        <v>0.20781480457700235</v>
      </c>
      <c r="W655">
        <v>8.6170775447210954E-2</v>
      </c>
      <c r="X655">
        <v>1.6097022256804688E-2</v>
      </c>
      <c r="Y655">
        <v>4.0160242273497545E-3</v>
      </c>
    </row>
    <row r="656" spans="1:25" x14ac:dyDescent="0.25">
      <c r="A656" s="827"/>
      <c r="B656" s="1066">
        <v>406</v>
      </c>
      <c r="C656" s="831">
        <v>1.0029009149230981</v>
      </c>
      <c r="D656" s="831">
        <v>0.9712637263083761</v>
      </c>
      <c r="E656" s="831">
        <v>0.97464700293824125</v>
      </c>
      <c r="F656" s="831">
        <v>0.99637292908479624</v>
      </c>
      <c r="G656" s="831">
        <v>0.95282791397130995</v>
      </c>
      <c r="H656" s="831">
        <v>1.0041882552994781</v>
      </c>
      <c r="I656" s="831">
        <v>1.0011362730151359</v>
      </c>
      <c r="K656">
        <v>1.7412980909254521</v>
      </c>
      <c r="L656">
        <v>0</v>
      </c>
      <c r="M656">
        <v>1.4827161823380277E-3</v>
      </c>
      <c r="N656">
        <v>0.13802666106751779</v>
      </c>
      <c r="O656">
        <v>1.8021433869058551E-2</v>
      </c>
      <c r="P656">
        <v>1.953550882279155E-2</v>
      </c>
      <c r="Q656">
        <v>2.1240958742440928E-3</v>
      </c>
      <c r="R656">
        <v>1.4736449978701364E-3</v>
      </c>
      <c r="S656">
        <v>0.15463233308800728</v>
      </c>
      <c r="T656">
        <v>1.0736239614989436</v>
      </c>
      <c r="U656">
        <v>2.3255066927615184E-2</v>
      </c>
      <c r="V656">
        <v>0.20858439880211901</v>
      </c>
      <c r="W656">
        <v>8.3961495545276155E-2</v>
      </c>
      <c r="X656">
        <v>1.5531430717088653E-2</v>
      </c>
      <c r="Y656">
        <v>4.0107758972595222E-3</v>
      </c>
    </row>
    <row r="657" spans="1:25" x14ac:dyDescent="0.25">
      <c r="A657" s="827"/>
      <c r="B657" s="1066">
        <v>407</v>
      </c>
      <c r="C657" s="831">
        <v>1.0044786732273663</v>
      </c>
      <c r="D657" s="831">
        <v>0.99511600753044516</v>
      </c>
      <c r="E657" s="831">
        <v>1.0221430754190681</v>
      </c>
      <c r="F657" s="831">
        <v>1.0455707351925696</v>
      </c>
      <c r="G657" s="831">
        <v>0.99079201022451624</v>
      </c>
      <c r="H657" s="831">
        <v>0.99611224378214136</v>
      </c>
      <c r="I657" s="831">
        <v>1.0018999971966009</v>
      </c>
      <c r="K657">
        <v>1.73730116397616</v>
      </c>
      <c r="L657">
        <v>0</v>
      </c>
      <c r="M657">
        <v>1.3142061947134804E-3</v>
      </c>
      <c r="N657">
        <v>0.1418152296188962</v>
      </c>
      <c r="O657">
        <v>1.7796080131817882E-2</v>
      </c>
      <c r="P657">
        <v>2.0117512755233522E-2</v>
      </c>
      <c r="Q657">
        <v>2.2046218860420218E-3</v>
      </c>
      <c r="R657">
        <v>1.3060845771648505E-3</v>
      </c>
      <c r="S657">
        <v>0.15237588096871729</v>
      </c>
      <c r="T657">
        <v>1.0694064014060476</v>
      </c>
      <c r="U657">
        <v>2.3218539646410286E-2</v>
      </c>
      <c r="V657">
        <v>0.20615263723180821</v>
      </c>
      <c r="W657">
        <v>8.3504386518410703E-2</v>
      </c>
      <c r="X657">
        <v>1.7163263761943902E-2</v>
      </c>
      <c r="Y657">
        <v>3.5547316683775731E-3</v>
      </c>
    </row>
    <row r="658" spans="1:25" x14ac:dyDescent="0.25">
      <c r="A658" s="827"/>
      <c r="B658" s="1066">
        <v>408</v>
      </c>
      <c r="C658" s="831">
        <v>1.0082538077060972</v>
      </c>
      <c r="D658" s="831">
        <v>0.97657207094212717</v>
      </c>
      <c r="E658" s="831">
        <v>1.0067225308790513</v>
      </c>
      <c r="F658" s="831">
        <v>0.97563122262304625</v>
      </c>
      <c r="G658" s="831">
        <v>1.0165581477719374</v>
      </c>
      <c r="H658" s="831">
        <v>1.0001945907420082</v>
      </c>
      <c r="I658" s="831">
        <v>0.974075309422611</v>
      </c>
      <c r="K658">
        <v>1.7354223845358407</v>
      </c>
      <c r="L658">
        <v>0</v>
      </c>
      <c r="M658">
        <v>1.3697706843721906E-3</v>
      </c>
      <c r="N658">
        <v>0.14089947053284829</v>
      </c>
      <c r="O658">
        <v>1.7881416338348596E-2</v>
      </c>
      <c r="P658">
        <v>1.9880189749840512E-2</v>
      </c>
      <c r="Q658">
        <v>2.1780035581454079E-3</v>
      </c>
      <c r="R658">
        <v>1.3613532440561018E-3</v>
      </c>
      <c r="S658">
        <v>0.14903448046696663</v>
      </c>
      <c r="T658">
        <v>1.0707663804721361</v>
      </c>
      <c r="U658">
        <v>2.3131604086241792E-2</v>
      </c>
      <c r="V658">
        <v>0.20748879007654106</v>
      </c>
      <c r="W658">
        <v>8.3836348302745792E-2</v>
      </c>
      <c r="X658">
        <v>1.6628963631995518E-2</v>
      </c>
      <c r="Y658">
        <v>3.7051547603444155E-3</v>
      </c>
    </row>
    <row r="659" spans="1:25" x14ac:dyDescent="0.25">
      <c r="A659" s="827"/>
      <c r="B659" s="1066">
        <v>409</v>
      </c>
      <c r="C659" s="831">
        <v>1.029434396988937</v>
      </c>
      <c r="D659" s="831">
        <v>1.0144459500723721</v>
      </c>
      <c r="E659" s="831">
        <v>1.0257047971427753</v>
      </c>
      <c r="F659" s="831">
        <v>0.98746370464361932</v>
      </c>
      <c r="G659" s="831">
        <v>0.98713674154341369</v>
      </c>
      <c r="H659" s="831">
        <v>1.0015094971559231</v>
      </c>
      <c r="I659" s="831">
        <v>0.97291472401086609</v>
      </c>
      <c r="K659">
        <v>1.7165822280800802</v>
      </c>
      <c r="L659">
        <v>0</v>
      </c>
      <c r="M659">
        <v>1.2685413958372386E-3</v>
      </c>
      <c r="N659">
        <v>0.13841342755995659</v>
      </c>
      <c r="O659">
        <v>1.7214082805491315E-2</v>
      </c>
      <c r="P659">
        <v>1.9975476365286484E-2</v>
      </c>
      <c r="Q659">
        <v>2.1434398092569818E-3</v>
      </c>
      <c r="R659">
        <v>1.2607320285915129E-3</v>
      </c>
      <c r="S659">
        <v>0.14359659699098509</v>
      </c>
      <c r="T659">
        <v>1.0690935638349142</v>
      </c>
      <c r="U659">
        <v>2.2655671858761276E-2</v>
      </c>
      <c r="V659">
        <v>0.20182679806923282</v>
      </c>
      <c r="W659">
        <v>8.1306208130456623E-2</v>
      </c>
      <c r="X659">
        <v>1.6933475041361161E-2</v>
      </c>
      <c r="Y659">
        <v>3.431296981624568E-3</v>
      </c>
    </row>
    <row r="660" spans="1:25" x14ac:dyDescent="0.25">
      <c r="A660" s="827"/>
      <c r="B660" s="1066">
        <v>410</v>
      </c>
      <c r="C660" s="831">
        <v>1.0387884528187923</v>
      </c>
      <c r="D660" s="831">
        <v>1.0112709879523012</v>
      </c>
      <c r="E660" s="831">
        <v>0.99070640107990438</v>
      </c>
      <c r="F660" s="831">
        <v>0.9996554974962516</v>
      </c>
      <c r="G660" s="831">
        <v>0.99106439942012658</v>
      </c>
      <c r="H660" s="831">
        <v>1.0118919134295397</v>
      </c>
      <c r="I660" s="831">
        <v>1.0099470531197798</v>
      </c>
      <c r="K660">
        <v>1.7171129368839926</v>
      </c>
      <c r="L660">
        <v>0</v>
      </c>
      <c r="M660">
        <v>1.3693666419828487E-3</v>
      </c>
      <c r="N660">
        <v>0.13401784248447263</v>
      </c>
      <c r="O660">
        <v>1.708327665516246E-2</v>
      </c>
      <c r="P660">
        <v>1.9562686396278863E-2</v>
      </c>
      <c r="Q660">
        <v>2.0534219784691336E-3</v>
      </c>
      <c r="R660">
        <v>1.3610251883874923E-3</v>
      </c>
      <c r="S660">
        <v>0.14863313430671588</v>
      </c>
      <c r="T660">
        <v>1.0721883994763499</v>
      </c>
      <c r="U660">
        <v>2.2451662641240034E-2</v>
      </c>
      <c r="V660">
        <v>0.20117155172327489</v>
      </c>
      <c r="W660">
        <v>8.0621209642958228E-2</v>
      </c>
      <c r="X660">
        <v>1.5633831131706109E-2</v>
      </c>
      <c r="Y660">
        <v>3.7042619009579831E-3</v>
      </c>
    </row>
    <row r="661" spans="1:25" x14ac:dyDescent="0.25">
      <c r="A661" s="827"/>
      <c r="B661" s="1066">
        <v>411</v>
      </c>
      <c r="C661" s="831">
        <v>1.018536300511194</v>
      </c>
      <c r="D661" s="831">
        <v>1.0304599630057243</v>
      </c>
      <c r="E661" s="831">
        <v>1.0108096408823404</v>
      </c>
      <c r="F661" s="831">
        <v>1.0089108740347354</v>
      </c>
      <c r="G661" s="831">
        <v>0.96931906990156314</v>
      </c>
      <c r="H661" s="831">
        <v>1.0219746268682048</v>
      </c>
      <c r="I661" s="831">
        <v>0.97722896791702574</v>
      </c>
      <c r="K661">
        <v>1.7230004890909696</v>
      </c>
      <c r="L661">
        <v>0</v>
      </c>
      <c r="M661">
        <v>1.3406121052943988E-3</v>
      </c>
      <c r="N661">
        <v>0.13967832494476201</v>
      </c>
      <c r="O661">
        <v>1.7275590593588366E-2</v>
      </c>
      <c r="P661">
        <v>1.9811873609883429E-2</v>
      </c>
      <c r="Q661">
        <v>2.122140627263971E-3</v>
      </c>
      <c r="R661">
        <v>1.3325141205775895E-3</v>
      </c>
      <c r="S661">
        <v>0.14622474308383779</v>
      </c>
      <c r="T661">
        <v>1.0704050509565575</v>
      </c>
      <c r="U661">
        <v>2.2898082166141545E-2</v>
      </c>
      <c r="V661">
        <v>0.20154762056405484</v>
      </c>
      <c r="W661">
        <v>8.2879071720064298E-2</v>
      </c>
      <c r="X661">
        <v>1.6539424636481975E-2</v>
      </c>
      <c r="Y661">
        <v>3.6266641730504047E-3</v>
      </c>
    </row>
    <row r="662" spans="1:25" x14ac:dyDescent="0.25">
      <c r="A662" s="827"/>
      <c r="B662" s="1066">
        <v>412</v>
      </c>
      <c r="C662" s="831">
        <v>0.99118025800917242</v>
      </c>
      <c r="D662" s="831">
        <v>0.99780677746595436</v>
      </c>
      <c r="E662" s="831">
        <v>0.96386314339424717</v>
      </c>
      <c r="F662" s="831">
        <v>1.0018636927296587</v>
      </c>
      <c r="G662" s="831">
        <v>1.0259652886872153</v>
      </c>
      <c r="H662" s="831">
        <v>1.0018786472507673</v>
      </c>
      <c r="I662" s="831">
        <v>1.0288038502671486</v>
      </c>
      <c r="K662">
        <v>1.7426100926898813</v>
      </c>
      <c r="L662">
        <v>0</v>
      </c>
      <c r="M662">
        <v>1.5124136946380667E-3</v>
      </c>
      <c r="N662">
        <v>0.13613183719334082</v>
      </c>
      <c r="O662">
        <v>1.8012790541717023E-2</v>
      </c>
      <c r="P662">
        <v>1.9430126510419123E-2</v>
      </c>
      <c r="Q662">
        <v>2.1044803470167605E-3</v>
      </c>
      <c r="R662">
        <v>1.5031189277184968E-3</v>
      </c>
      <c r="S662">
        <v>0.15881927377983229</v>
      </c>
      <c r="T662">
        <v>1.0745933722601559</v>
      </c>
      <c r="U662">
        <v>2.353005692945043E-2</v>
      </c>
      <c r="V662">
        <v>0.2073425698802864</v>
      </c>
      <c r="W662">
        <v>8.3435580259529227E-2</v>
      </c>
      <c r="X662">
        <v>1.5128305536823591E-2</v>
      </c>
      <c r="Y662">
        <v>4.0909942182283951E-3</v>
      </c>
    </row>
    <row r="663" spans="1:25" x14ac:dyDescent="0.25">
      <c r="A663" s="827"/>
      <c r="B663" s="1066">
        <v>413</v>
      </c>
      <c r="C663" s="831">
        <v>1.0166457494569772</v>
      </c>
      <c r="D663" s="831">
        <v>0.98369894442958794</v>
      </c>
      <c r="E663" s="831">
        <v>0.98985472703131294</v>
      </c>
      <c r="F663" s="831">
        <v>0.97310851294790324</v>
      </c>
      <c r="G663" s="831">
        <v>0.96881016746778204</v>
      </c>
      <c r="H663" s="831">
        <v>1.0034565515782012</v>
      </c>
      <c r="I663" s="831">
        <v>0.96879760012990868</v>
      </c>
      <c r="K663">
        <v>1.727050777929152</v>
      </c>
      <c r="L663">
        <v>0</v>
      </c>
      <c r="M663">
        <v>1.4075149851333613E-3</v>
      </c>
      <c r="N663">
        <v>0.13738142520373547</v>
      </c>
      <c r="O663">
        <v>1.7675362105134373E-2</v>
      </c>
      <c r="P663">
        <v>1.9597072175301038E-2</v>
      </c>
      <c r="Q663">
        <v>2.1179517851720978E-3</v>
      </c>
      <c r="R663">
        <v>1.3988885539959672E-3</v>
      </c>
      <c r="S663">
        <v>0.14678410075693588</v>
      </c>
      <c r="T663">
        <v>1.0722642876550568</v>
      </c>
      <c r="U663">
        <v>2.2940663363576246E-2</v>
      </c>
      <c r="V663">
        <v>0.20592025087594304</v>
      </c>
      <c r="W663">
        <v>8.2693146335328316E-2</v>
      </c>
      <c r="X663">
        <v>1.5877830603616361E-2</v>
      </c>
      <c r="Y663">
        <v>3.8073135004891333E-3</v>
      </c>
    </row>
    <row r="664" spans="1:25" x14ac:dyDescent="0.25">
      <c r="A664" s="827"/>
      <c r="B664" s="1066">
        <v>414</v>
      </c>
      <c r="C664" s="831">
        <v>0.98435370625681329</v>
      </c>
      <c r="D664" s="831">
        <v>1.0068294766611434</v>
      </c>
      <c r="E664" s="831">
        <v>0.95603944486744585</v>
      </c>
      <c r="F664" s="831">
        <v>1.0103529664956667</v>
      </c>
      <c r="G664" s="831">
        <v>1.0054026344756388</v>
      </c>
      <c r="H664" s="831">
        <v>1.0115941959141432</v>
      </c>
      <c r="I664" s="831">
        <v>1.0039431630548195</v>
      </c>
      <c r="K664">
        <v>1.7419957447577366</v>
      </c>
      <c r="L664">
        <v>0</v>
      </c>
      <c r="M664">
        <v>1.5566997981987937E-3</v>
      </c>
      <c r="N664">
        <v>0.13674626214601882</v>
      </c>
      <c r="O664">
        <v>1.8063923639348781E-2</v>
      </c>
      <c r="P664">
        <v>1.9288363303947998E-2</v>
      </c>
      <c r="Q664">
        <v>2.0950948385625215E-3</v>
      </c>
      <c r="R664">
        <v>1.5472178043652908E-3</v>
      </c>
      <c r="S664">
        <v>0.15618339230562561</v>
      </c>
      <c r="T664">
        <v>1.0752994045226927</v>
      </c>
      <c r="U664">
        <v>2.3693239279802592E-2</v>
      </c>
      <c r="V664">
        <v>0.20725719358849556</v>
      </c>
      <c r="W664">
        <v>8.4274902767870558E-2</v>
      </c>
      <c r="X664">
        <v>1.4892433535934087E-2</v>
      </c>
      <c r="Y664">
        <v>4.2110168232701896E-3</v>
      </c>
    </row>
    <row r="665" spans="1:25" x14ac:dyDescent="0.25">
      <c r="A665" s="827"/>
      <c r="B665" s="1066">
        <v>415</v>
      </c>
      <c r="C665" s="831">
        <v>1.0035066101478809</v>
      </c>
      <c r="D665" s="831">
        <v>0.99460260437089021</v>
      </c>
      <c r="E665" s="831">
        <v>0.99410837272172348</v>
      </c>
      <c r="F665" s="831">
        <v>0.98251143305544586</v>
      </c>
      <c r="G665" s="831">
        <v>1.0118328206375473</v>
      </c>
      <c r="H665" s="831">
        <v>1.0162429377507529</v>
      </c>
      <c r="I665" s="831">
        <v>1.0339049954590629</v>
      </c>
      <c r="K665">
        <v>1.7456364023353312</v>
      </c>
      <c r="L665">
        <v>0</v>
      </c>
      <c r="M665">
        <v>1.4241213958307022E-3</v>
      </c>
      <c r="N665">
        <v>0.14086528770973797</v>
      </c>
      <c r="O665">
        <v>1.7817485570767944E-2</v>
      </c>
      <c r="P665">
        <v>1.9828867517856095E-2</v>
      </c>
      <c r="Q665">
        <v>2.1461202578922428E-3</v>
      </c>
      <c r="R665">
        <v>1.4154952168501397E-3</v>
      </c>
      <c r="S665">
        <v>0.1589220235366943</v>
      </c>
      <c r="T665">
        <v>1.0718855403409162</v>
      </c>
      <c r="U665">
        <v>2.3241030664328442E-2</v>
      </c>
      <c r="V665">
        <v>0.20630029278293993</v>
      </c>
      <c r="W665">
        <v>8.4542358222813668E-2</v>
      </c>
      <c r="X665">
        <v>1.6243510547969651E-2</v>
      </c>
      <c r="Y665">
        <v>3.8525113623932507E-3</v>
      </c>
    </row>
    <row r="666" spans="1:25" x14ac:dyDescent="0.25">
      <c r="A666" s="827"/>
      <c r="B666" s="1066">
        <v>416</v>
      </c>
      <c r="C666" s="831">
        <v>0.99388076950255733</v>
      </c>
      <c r="D666" s="831">
        <v>1.0001360161730253</v>
      </c>
      <c r="E666" s="831">
        <v>1.02037592135823</v>
      </c>
      <c r="F666" s="831">
        <v>1.0197623058453817</v>
      </c>
      <c r="G666" s="831">
        <v>1.0076582429252867</v>
      </c>
      <c r="H666" s="831">
        <v>0.99249448367951143</v>
      </c>
      <c r="I666" s="831">
        <v>0.99930742268273487</v>
      </c>
      <c r="K666">
        <v>1.739977850583746</v>
      </c>
      <c r="L666">
        <v>0</v>
      </c>
      <c r="M666">
        <v>1.3253243497868676E-3</v>
      </c>
      <c r="N666">
        <v>0.14222851229990469</v>
      </c>
      <c r="O666">
        <v>1.794488249723358E-2</v>
      </c>
      <c r="P666">
        <v>2.0115422544684729E-2</v>
      </c>
      <c r="Q666">
        <v>2.2200732498756323E-3</v>
      </c>
      <c r="R666">
        <v>1.3171007940651336E-3</v>
      </c>
      <c r="S666">
        <v>0.15302049091909115</v>
      </c>
      <c r="T666">
        <v>1.0695617947235296</v>
      </c>
      <c r="U666">
        <v>2.3466122510828191E-2</v>
      </c>
      <c r="V666">
        <v>0.20683214586619608</v>
      </c>
      <c r="W666">
        <v>8.3847573878194692E-2</v>
      </c>
      <c r="X666">
        <v>1.7164341470642556E-2</v>
      </c>
      <c r="Y666">
        <v>3.5847141792852187E-3</v>
      </c>
    </row>
    <row r="667" spans="1:25" x14ac:dyDescent="0.25">
      <c r="A667" s="827"/>
      <c r="B667" s="1066">
        <v>417</v>
      </c>
      <c r="C667" s="831">
        <v>1.0240743570940771</v>
      </c>
      <c r="D667" s="831">
        <v>1.0208475284268361</v>
      </c>
      <c r="E667" s="831">
        <v>0.96666306465063623</v>
      </c>
      <c r="F667" s="831">
        <v>1.0233815475403951</v>
      </c>
      <c r="G667" s="831">
        <v>0.97195425909575928</v>
      </c>
      <c r="H667" s="831">
        <v>1.008723259825143</v>
      </c>
      <c r="I667" s="831">
        <v>0.99937430755498169</v>
      </c>
      <c r="K667">
        <v>1.7168154586731046</v>
      </c>
      <c r="L667">
        <v>0</v>
      </c>
      <c r="M667">
        <v>1.4501766690180099E-3</v>
      </c>
      <c r="N667">
        <v>0.13167888484766202</v>
      </c>
      <c r="O667">
        <v>1.7255046222635805E-2</v>
      </c>
      <c r="P667">
        <v>1.9246261650025173E-2</v>
      </c>
      <c r="Q667">
        <v>2.0255122243882464E-3</v>
      </c>
      <c r="R667">
        <v>1.4413084653751582E-3</v>
      </c>
      <c r="S667">
        <v>0.14838862354730545</v>
      </c>
      <c r="T667">
        <v>1.0743412557556555</v>
      </c>
      <c r="U667">
        <v>2.277425241315818E-2</v>
      </c>
      <c r="V667">
        <v>0.20181274874044644</v>
      </c>
      <c r="W667">
        <v>8.0548075322475154E-2</v>
      </c>
      <c r="X667">
        <v>1.483089963745023E-2</v>
      </c>
      <c r="Y667">
        <v>3.9227665155432637E-3</v>
      </c>
    </row>
    <row r="668" spans="1:25" x14ac:dyDescent="0.25">
      <c r="A668" s="827"/>
      <c r="B668" s="1066">
        <v>418</v>
      </c>
      <c r="C668" s="831">
        <v>0.96365595342080324</v>
      </c>
      <c r="D668" s="831">
        <v>1.0019590160161513</v>
      </c>
      <c r="E668" s="831">
        <v>0.98238971950050546</v>
      </c>
      <c r="F668" s="831">
        <v>0.99736780955945759</v>
      </c>
      <c r="G668" s="831">
        <v>0.9558730767551219</v>
      </c>
      <c r="H668" s="831">
        <v>1.0048785292064741</v>
      </c>
      <c r="I668" s="831">
        <v>0.97617845612078846</v>
      </c>
      <c r="K668">
        <v>1.7519118608797166</v>
      </c>
      <c r="L668">
        <v>0</v>
      </c>
      <c r="M668">
        <v>1.497997542989124E-3</v>
      </c>
      <c r="N668">
        <v>0.14285295142921059</v>
      </c>
      <c r="O668">
        <v>1.8492460354552133E-2</v>
      </c>
      <c r="P668">
        <v>1.9678389192718439E-2</v>
      </c>
      <c r="Q668">
        <v>2.2024992329289011E-3</v>
      </c>
      <c r="R668">
        <v>1.4888157500624034E-3</v>
      </c>
      <c r="S668">
        <v>0.15495050115783804</v>
      </c>
      <c r="T668">
        <v>1.0729306235684373</v>
      </c>
      <c r="U668">
        <v>2.4202131285042627E-2</v>
      </c>
      <c r="V668">
        <v>0.21004936048495312</v>
      </c>
      <c r="W668">
        <v>8.6431227192422633E-2</v>
      </c>
      <c r="X668">
        <v>1.6078833090847979E-2</v>
      </c>
      <c r="Y668">
        <v>4.0520656836897546E-3</v>
      </c>
    </row>
    <row r="669" spans="1:25" x14ac:dyDescent="0.25">
      <c r="A669" s="827"/>
      <c r="B669" s="1066">
        <v>419</v>
      </c>
      <c r="C669" s="831">
        <v>1.0292256472019128</v>
      </c>
      <c r="D669" s="831">
        <v>0.99094908254538339</v>
      </c>
      <c r="E669" s="831">
        <v>1.0058539827954001</v>
      </c>
      <c r="F669" s="831">
        <v>1.0361418992894615</v>
      </c>
      <c r="G669" s="831">
        <v>1.0074383041952197</v>
      </c>
      <c r="H669" s="831">
        <v>0.97441746224172365</v>
      </c>
      <c r="I669" s="831">
        <v>0.97769698396938209</v>
      </c>
      <c r="K669">
        <v>1.7131446147847895</v>
      </c>
      <c r="L669">
        <v>0</v>
      </c>
      <c r="M669">
        <v>1.3010245776314037E-3</v>
      </c>
      <c r="N669">
        <v>0.13344418601355021</v>
      </c>
      <c r="O669">
        <v>1.7401257154228265E-2</v>
      </c>
      <c r="P669">
        <v>1.9742811532047828E-2</v>
      </c>
      <c r="Q669">
        <v>2.1202363939264155E-3</v>
      </c>
      <c r="R669">
        <v>1.2928082314731418E-3</v>
      </c>
      <c r="S669">
        <v>0.1438873278491937</v>
      </c>
      <c r="T669">
        <v>1.0708432476363074</v>
      </c>
      <c r="U669">
        <v>2.2660266931463047E-2</v>
      </c>
      <c r="V669">
        <v>0.20394280669894627</v>
      </c>
      <c r="W669">
        <v>7.9447387155049717E-2</v>
      </c>
      <c r="X669">
        <v>1.6144705934283975E-2</v>
      </c>
      <c r="Y669">
        <v>3.5185978319509244E-3</v>
      </c>
    </row>
    <row r="670" spans="1:25" x14ac:dyDescent="0.25">
      <c r="A670" s="827"/>
      <c r="B670" s="1066">
        <v>420</v>
      </c>
      <c r="C670" s="831">
        <v>1.0103962969578832</v>
      </c>
      <c r="D670" s="831">
        <v>1.0058682320632617</v>
      </c>
      <c r="E670" s="831">
        <v>0.97838154471652428</v>
      </c>
      <c r="F670" s="831">
        <v>1.0279119699025872</v>
      </c>
      <c r="G670" s="831">
        <v>0.99901386000200754</v>
      </c>
      <c r="H670" s="831">
        <v>0.9915201144917134</v>
      </c>
      <c r="I670" s="831">
        <v>0.96125519142102411</v>
      </c>
      <c r="K670">
        <v>1.71827182176024</v>
      </c>
      <c r="L670">
        <v>0</v>
      </c>
      <c r="M670">
        <v>1.4191199032181549E-3</v>
      </c>
      <c r="N670">
        <v>0.13364009728275308</v>
      </c>
      <c r="O670">
        <v>1.7605942813901973E-2</v>
      </c>
      <c r="P670">
        <v>1.939243558795457E-2</v>
      </c>
      <c r="Q670">
        <v>2.0890546529475709E-3</v>
      </c>
      <c r="R670">
        <v>1.4103016003876334E-3</v>
      </c>
      <c r="S670">
        <v>0.14437845136438338</v>
      </c>
      <c r="T670">
        <v>1.0732892629494617</v>
      </c>
      <c r="U670">
        <v>2.3082554804014058E-2</v>
      </c>
      <c r="V670">
        <v>0.20454226684541918</v>
      </c>
      <c r="W670">
        <v>8.1082250209445678E-2</v>
      </c>
      <c r="X670">
        <v>1.5339947502329374E-2</v>
      </c>
      <c r="Y670">
        <v>3.8383760504575168E-3</v>
      </c>
    </row>
    <row r="671" spans="1:25" x14ac:dyDescent="0.25">
      <c r="A671" s="827"/>
      <c r="B671" s="1066">
        <v>421</v>
      </c>
      <c r="C671" s="831">
        <v>0.99327815987775059</v>
      </c>
      <c r="D671" s="831">
        <v>1.0013954085732546</v>
      </c>
      <c r="E671" s="831">
        <v>1.0178131768017329</v>
      </c>
      <c r="F671" s="831">
        <v>0.99503429609337002</v>
      </c>
      <c r="G671" s="831">
        <v>1.0085130300982477</v>
      </c>
      <c r="H671" s="831">
        <v>0.99022949633401236</v>
      </c>
      <c r="I671" s="831">
        <v>0.98369361827452195</v>
      </c>
      <c r="K671">
        <v>1.7364969194323838</v>
      </c>
      <c r="L671">
        <v>0</v>
      </c>
      <c r="M671">
        <v>1.3295258547202547E-3</v>
      </c>
      <c r="N671">
        <v>0.14154582519278139</v>
      </c>
      <c r="O671">
        <v>1.7945538055543355E-2</v>
      </c>
      <c r="P671">
        <v>2.0045122313056281E-2</v>
      </c>
      <c r="Q671">
        <v>2.2147307283451488E-3</v>
      </c>
      <c r="R671">
        <v>1.3212565118615432E-3</v>
      </c>
      <c r="S671">
        <v>0.15048137132931982</v>
      </c>
      <c r="T671">
        <v>1.0697873578538573</v>
      </c>
      <c r="U671">
        <v>2.3480359118309469E-2</v>
      </c>
      <c r="V671">
        <v>0.20678055069005508</v>
      </c>
      <c r="W671">
        <v>8.3589627358530399E-2</v>
      </c>
      <c r="X671">
        <v>1.7038681462248722E-2</v>
      </c>
      <c r="Y671">
        <v>3.5960246731950429E-3</v>
      </c>
    </row>
    <row r="672" spans="1:25" x14ac:dyDescent="0.25">
      <c r="A672" s="827"/>
      <c r="B672" s="1066">
        <v>422</v>
      </c>
      <c r="C672" s="831">
        <v>0.97746086380478681</v>
      </c>
      <c r="D672" s="831">
        <v>1.0084001615317588</v>
      </c>
      <c r="E672" s="831">
        <v>0.99798909820234838</v>
      </c>
      <c r="F672" s="831">
        <v>0.99395717131887762</v>
      </c>
      <c r="G672" s="831">
        <v>0.98992137247458112</v>
      </c>
      <c r="H672" s="831">
        <v>0.9735505519364267</v>
      </c>
      <c r="I672" s="831">
        <v>1.0010962793525531</v>
      </c>
      <c r="K672">
        <v>1.7384024149914956</v>
      </c>
      <c r="L672">
        <v>0</v>
      </c>
      <c r="M672">
        <v>1.3806226100676439E-3</v>
      </c>
      <c r="N672">
        <v>0.13818398460776388</v>
      </c>
      <c r="O672">
        <v>1.8178477839188051E-2</v>
      </c>
      <c r="P672">
        <v>1.9844065772941104E-2</v>
      </c>
      <c r="Q672">
        <v>2.2006605289146101E-3</v>
      </c>
      <c r="R672">
        <v>1.3718833928810608E-3</v>
      </c>
      <c r="S672">
        <v>0.1539508193114652</v>
      </c>
      <c r="T672">
        <v>1.0715405930564912</v>
      </c>
      <c r="U672">
        <v>2.3860318875090016E-2</v>
      </c>
      <c r="V672">
        <v>0.20787687520593662</v>
      </c>
      <c r="W672">
        <v>8.2712603320824751E-2</v>
      </c>
      <c r="X672">
        <v>1.6328941335883675E-2</v>
      </c>
      <c r="Y672">
        <v>3.7338143541833261E-3</v>
      </c>
    </row>
    <row r="673" spans="1:25" x14ac:dyDescent="0.25">
      <c r="A673" s="827"/>
      <c r="B673" s="1066">
        <v>423</v>
      </c>
      <c r="C673" s="831">
        <v>1.0043059892726034</v>
      </c>
      <c r="D673" s="831">
        <v>0.99612585497468287</v>
      </c>
      <c r="E673" s="831">
        <v>1.0118892014258873</v>
      </c>
      <c r="F673" s="831">
        <v>1.0255432201749335</v>
      </c>
      <c r="G673" s="831">
        <v>1.0259176166280659</v>
      </c>
      <c r="H673" s="831">
        <v>1.020858316278739</v>
      </c>
      <c r="I673" s="831">
        <v>1.0317920139097756</v>
      </c>
      <c r="K673">
        <v>1.7481460496475978</v>
      </c>
      <c r="L673">
        <v>0</v>
      </c>
      <c r="M673">
        <v>1.3759368743034809E-3</v>
      </c>
      <c r="N673">
        <v>0.14384214459308658</v>
      </c>
      <c r="O673">
        <v>1.7790960112143525E-2</v>
      </c>
      <c r="P673">
        <v>2.0065126322653781E-2</v>
      </c>
      <c r="Q673">
        <v>2.1817798635401261E-3</v>
      </c>
      <c r="R673">
        <v>1.3676392013826388E-3</v>
      </c>
      <c r="S673">
        <v>0.15871121566996696</v>
      </c>
      <c r="T673">
        <v>1.0703097156088957</v>
      </c>
      <c r="U673">
        <v>2.32225319249517E-2</v>
      </c>
      <c r="V673">
        <v>0.20607726197663273</v>
      </c>
      <c r="W673">
        <v>8.5287175761916675E-2</v>
      </c>
      <c r="X673">
        <v>1.6944172422706034E-2</v>
      </c>
      <c r="Y673">
        <v>3.7222630640219743E-3</v>
      </c>
    </row>
    <row r="674" spans="1:25" x14ac:dyDescent="0.25">
      <c r="A674" s="827"/>
      <c r="B674" s="1066">
        <v>424</v>
      </c>
      <c r="C674" s="831">
        <v>1.0017399565726657</v>
      </c>
      <c r="D674" s="831">
        <v>1.000390684204697</v>
      </c>
      <c r="E674" s="831">
        <v>0.95784950093411603</v>
      </c>
      <c r="F674" s="831">
        <v>0.9715470141503354</v>
      </c>
      <c r="G674" s="831">
        <v>0.96813760743661503</v>
      </c>
      <c r="H674" s="831">
        <v>0.999532711100247</v>
      </c>
      <c r="I674" s="831">
        <v>1.0220719421687361</v>
      </c>
      <c r="K674">
        <v>1.7336588507574555</v>
      </c>
      <c r="L674">
        <v>0</v>
      </c>
      <c r="M674">
        <v>1.5101071326273749E-3</v>
      </c>
      <c r="N674">
        <v>0.13339547612958061</v>
      </c>
      <c r="O674">
        <v>1.7802042192206692E-2</v>
      </c>
      <c r="P674">
        <v>1.9285314454736628E-2</v>
      </c>
      <c r="Q674">
        <v>2.0674870472292568E-3</v>
      </c>
      <c r="R674">
        <v>1.5008027980712507E-3</v>
      </c>
      <c r="S674">
        <v>0.15577747606213269</v>
      </c>
      <c r="T674">
        <v>1.0751358566938092</v>
      </c>
      <c r="U674">
        <v>2.3282018197715203E-2</v>
      </c>
      <c r="V674">
        <v>0.20595545629645828</v>
      </c>
      <c r="W674">
        <v>8.2104980551399517E-2</v>
      </c>
      <c r="X674">
        <v>1.4777356989900643E-2</v>
      </c>
      <c r="Y674">
        <v>4.0846904768405239E-3</v>
      </c>
    </row>
    <row r="675" spans="1:25" x14ac:dyDescent="0.25">
      <c r="A675" s="827"/>
      <c r="B675" s="1066">
        <v>425</v>
      </c>
      <c r="C675" s="831">
        <v>1.0190162045850022</v>
      </c>
      <c r="D675" s="831">
        <v>0.99158313629808825</v>
      </c>
      <c r="E675" s="831">
        <v>0.97675359284366847</v>
      </c>
      <c r="F675" s="831">
        <v>0.98448663368709055</v>
      </c>
      <c r="G675" s="831">
        <v>1.0221065764279755</v>
      </c>
      <c r="H675" s="831">
        <v>1.0022458420026539</v>
      </c>
      <c r="I675" s="831">
        <v>1.0385577770840471</v>
      </c>
      <c r="K675">
        <v>1.7324265290671423</v>
      </c>
      <c r="L675">
        <v>0</v>
      </c>
      <c r="M675">
        <v>1.4364722696335508E-3</v>
      </c>
      <c r="N675">
        <v>0.13459963427975868</v>
      </c>
      <c r="O675">
        <v>1.7570502178807755E-2</v>
      </c>
      <c r="P675">
        <v>1.9533977753716517E-2</v>
      </c>
      <c r="Q675">
        <v>2.0789572038418711E-3</v>
      </c>
      <c r="R675">
        <v>1.427651956457108E-3</v>
      </c>
      <c r="S675">
        <v>0.1563783616083535</v>
      </c>
      <c r="T675">
        <v>1.0734350995095916</v>
      </c>
      <c r="U675">
        <v>2.2887298350472585E-2</v>
      </c>
      <c r="V675">
        <v>0.20493774710412724</v>
      </c>
      <c r="W675">
        <v>8.1756881236277931E-2</v>
      </c>
      <c r="X675">
        <v>1.537129215523631E-2</v>
      </c>
      <c r="Y675">
        <v>3.8855980001352851E-3</v>
      </c>
    </row>
    <row r="676" spans="1:25" x14ac:dyDescent="0.25">
      <c r="A676" s="827"/>
      <c r="B676" s="1066">
        <v>426</v>
      </c>
      <c r="C676" s="831">
        <v>0.97037269534176263</v>
      </c>
      <c r="D676" s="831">
        <v>1.0358724416393525</v>
      </c>
      <c r="E676" s="831">
        <v>1.000100523040897</v>
      </c>
      <c r="F676" s="831">
        <v>0.98653232079399034</v>
      </c>
      <c r="G676" s="831">
        <v>0.98359263102459482</v>
      </c>
      <c r="H676" s="831">
        <v>1.0073478273378056</v>
      </c>
      <c r="I676" s="831">
        <v>0.98622648711661476</v>
      </c>
      <c r="K676">
        <v>1.7434476864398785</v>
      </c>
      <c r="L676">
        <v>0</v>
      </c>
      <c r="M676">
        <v>1.4153298091849357E-3</v>
      </c>
      <c r="N676">
        <v>0.14261999955273122</v>
      </c>
      <c r="O676">
        <v>1.8090235373631133E-2</v>
      </c>
      <c r="P676">
        <v>1.9846030691825511E-2</v>
      </c>
      <c r="Q676">
        <v>2.1994183130915356E-3</v>
      </c>
      <c r="R676">
        <v>1.4066527155028733E-3</v>
      </c>
      <c r="S676">
        <v>0.15350976454422635</v>
      </c>
      <c r="T676">
        <v>1.0713531528004285</v>
      </c>
      <c r="U676">
        <v>2.4034608568709818E-2</v>
      </c>
      <c r="V676">
        <v>0.20618014358778869</v>
      </c>
      <c r="W676">
        <v>8.5244536779519778E-2</v>
      </c>
      <c r="X676">
        <v>1.655002833295182E-2</v>
      </c>
      <c r="Y676">
        <v>3.8284449886557778E-3</v>
      </c>
    </row>
    <row r="677" spans="1:25" x14ac:dyDescent="0.25">
      <c r="A677" s="827"/>
      <c r="B677" s="1066">
        <v>427</v>
      </c>
      <c r="C677" s="831">
        <v>0.99054813632747662</v>
      </c>
      <c r="D677" s="831">
        <v>0.9989825630860778</v>
      </c>
      <c r="E677" s="831">
        <v>1.0060907536596828</v>
      </c>
      <c r="F677" s="831">
        <v>1.0368928591608562</v>
      </c>
      <c r="G677" s="831">
        <v>0.97384508194564878</v>
      </c>
      <c r="H677" s="831">
        <v>0.99620780730740122</v>
      </c>
      <c r="I677" s="831">
        <v>1.0119296982272774</v>
      </c>
      <c r="K677">
        <v>1.7434699682796926</v>
      </c>
      <c r="L677">
        <v>0</v>
      </c>
      <c r="M677">
        <v>1.376325399470027E-3</v>
      </c>
      <c r="N677">
        <v>0.14129071968790285</v>
      </c>
      <c r="O677">
        <v>1.801467122836967E-2</v>
      </c>
      <c r="P677">
        <v>1.9967810980691659E-2</v>
      </c>
      <c r="Q677">
        <v>2.1969553744817143E-3</v>
      </c>
      <c r="R677">
        <v>1.3678180179449702E-3</v>
      </c>
      <c r="S677">
        <v>0.1558215557926424</v>
      </c>
      <c r="T677">
        <v>1.0708222904087923</v>
      </c>
      <c r="U677">
        <v>2.3545072715772282E-2</v>
      </c>
      <c r="V677">
        <v>0.2073031454765302</v>
      </c>
      <c r="W677">
        <v>8.4105332568675556E-2</v>
      </c>
      <c r="X677">
        <v>1.6688171683601278E-2</v>
      </c>
      <c r="Y677">
        <v>3.7227497437577759E-3</v>
      </c>
    </row>
    <row r="678" spans="1:25" x14ac:dyDescent="0.25">
      <c r="A678" s="827"/>
      <c r="B678" s="1066">
        <v>428</v>
      </c>
      <c r="C678" s="831">
        <v>1.0065913753852587</v>
      </c>
      <c r="D678" s="831">
        <v>1.0231174083454389</v>
      </c>
      <c r="E678" s="831">
        <v>0.97138053794335177</v>
      </c>
      <c r="F678" s="831">
        <v>1.0108377763476211</v>
      </c>
      <c r="G678" s="831">
        <v>0.96963275579949171</v>
      </c>
      <c r="H678" s="831">
        <v>1.00879112966706</v>
      </c>
      <c r="I678" s="831">
        <v>1.0237923614885716</v>
      </c>
      <c r="K678">
        <v>1.7296366591625563</v>
      </c>
      <c r="L678">
        <v>0</v>
      </c>
      <c r="M678">
        <v>1.4594849395879936E-3</v>
      </c>
      <c r="N678">
        <v>0.13448788539750242</v>
      </c>
      <c r="O678">
        <v>1.753713324355817E-2</v>
      </c>
      <c r="P678">
        <v>1.9418886551161713E-2</v>
      </c>
      <c r="Q678">
        <v>2.0689531216664518E-3</v>
      </c>
      <c r="R678">
        <v>1.4505588175514593E-3</v>
      </c>
      <c r="S678">
        <v>0.15451718926558733</v>
      </c>
      <c r="T678">
        <v>1.0739171389518278</v>
      </c>
      <c r="U678">
        <v>2.3169807002744111E-2</v>
      </c>
      <c r="V678">
        <v>0.20340954821452686</v>
      </c>
      <c r="W678">
        <v>8.1995411878509866E-2</v>
      </c>
      <c r="X678">
        <v>1.5175688732718184E-2</v>
      </c>
      <c r="Y678">
        <v>3.9479429247893782E-3</v>
      </c>
    </row>
    <row r="679" spans="1:25" x14ac:dyDescent="0.25">
      <c r="A679" s="827"/>
      <c r="B679" s="1066">
        <v>429</v>
      </c>
      <c r="C679" s="831">
        <v>1.0089974567889748</v>
      </c>
      <c r="D679" s="831">
        <v>0.99110747226098339</v>
      </c>
      <c r="E679" s="831">
        <v>1.0018744575280059</v>
      </c>
      <c r="F679" s="831">
        <v>1.0063206162624918</v>
      </c>
      <c r="G679" s="831">
        <v>1.0104918000999767</v>
      </c>
      <c r="H679" s="831">
        <v>1.0350887616919524</v>
      </c>
      <c r="I679" s="831">
        <v>0.9610655971269888</v>
      </c>
      <c r="K679">
        <v>1.7389346988099965</v>
      </c>
      <c r="L679">
        <v>0</v>
      </c>
      <c r="M679">
        <v>1.4215068218437412E-3</v>
      </c>
      <c r="N679">
        <v>0.14406201103295438</v>
      </c>
      <c r="O679">
        <v>1.7748827939968827E-2</v>
      </c>
      <c r="P679">
        <v>1.9786258422321679E-2</v>
      </c>
      <c r="Q679">
        <v>2.153999153277152E-3</v>
      </c>
      <c r="R679">
        <v>1.4130556813402419E-3</v>
      </c>
      <c r="S679">
        <v>0.14843098139491914</v>
      </c>
      <c r="T679">
        <v>1.0711958030845501</v>
      </c>
      <c r="U679">
        <v>2.3114555682354807E-2</v>
      </c>
      <c r="V679">
        <v>0.20604071252056275</v>
      </c>
      <c r="W679">
        <v>8.600205220473478E-2</v>
      </c>
      <c r="X679">
        <v>1.6562076763928728E-2</v>
      </c>
      <c r="Y679">
        <v>3.8458717509279755E-3</v>
      </c>
    </row>
    <row r="680" spans="1:25" x14ac:dyDescent="0.25">
      <c r="A680" s="827"/>
      <c r="B680" s="1066">
        <v>430</v>
      </c>
      <c r="C680" s="831">
        <v>1.0085929424493281</v>
      </c>
      <c r="D680" s="831">
        <v>0.99832488658426455</v>
      </c>
      <c r="E680" s="831">
        <v>0.99877332660561657</v>
      </c>
      <c r="F680" s="831">
        <v>0.98132240126419212</v>
      </c>
      <c r="G680" s="831">
        <v>0.97226637327961607</v>
      </c>
      <c r="H680" s="831">
        <v>1.0179998731722868</v>
      </c>
      <c r="I680" s="831">
        <v>1.0134785094456247</v>
      </c>
      <c r="K680">
        <v>1.7397565381232705</v>
      </c>
      <c r="L680">
        <v>0</v>
      </c>
      <c r="M680">
        <v>1.4031464039937496E-3</v>
      </c>
      <c r="N680">
        <v>0.14082131176264859</v>
      </c>
      <c r="O680">
        <v>1.7697648862892639E-2</v>
      </c>
      <c r="P680">
        <v>1.9823848288580991E-2</v>
      </c>
      <c r="Q680">
        <v>2.1423820559630068E-3</v>
      </c>
      <c r="R680">
        <v>1.3946593557182503E-3</v>
      </c>
      <c r="S680">
        <v>0.15488303096280298</v>
      </c>
      <c r="T680">
        <v>1.0714709540930889</v>
      </c>
      <c r="U680">
        <v>2.312382619063872E-2</v>
      </c>
      <c r="V680">
        <v>0.20541477474036871</v>
      </c>
      <c r="W680">
        <v>8.4245954940516482E-2</v>
      </c>
      <c r="X680">
        <v>1.6345490257113394E-2</v>
      </c>
      <c r="Y680">
        <v>3.7958030169320252E-3</v>
      </c>
    </row>
    <row r="681" spans="1:25" x14ac:dyDescent="0.25">
      <c r="A681" s="827"/>
      <c r="B681" s="1066">
        <v>431</v>
      </c>
      <c r="C681" s="831">
        <v>1.0142340992788228</v>
      </c>
      <c r="D681" s="831">
        <v>1.0367040357177646</v>
      </c>
      <c r="E681" s="831">
        <v>1.023088975146734</v>
      </c>
      <c r="F681" s="831">
        <v>0.9899097446326881</v>
      </c>
      <c r="G681" s="831">
        <v>0.99120971329450813</v>
      </c>
      <c r="H681" s="831">
        <v>0.98663977513749257</v>
      </c>
      <c r="I681" s="831">
        <v>0.99543203405390579</v>
      </c>
      <c r="K681">
        <v>1.7172978975710083</v>
      </c>
      <c r="L681">
        <v>0</v>
      </c>
      <c r="M681">
        <v>1.2630416935548482E-3</v>
      </c>
      <c r="N681">
        <v>0.13668409779125937</v>
      </c>
      <c r="O681">
        <v>1.7301644056704958E-2</v>
      </c>
      <c r="P681">
        <v>1.9983917631054615E-2</v>
      </c>
      <c r="Q681">
        <v>2.1525363599407248E-3</v>
      </c>
      <c r="R681">
        <v>1.2551352165500631E-3</v>
      </c>
      <c r="S681">
        <v>0.14675737651375526</v>
      </c>
      <c r="T681">
        <v>1.0693232730719711</v>
      </c>
      <c r="U681">
        <v>2.2995211771016998E-2</v>
      </c>
      <c r="V681">
        <v>0.2014511573173022</v>
      </c>
      <c r="W681">
        <v>8.0431786000282113E-2</v>
      </c>
      <c r="X681">
        <v>1.6808739230486574E-2</v>
      </c>
      <c r="Y681">
        <v>3.4160643042363352E-3</v>
      </c>
    </row>
    <row r="682" spans="1:25" x14ac:dyDescent="0.25">
      <c r="A682" s="827"/>
      <c r="B682" s="1066">
        <v>432</v>
      </c>
      <c r="C682" s="831">
        <v>0.98739434042649887</v>
      </c>
      <c r="D682" s="831">
        <v>1.0113670628606388</v>
      </c>
      <c r="E682" s="831">
        <v>0.98169717495572462</v>
      </c>
      <c r="F682" s="831">
        <v>0.95990732720244398</v>
      </c>
      <c r="G682" s="831">
        <v>1.0123770199618161</v>
      </c>
      <c r="H682" s="831">
        <v>0.97572678375627964</v>
      </c>
      <c r="I682" s="831">
        <v>1.001637701792194</v>
      </c>
      <c r="K682">
        <v>1.7309091444841038</v>
      </c>
      <c r="L682">
        <v>0</v>
      </c>
      <c r="M682">
        <v>1.41564289740247E-3</v>
      </c>
      <c r="N682">
        <v>0.13468298654936173</v>
      </c>
      <c r="O682">
        <v>1.7971692963338715E-2</v>
      </c>
      <c r="P682">
        <v>1.9579789808386386E-2</v>
      </c>
      <c r="Q682">
        <v>2.1406035927766958E-3</v>
      </c>
      <c r="R682">
        <v>1.406699862039834E-3</v>
      </c>
      <c r="S682">
        <v>0.15245667828091572</v>
      </c>
      <c r="T682">
        <v>1.0729925472162882</v>
      </c>
      <c r="U682">
        <v>2.3620277070080426E-2</v>
      </c>
      <c r="V682">
        <v>0.20650632761942067</v>
      </c>
      <c r="W682">
        <v>8.1527213884653227E-2</v>
      </c>
      <c r="X682">
        <v>1.5611397228254244E-2</v>
      </c>
      <c r="Y682">
        <v>3.828573305987534E-3</v>
      </c>
    </row>
    <row r="683" spans="1:25" x14ac:dyDescent="0.25">
      <c r="A683" s="827"/>
      <c r="B683" s="1066">
        <v>433</v>
      </c>
      <c r="C683" s="831">
        <v>1.0045315624645643</v>
      </c>
      <c r="D683" s="831">
        <v>1.0150293673592836</v>
      </c>
      <c r="E683" s="831">
        <v>0.97038879778036002</v>
      </c>
      <c r="F683" s="831">
        <v>1.0123137919233856</v>
      </c>
      <c r="G683" s="831">
        <v>1.0205702881698402</v>
      </c>
      <c r="H683" s="831">
        <v>1.0141941780321895</v>
      </c>
      <c r="I683" s="831">
        <v>0.99547896477335251</v>
      </c>
      <c r="K683">
        <v>1.7299906831477498</v>
      </c>
      <c r="L683">
        <v>0</v>
      </c>
      <c r="M683">
        <v>1.478659209895084E-3</v>
      </c>
      <c r="N683">
        <v>0.1358390712472835</v>
      </c>
      <c r="O683">
        <v>1.7636242739800089E-2</v>
      </c>
      <c r="P683">
        <v>1.9377145974770617E-2</v>
      </c>
      <c r="Q683">
        <v>2.0772003846430227E-3</v>
      </c>
      <c r="R683">
        <v>1.4696697533303853E-3</v>
      </c>
      <c r="S683">
        <v>0.15142978569662982</v>
      </c>
      <c r="T683">
        <v>1.0740062305192286</v>
      </c>
      <c r="U683">
        <v>2.3217317175263891E-2</v>
      </c>
      <c r="V683">
        <v>0.20433820778955836</v>
      </c>
      <c r="W683">
        <v>8.2876590305012571E-2</v>
      </c>
      <c r="X683">
        <v>1.5201924180061697E-2</v>
      </c>
      <c r="Y683">
        <v>3.9999565920613286E-3</v>
      </c>
    </row>
    <row r="684" spans="1:25" x14ac:dyDescent="0.25">
      <c r="A684" s="827"/>
      <c r="B684" s="1066">
        <v>434</v>
      </c>
      <c r="C684" s="831">
        <v>1.0296299974059793</v>
      </c>
      <c r="D684" s="831">
        <v>0.98935532887279298</v>
      </c>
      <c r="E684" s="831">
        <v>0.99582293373565434</v>
      </c>
      <c r="F684" s="831">
        <v>1.0069769000678956</v>
      </c>
      <c r="G684" s="831">
        <v>0.96598810857838457</v>
      </c>
      <c r="H684" s="831">
        <v>1.0258443339832506</v>
      </c>
      <c r="I684" s="831">
        <v>0.99364727670619413</v>
      </c>
      <c r="K684">
        <v>1.7299404740455844</v>
      </c>
      <c r="L684">
        <v>0</v>
      </c>
      <c r="M684">
        <v>1.3994052607759358E-3</v>
      </c>
      <c r="N684">
        <v>0.13916943237869694</v>
      </c>
      <c r="O684">
        <v>1.7407125067467409E-2</v>
      </c>
      <c r="P684">
        <v>1.9690207263774732E-2</v>
      </c>
      <c r="Q684">
        <v>2.0994045605231687E-3</v>
      </c>
      <c r="R684">
        <v>1.3910117611826583E-3</v>
      </c>
      <c r="S684">
        <v>0.14985507600246004</v>
      </c>
      <c r="T684">
        <v>1.0717330675771697</v>
      </c>
      <c r="U684">
        <v>2.265136792543081E-2</v>
      </c>
      <c r="V684">
        <v>0.20404316540937695</v>
      </c>
      <c r="W684">
        <v>8.3426289694007699E-2</v>
      </c>
      <c r="X684">
        <v>1.608785619923284E-2</v>
      </c>
      <c r="Y684">
        <v>3.7858754670353585E-3</v>
      </c>
    </row>
    <row r="685" spans="1:25" x14ac:dyDescent="0.25">
      <c r="A685" s="827"/>
      <c r="B685" s="1066">
        <v>435</v>
      </c>
      <c r="C685" s="831">
        <v>0.99882242080597938</v>
      </c>
      <c r="D685" s="831">
        <v>0.97396573790940222</v>
      </c>
      <c r="E685" s="831">
        <v>0.9760343047201957</v>
      </c>
      <c r="F685" s="831">
        <v>1.0004433541111235</v>
      </c>
      <c r="G685" s="831">
        <v>1.0087613325526641</v>
      </c>
      <c r="H685" s="831">
        <v>1.0375457880942991</v>
      </c>
      <c r="I685" s="831">
        <v>1.0150098462113877</v>
      </c>
      <c r="K685">
        <v>1.7553770654626202</v>
      </c>
      <c r="L685">
        <v>0</v>
      </c>
      <c r="M685">
        <v>1.5318220596093521E-3</v>
      </c>
      <c r="N685">
        <v>0.14324401574601633</v>
      </c>
      <c r="O685">
        <v>1.8072189951957671E-2</v>
      </c>
      <c r="P685">
        <v>1.9626150433781707E-2</v>
      </c>
      <c r="Q685">
        <v>2.1335847180681145E-3</v>
      </c>
      <c r="R685">
        <v>1.5227496654885665E-3</v>
      </c>
      <c r="S685">
        <v>0.15969598665278761</v>
      </c>
      <c r="T685">
        <v>1.0734995670812533</v>
      </c>
      <c r="U685">
        <v>2.3350024401217907E-2</v>
      </c>
      <c r="V685">
        <v>0.20876860231749911</v>
      </c>
      <c r="W685">
        <v>8.7051093946439076E-2</v>
      </c>
      <c r="X685">
        <v>1.5800499992552348E-2</v>
      </c>
      <c r="Y685">
        <v>4.1444226151675584E-3</v>
      </c>
    </row>
    <row r="686" spans="1:25" x14ac:dyDescent="0.25">
      <c r="A686" s="827"/>
      <c r="B686" s="1066">
        <v>436</v>
      </c>
      <c r="C686" s="831">
        <v>0.99498811881759253</v>
      </c>
      <c r="D686" s="831">
        <v>0.97528420147025696</v>
      </c>
      <c r="E686" s="831">
        <v>1.0052265552427126</v>
      </c>
      <c r="F686" s="831">
        <v>1.0300352812140485</v>
      </c>
      <c r="G686" s="831">
        <v>0.95697063235920798</v>
      </c>
      <c r="H686" s="831">
        <v>0.97817373451411127</v>
      </c>
      <c r="I686" s="831">
        <v>0.98500671091652825</v>
      </c>
      <c r="K686">
        <v>1.7377162464509774</v>
      </c>
      <c r="L686">
        <v>0</v>
      </c>
      <c r="M686">
        <v>1.3625764093097505E-3</v>
      </c>
      <c r="N686">
        <v>0.13948959913372561</v>
      </c>
      <c r="O686">
        <v>1.8130686101886659E-2</v>
      </c>
      <c r="P686">
        <v>1.9915676492651177E-2</v>
      </c>
      <c r="Q686">
        <v>2.2048163122699691E-3</v>
      </c>
      <c r="R686">
        <v>1.3540156112992864E-3</v>
      </c>
      <c r="S686">
        <v>0.15121743380496816</v>
      </c>
      <c r="T686">
        <v>1.0708987931848255</v>
      </c>
      <c r="U686">
        <v>2.344000642542228E-2</v>
      </c>
      <c r="V686">
        <v>0.20906563445989085</v>
      </c>
      <c r="W686">
        <v>8.308210978228156E-2</v>
      </c>
      <c r="X686">
        <v>1.6594867408234421E-2</v>
      </c>
      <c r="Y686">
        <v>3.6851841428303536E-3</v>
      </c>
    </row>
    <row r="687" spans="1:25" x14ac:dyDescent="0.25">
      <c r="A687" s="827"/>
      <c r="B687" s="1066">
        <v>437</v>
      </c>
      <c r="C687" s="831">
        <v>1.0000828264589077</v>
      </c>
      <c r="D687" s="831">
        <v>1.0005241719004074</v>
      </c>
      <c r="E687" s="831">
        <v>0.97857194354850507</v>
      </c>
      <c r="F687" s="831">
        <v>0.98883669896934279</v>
      </c>
      <c r="G687" s="831">
        <v>0.99788673293660546</v>
      </c>
      <c r="H687" s="831">
        <v>1.0212105942606118</v>
      </c>
      <c r="I687" s="831">
        <v>1.0298237559721246</v>
      </c>
      <c r="K687">
        <v>1.7448100653415359</v>
      </c>
      <c r="L687">
        <v>0</v>
      </c>
      <c r="M687">
        <v>1.4796584481619125E-3</v>
      </c>
      <c r="N687">
        <v>0.13944948735217769</v>
      </c>
      <c r="O687">
        <v>1.783046244471595E-2</v>
      </c>
      <c r="P687">
        <v>1.9613320540170755E-2</v>
      </c>
      <c r="Q687">
        <v>2.1151828462098649E-3</v>
      </c>
      <c r="R687">
        <v>1.4707351489303309E-3</v>
      </c>
      <c r="S687">
        <v>0.15881241232931675</v>
      </c>
      <c r="T687">
        <v>1.0732722129812555</v>
      </c>
      <c r="U687">
        <v>2.3320596335889041E-2</v>
      </c>
      <c r="V687">
        <v>0.20612560870650859</v>
      </c>
      <c r="W687">
        <v>8.4595739876309362E-2</v>
      </c>
      <c r="X687">
        <v>1.5681108980536856E-2</v>
      </c>
      <c r="Y687">
        <v>4.0028562476768165E-3</v>
      </c>
    </row>
    <row r="688" spans="1:25" x14ac:dyDescent="0.25">
      <c r="A688" s="827"/>
      <c r="B688" s="1066">
        <v>438</v>
      </c>
      <c r="C688" s="831">
        <v>1.0081371724561361</v>
      </c>
      <c r="D688" s="831">
        <v>0.98413750783220322</v>
      </c>
      <c r="E688" s="831">
        <v>1.0280347491165618</v>
      </c>
      <c r="F688" s="831">
        <v>0.9779976360505831</v>
      </c>
      <c r="G688" s="831">
        <v>1.0252797572587788</v>
      </c>
      <c r="H688" s="831">
        <v>1.0261846147887987</v>
      </c>
      <c r="I688" s="831">
        <v>0.98213087227298468</v>
      </c>
      <c r="K688">
        <v>1.7454004079372443</v>
      </c>
      <c r="L688">
        <v>0</v>
      </c>
      <c r="M688">
        <v>1.3389838887973785E-3</v>
      </c>
      <c r="N688">
        <v>0.14718444952976314</v>
      </c>
      <c r="O688">
        <v>1.7820935074904752E-2</v>
      </c>
      <c r="P688">
        <v>2.0194292391637843E-2</v>
      </c>
      <c r="Q688">
        <v>2.2186037593800818E-3</v>
      </c>
      <c r="R688">
        <v>1.3309589364078321E-3</v>
      </c>
      <c r="S688">
        <v>0.1516333539687271</v>
      </c>
      <c r="T688">
        <v>1.0688891768218272</v>
      </c>
      <c r="U688">
        <v>2.3134280270096806E-2</v>
      </c>
      <c r="V688">
        <v>0.20678491048237382</v>
      </c>
      <c r="W688">
        <v>8.6323265321213385E-2</v>
      </c>
      <c r="X688">
        <v>1.7602733795302639E-2</v>
      </c>
      <c r="Y688">
        <v>3.6224314744066487E-3</v>
      </c>
    </row>
    <row r="689" spans="1:25" x14ac:dyDescent="0.25">
      <c r="A689" s="827"/>
      <c r="B689" s="1066">
        <v>439</v>
      </c>
      <c r="C689" s="831">
        <v>0.99520124247196895</v>
      </c>
      <c r="D689" s="831">
        <v>0.99048323729194976</v>
      </c>
      <c r="E689" s="831">
        <v>0.98555155046935106</v>
      </c>
      <c r="F689" s="831">
        <v>1.0196157433866111</v>
      </c>
      <c r="G689" s="831">
        <v>0.96449260043523044</v>
      </c>
      <c r="H689" s="831">
        <v>0.96044220644153677</v>
      </c>
      <c r="I689" s="831">
        <v>1.0055645255521821</v>
      </c>
      <c r="K689">
        <v>1.7286977980010279</v>
      </c>
      <c r="L689">
        <v>0</v>
      </c>
      <c r="M689">
        <v>1.3843946635942602E-3</v>
      </c>
      <c r="N689">
        <v>0.13328886840235452</v>
      </c>
      <c r="O689">
        <v>1.8000017073820283E-2</v>
      </c>
      <c r="P689">
        <v>1.9639106374339708E-2</v>
      </c>
      <c r="Q689">
        <v>2.1486994239317586E-3</v>
      </c>
      <c r="R689">
        <v>1.3755249367382971E-3</v>
      </c>
      <c r="S689">
        <v>0.15205988377083327</v>
      </c>
      <c r="T689">
        <v>1.0726481386017603</v>
      </c>
      <c r="U689">
        <v>2.3434986717231814E-2</v>
      </c>
      <c r="V689">
        <v>0.20758602372555787</v>
      </c>
      <c r="W689">
        <v>8.0468363153129524E-2</v>
      </c>
      <c r="X689">
        <v>1.5688855048795518E-2</v>
      </c>
      <c r="Y689">
        <v>3.7437254361281135E-3</v>
      </c>
    </row>
    <row r="690" spans="1:25" x14ac:dyDescent="0.25">
      <c r="A690" s="827"/>
      <c r="B690" s="1066">
        <v>440</v>
      </c>
      <c r="C690" s="831">
        <v>0.978635487006703</v>
      </c>
      <c r="D690" s="831">
        <v>1.0036640960716112</v>
      </c>
      <c r="E690" s="831">
        <v>0.99616889861093083</v>
      </c>
      <c r="F690" s="831">
        <v>1.0297223481797539</v>
      </c>
      <c r="G690" s="831">
        <v>1.0238962218941898</v>
      </c>
      <c r="H690" s="831">
        <v>1.0141503804723428</v>
      </c>
      <c r="I690" s="831">
        <v>0.99548059477379269</v>
      </c>
      <c r="K690">
        <v>1.7506060029364909</v>
      </c>
      <c r="L690">
        <v>0</v>
      </c>
      <c r="M690">
        <v>1.4450592387337277E-3</v>
      </c>
      <c r="N690">
        <v>0.14385344359913563</v>
      </c>
      <c r="O690">
        <v>1.8195390160306312E-2</v>
      </c>
      <c r="P690">
        <v>1.9853161669059004E-2</v>
      </c>
      <c r="Q690">
        <v>2.1978293518184911E-3</v>
      </c>
      <c r="R690">
        <v>1.4362816885449125E-3</v>
      </c>
      <c r="S690">
        <v>0.15616186043515098</v>
      </c>
      <c r="T690">
        <v>1.0717023149960088</v>
      </c>
      <c r="U690">
        <v>2.3831680138269327E-2</v>
      </c>
      <c r="V690">
        <v>0.20818589861649933</v>
      </c>
      <c r="W690">
        <v>8.6213691321127592E-2</v>
      </c>
      <c r="X690">
        <v>1.6510424913214833E-2</v>
      </c>
      <c r="Y690">
        <v>3.9090852860878692E-3</v>
      </c>
    </row>
    <row r="691" spans="1:25" x14ac:dyDescent="0.25">
      <c r="A691" s="827"/>
      <c r="B691" s="1066">
        <v>441</v>
      </c>
      <c r="C691" s="831">
        <v>0.97956638456398371</v>
      </c>
      <c r="D691" s="831">
        <v>0.98801212351275147</v>
      </c>
      <c r="E691" s="831">
        <v>0.97649909030378157</v>
      </c>
      <c r="F691" s="831">
        <v>1.020623891161079</v>
      </c>
      <c r="G691" s="831">
        <v>0.99765839878540374</v>
      </c>
      <c r="H691" s="831">
        <v>1.0260616722583171</v>
      </c>
      <c r="I691" s="831">
        <v>1.0045627992591959</v>
      </c>
      <c r="K691">
        <v>1.7571060387172768</v>
      </c>
      <c r="L691">
        <v>0</v>
      </c>
      <c r="M691">
        <v>1.5331525660701546E-3</v>
      </c>
      <c r="N691">
        <v>0.14356566644971494</v>
      </c>
      <c r="O691">
        <v>1.8308045477534177E-2</v>
      </c>
      <c r="P691">
        <v>1.9644753018049757E-2</v>
      </c>
      <c r="Q691">
        <v>2.1650187619680914E-3</v>
      </c>
      <c r="R691">
        <v>1.5239598343663124E-3</v>
      </c>
      <c r="S691">
        <v>0.15935034628805478</v>
      </c>
      <c r="T691">
        <v>1.073457907565456</v>
      </c>
      <c r="U691">
        <v>2.380903251256862E-2</v>
      </c>
      <c r="V691">
        <v>0.20956539823863396</v>
      </c>
      <c r="W691">
        <v>8.721835767374074E-2</v>
      </c>
      <c r="X691">
        <v>1.5882989167338074E-2</v>
      </c>
      <c r="Y691">
        <v>4.1477162959207203E-3</v>
      </c>
    </row>
    <row r="692" spans="1:25" x14ac:dyDescent="0.25">
      <c r="A692" s="827"/>
      <c r="B692" s="1066">
        <v>442</v>
      </c>
      <c r="C692" s="831">
        <v>1.0191667286624559</v>
      </c>
      <c r="D692" s="831">
        <v>1.0259277900953279</v>
      </c>
      <c r="E692" s="831">
        <v>1.026801214095439</v>
      </c>
      <c r="F692" s="831">
        <v>0.98721067090394199</v>
      </c>
      <c r="G692" s="831">
        <v>1.0215473201068317</v>
      </c>
      <c r="H692" s="831">
        <v>0.99674641003607489</v>
      </c>
      <c r="I692" s="831">
        <v>0.98933435844743234</v>
      </c>
      <c r="K692">
        <v>1.7200759969205699</v>
      </c>
      <c r="L692">
        <v>0</v>
      </c>
      <c r="M692">
        <v>1.265827436156441E-3</v>
      </c>
      <c r="N692">
        <v>0.13858343151117419</v>
      </c>
      <c r="O692">
        <v>1.7299297854922069E-2</v>
      </c>
      <c r="P692">
        <v>2.0033986802683493E-2</v>
      </c>
      <c r="Q692">
        <v>2.1583609391648472E-3</v>
      </c>
      <c r="R692">
        <v>1.257990431746557E-3</v>
      </c>
      <c r="S692">
        <v>0.14647704615734522</v>
      </c>
      <c r="T692">
        <v>1.0689973587890822</v>
      </c>
      <c r="U692">
        <v>2.2883918050299247E-2</v>
      </c>
      <c r="V692">
        <v>0.20186999281396698</v>
      </c>
      <c r="W692">
        <v>8.1346126559699042E-2</v>
      </c>
      <c r="X692">
        <v>1.701047918786058E-2</v>
      </c>
      <c r="Y692">
        <v>3.4238352587797551E-3</v>
      </c>
    </row>
    <row r="693" spans="1:25" x14ac:dyDescent="0.25">
      <c r="A693" s="827"/>
      <c r="B693" s="1066">
        <v>443</v>
      </c>
      <c r="C693" s="831">
        <v>0.97167298786570522</v>
      </c>
      <c r="D693" s="831">
        <v>0.96929791012899114</v>
      </c>
      <c r="E693" s="831">
        <v>0.99880029218725419</v>
      </c>
      <c r="F693" s="831">
        <v>1.0193240639541707</v>
      </c>
      <c r="G693" s="831">
        <v>0.99458584420292717</v>
      </c>
      <c r="H693" s="831">
        <v>0.97935431449395427</v>
      </c>
      <c r="I693" s="831">
        <v>0.97094092284088185</v>
      </c>
      <c r="K693">
        <v>1.7498671076397556</v>
      </c>
      <c r="L693">
        <v>0</v>
      </c>
      <c r="M693">
        <v>1.4199582725347203E-3</v>
      </c>
      <c r="N693">
        <v>0.14248848624150409</v>
      </c>
      <c r="O693">
        <v>1.8617751381023197E-2</v>
      </c>
      <c r="P693">
        <v>1.9906096590556446E-2</v>
      </c>
      <c r="Q693">
        <v>2.2483333204077588E-3</v>
      </c>
      <c r="R693">
        <v>1.4110522454891597E-3</v>
      </c>
      <c r="S693">
        <v>0.15311216167538844</v>
      </c>
      <c r="T693">
        <v>1.0714685599799656</v>
      </c>
      <c r="U693">
        <v>2.4002445462162635E-2</v>
      </c>
      <c r="V693">
        <v>0.21231195958464266</v>
      </c>
      <c r="W693">
        <v>8.5241763258617514E-2</v>
      </c>
      <c r="X693">
        <v>1.6638037113556728E-2</v>
      </c>
      <c r="Y693">
        <v>3.840419058973781E-3</v>
      </c>
    </row>
    <row r="694" spans="1:25" x14ac:dyDescent="0.25">
      <c r="A694" s="827"/>
      <c r="B694" s="1066">
        <v>444</v>
      </c>
      <c r="C694" s="831">
        <v>0.99372233234844143</v>
      </c>
      <c r="D694" s="831">
        <v>0.99883694825738778</v>
      </c>
      <c r="E694" s="831">
        <v>0.99457094457231676</v>
      </c>
      <c r="F694" s="831">
        <v>0.99038359379460383</v>
      </c>
      <c r="G694" s="831">
        <v>1.0430381177324839</v>
      </c>
      <c r="H694" s="831">
        <v>0.97449828631424706</v>
      </c>
      <c r="I694" s="831">
        <v>1.0115247381270547</v>
      </c>
      <c r="K694">
        <v>1.7335341958073904</v>
      </c>
      <c r="L694">
        <v>0</v>
      </c>
      <c r="M694">
        <v>1.3750798868903242E-3</v>
      </c>
      <c r="N694">
        <v>0.13617450947855406</v>
      </c>
      <c r="O694">
        <v>1.7958313800268338E-2</v>
      </c>
      <c r="P694">
        <v>1.9776164546678035E-2</v>
      </c>
      <c r="Q694">
        <v>2.1648472854446394E-3</v>
      </c>
      <c r="R694">
        <v>1.3663909545486178E-3</v>
      </c>
      <c r="S694">
        <v>0.15368384932749013</v>
      </c>
      <c r="T694">
        <v>1.0718443937578068</v>
      </c>
      <c r="U694">
        <v>2.3469863903718045E-2</v>
      </c>
      <c r="V694">
        <v>0.20696718647492202</v>
      </c>
      <c r="W694">
        <v>8.1701153315064348E-2</v>
      </c>
      <c r="X694">
        <v>1.6083737102159358E-2</v>
      </c>
      <c r="Y694">
        <v>3.7188657476242264E-3</v>
      </c>
    </row>
    <row r="695" spans="1:25" x14ac:dyDescent="0.25">
      <c r="A695" s="827"/>
      <c r="B695" s="1066">
        <v>445</v>
      </c>
      <c r="C695" s="831">
        <v>1.0060985100994215</v>
      </c>
      <c r="D695" s="831">
        <v>0.98745551304901213</v>
      </c>
      <c r="E695" s="831">
        <v>1.0149579619499349</v>
      </c>
      <c r="F695" s="831">
        <v>1.0246916060781253</v>
      </c>
      <c r="G695" s="831">
        <v>1.0241855286585604</v>
      </c>
      <c r="H695" s="831">
        <v>0.98401286222182238</v>
      </c>
      <c r="I695" s="831">
        <v>0.97578178401329696</v>
      </c>
      <c r="K695">
        <v>1.7298630016588856</v>
      </c>
      <c r="L695">
        <v>0</v>
      </c>
      <c r="M695">
        <v>1.3205851856618064E-3</v>
      </c>
      <c r="N695">
        <v>0.13934761621301411</v>
      </c>
      <c r="O695">
        <v>1.7829795734336625E-2</v>
      </c>
      <c r="P695">
        <v>1.9964101284510066E-2</v>
      </c>
      <c r="Q695">
        <v>2.1916695386814478E-3</v>
      </c>
      <c r="R695">
        <v>1.3123290227733269E-3</v>
      </c>
      <c r="S695">
        <v>0.14779401170166603</v>
      </c>
      <c r="T695">
        <v>1.0700389560156656</v>
      </c>
      <c r="U695">
        <v>2.3181157375929816E-2</v>
      </c>
      <c r="V695">
        <v>0.20669162641855202</v>
      </c>
      <c r="W695">
        <v>8.2450577093762606E-2</v>
      </c>
      <c r="X695">
        <v>1.6810019454809887E-2</v>
      </c>
      <c r="Y695">
        <v>3.571726990842905E-3</v>
      </c>
    </row>
    <row r="696" spans="1:25" x14ac:dyDescent="0.25">
      <c r="A696" s="827"/>
      <c r="B696" s="1066">
        <v>446</v>
      </c>
      <c r="C696" s="831">
        <v>1.0109650320003323</v>
      </c>
      <c r="D696" s="831">
        <v>1.0004994975923127</v>
      </c>
      <c r="E696" s="831">
        <v>1.0064360433186905</v>
      </c>
      <c r="F696" s="831">
        <v>1.0039168624944317</v>
      </c>
      <c r="G696" s="831">
        <v>0.99844563642754736</v>
      </c>
      <c r="H696" s="831">
        <v>1.0357430779839216</v>
      </c>
      <c r="I696" s="831">
        <v>1.0115693238169068</v>
      </c>
      <c r="K696">
        <v>1.7439659515147625</v>
      </c>
      <c r="L696">
        <v>0</v>
      </c>
      <c r="M696">
        <v>1.4000656614426767E-3</v>
      </c>
      <c r="N696">
        <v>0.143916307351208</v>
      </c>
      <c r="O696">
        <v>1.7638729235733928E-2</v>
      </c>
      <c r="P696">
        <v>1.9927667085559739E-2</v>
      </c>
      <c r="Q696">
        <v>2.1521197147004183E-3</v>
      </c>
      <c r="R696">
        <v>1.3917408427737874E-3</v>
      </c>
      <c r="S696">
        <v>0.15536336439822918</v>
      </c>
      <c r="T696">
        <v>1.070791731687643</v>
      </c>
      <c r="U696">
        <v>2.3069569332340157E-2</v>
      </c>
      <c r="V696">
        <v>0.20496684362837095</v>
      </c>
      <c r="W696">
        <v>8.5648101903963991E-2</v>
      </c>
      <c r="X696">
        <v>1.671198220889851E-2</v>
      </c>
      <c r="Y696">
        <v>3.7878597867847317E-3</v>
      </c>
    </row>
    <row r="697" spans="1:25" x14ac:dyDescent="0.25">
      <c r="A697" s="827"/>
      <c r="B697" s="1066">
        <v>447</v>
      </c>
      <c r="C697" s="831">
        <v>0.98098981935464458</v>
      </c>
      <c r="D697" s="831">
        <v>0.98251685855618787</v>
      </c>
      <c r="E697" s="831">
        <v>0.98506956864935991</v>
      </c>
      <c r="F697" s="831">
        <v>1.0243507059851731</v>
      </c>
      <c r="G697" s="831">
        <v>0.99297424841455695</v>
      </c>
      <c r="H697" s="831">
        <v>0.99841343142042605</v>
      </c>
      <c r="I697" s="831">
        <v>1.0237679406718303</v>
      </c>
      <c r="K697">
        <v>1.7534194958808864</v>
      </c>
      <c r="L697">
        <v>0</v>
      </c>
      <c r="M697">
        <v>1.4668127737922343E-3</v>
      </c>
      <c r="N697">
        <v>0.14104736926178998</v>
      </c>
      <c r="O697">
        <v>1.8327806066233011E-2</v>
      </c>
      <c r="P697">
        <v>1.9782041382567877E-2</v>
      </c>
      <c r="Q697">
        <v>2.1853023513177068E-3</v>
      </c>
      <c r="R697">
        <v>1.4577784002130349E-3</v>
      </c>
      <c r="S697">
        <v>0.16045020346780037</v>
      </c>
      <c r="T697">
        <v>1.0726911756313591</v>
      </c>
      <c r="U697">
        <v>2.3774485155866512E-2</v>
      </c>
      <c r="V697">
        <v>0.20993451251073103</v>
      </c>
      <c r="W697">
        <v>8.5180656521088124E-2</v>
      </c>
      <c r="X697">
        <v>1.6087385656852814E-2</v>
      </c>
      <c r="Y697">
        <v>3.9675922488594034E-3</v>
      </c>
    </row>
    <row r="698" spans="1:25" x14ac:dyDescent="0.25">
      <c r="A698" s="827"/>
      <c r="B698" s="1066">
        <v>448</v>
      </c>
      <c r="C698" s="831">
        <v>0.95771835511877657</v>
      </c>
      <c r="D698" s="831">
        <v>1.023030124060663</v>
      </c>
      <c r="E698" s="831">
        <v>1.0079022057140228</v>
      </c>
      <c r="F698" s="831">
        <v>0.99176422684315746</v>
      </c>
      <c r="G698" s="831">
        <v>1.019824640581678</v>
      </c>
      <c r="H698" s="831">
        <v>0.99397293568679079</v>
      </c>
      <c r="I698" s="831">
        <v>0.99446912647814234</v>
      </c>
      <c r="K698">
        <v>1.7523531478824055</v>
      </c>
      <c r="L698">
        <v>0</v>
      </c>
      <c r="M698">
        <v>1.3997703703431754E-3</v>
      </c>
      <c r="N698">
        <v>0.14450546407003809</v>
      </c>
      <c r="O698">
        <v>1.8432775518336188E-2</v>
      </c>
      <c r="P698">
        <v>2.0035182166790517E-2</v>
      </c>
      <c r="Q698">
        <v>2.2563958496515401E-3</v>
      </c>
      <c r="R698">
        <v>1.3910818922199971E-3</v>
      </c>
      <c r="S698">
        <v>0.15666312631232224</v>
      </c>
      <c r="T698">
        <v>1.0706620240146258</v>
      </c>
      <c r="U698">
        <v>2.4352178042375206E-2</v>
      </c>
      <c r="V698">
        <v>0.20876674877104967</v>
      </c>
      <c r="W698">
        <v>8.5912921986268043E-2</v>
      </c>
      <c r="X698">
        <v>1.6988953288470738E-2</v>
      </c>
      <c r="Y698">
        <v>3.786066340600306E-3</v>
      </c>
    </row>
    <row r="699" spans="1:25" x14ac:dyDescent="0.25">
      <c r="A699" s="827"/>
      <c r="B699" s="1066">
        <v>449</v>
      </c>
      <c r="C699" s="831">
        <v>0.97043526037359085</v>
      </c>
      <c r="D699" s="831">
        <v>0.95837224847310032</v>
      </c>
      <c r="E699" s="831">
        <v>0.9671514259439189</v>
      </c>
      <c r="F699" s="831">
        <v>1.0296993350755617</v>
      </c>
      <c r="G699" s="831">
        <v>1.033549200891335</v>
      </c>
      <c r="H699" s="831">
        <v>0.96808879186930141</v>
      </c>
      <c r="I699" s="831">
        <v>1.0028047871040937</v>
      </c>
      <c r="K699">
        <v>1.7513515063982885</v>
      </c>
      <c r="L699">
        <v>0</v>
      </c>
      <c r="M699">
        <v>1.5097680311335533E-3</v>
      </c>
      <c r="N699">
        <v>0.1372679399760425</v>
      </c>
      <c r="O699">
        <v>1.8737882485591328E-2</v>
      </c>
      <c r="P699">
        <v>1.9557259755096E-2</v>
      </c>
      <c r="Q699">
        <v>2.1892481190505363E-3</v>
      </c>
      <c r="R699">
        <v>1.5001975381570057E-3</v>
      </c>
      <c r="S699">
        <v>0.15823616949822999</v>
      </c>
      <c r="T699">
        <v>1.0742973117397658</v>
      </c>
      <c r="U699">
        <v>2.4033059030980214E-2</v>
      </c>
      <c r="V699">
        <v>0.21356760964185104</v>
      </c>
      <c r="W699">
        <v>8.3938192528432987E-2</v>
      </c>
      <c r="X699">
        <v>1.5453360957347265E-2</v>
      </c>
      <c r="Y699">
        <v>4.0830431588778282E-3</v>
      </c>
    </row>
    <row r="700" spans="1:25" x14ac:dyDescent="0.25">
      <c r="A700" s="827"/>
      <c r="B700" s="1066">
        <v>450</v>
      </c>
      <c r="C700" s="831">
        <v>1.0487896154269318</v>
      </c>
      <c r="D700" s="831">
        <v>1.0050928710333047</v>
      </c>
      <c r="E700" s="831">
        <v>1.0103182810333498</v>
      </c>
      <c r="F700" s="831">
        <v>1.0134593114093071</v>
      </c>
      <c r="G700" s="831">
        <v>1.0109045033686177</v>
      </c>
      <c r="H700" s="831">
        <v>1.0006148515904083</v>
      </c>
      <c r="I700" s="831">
        <v>1.010792806092865</v>
      </c>
      <c r="K700">
        <v>1.7128056273269887</v>
      </c>
      <c r="L700">
        <v>0</v>
      </c>
      <c r="M700">
        <v>1.2904940957503411E-3</v>
      </c>
      <c r="N700">
        <v>0.1342355670305905</v>
      </c>
      <c r="O700">
        <v>1.6967359214934356E-2</v>
      </c>
      <c r="P700">
        <v>1.9794684075233836E-2</v>
      </c>
      <c r="Q700">
        <v>2.0790414634451766E-3</v>
      </c>
      <c r="R700">
        <v>1.2825484477799957E-3</v>
      </c>
      <c r="S700">
        <v>0.14693578903498045</v>
      </c>
      <c r="T700">
        <v>1.0704484572495472</v>
      </c>
      <c r="U700">
        <v>2.2237565623501394E-2</v>
      </c>
      <c r="V700">
        <v>0.20072702877142448</v>
      </c>
      <c r="W700">
        <v>7.9676161564373169E-2</v>
      </c>
      <c r="X700">
        <v>1.6221244864052662E-2</v>
      </c>
      <c r="Y700">
        <v>3.4906740828749656E-3</v>
      </c>
    </row>
    <row r="701" spans="1:25" x14ac:dyDescent="0.25">
      <c r="A701" s="827"/>
      <c r="B701" s="1066">
        <v>451</v>
      </c>
      <c r="C701" s="831">
        <v>1.0022991224140261</v>
      </c>
      <c r="D701" s="831">
        <v>1.0199137751228142</v>
      </c>
      <c r="E701" s="831">
        <v>0.98767649259181534</v>
      </c>
      <c r="F701" s="831">
        <v>1.008969682055006</v>
      </c>
      <c r="G701" s="831">
        <v>1.0008877457503587</v>
      </c>
      <c r="H701" s="831">
        <v>1.0031394209481255</v>
      </c>
      <c r="I701" s="831">
        <v>1.0032447680964616</v>
      </c>
      <c r="K701">
        <v>1.729865378499732</v>
      </c>
      <c r="L701">
        <v>0</v>
      </c>
      <c r="M701">
        <v>1.410502715298219E-3</v>
      </c>
      <c r="N701">
        <v>0.13673970142274511</v>
      </c>
      <c r="O701">
        <v>1.7637209000533283E-2</v>
      </c>
      <c r="P701">
        <v>1.9616521291865901E-2</v>
      </c>
      <c r="Q701">
        <v>2.1149823076206859E-3</v>
      </c>
      <c r="R701">
        <v>1.4018297546335469E-3</v>
      </c>
      <c r="S701">
        <v>0.15185963930271418</v>
      </c>
      <c r="T701">
        <v>1.0724585028953568</v>
      </c>
      <c r="U701">
        <v>2.326902955091004E-2</v>
      </c>
      <c r="V701">
        <v>0.20413849498207004</v>
      </c>
      <c r="W701">
        <v>8.2430611294159226E-2</v>
      </c>
      <c r="X701">
        <v>1.5794040933363871E-2</v>
      </c>
      <c r="Y701">
        <v>3.8153184790580947E-3</v>
      </c>
    </row>
    <row r="702" spans="1:25" x14ac:dyDescent="0.25">
      <c r="A702" s="827"/>
      <c r="B702" s="1066">
        <v>452</v>
      </c>
      <c r="C702" s="831">
        <v>0.97112283855647796</v>
      </c>
      <c r="D702" s="831">
        <v>0.98311754796531547</v>
      </c>
      <c r="E702" s="831">
        <v>1.0013443807094371</v>
      </c>
      <c r="F702" s="831">
        <v>0.97491048794767288</v>
      </c>
      <c r="G702" s="831">
        <v>0.97356486239875684</v>
      </c>
      <c r="H702" s="831">
        <v>1.0187125366821213</v>
      </c>
      <c r="I702" s="831">
        <v>1.0484032468944238</v>
      </c>
      <c r="K702">
        <v>1.7715841281761422</v>
      </c>
      <c r="L702">
        <v>0</v>
      </c>
      <c r="M702">
        <v>1.460551249624511E-3</v>
      </c>
      <c r="N702">
        <v>0.14776146869745446</v>
      </c>
      <c r="O702">
        <v>1.8508888244531525E-2</v>
      </c>
      <c r="P702">
        <v>2.0120074757664884E-2</v>
      </c>
      <c r="Q702">
        <v>2.2435452610843789E-3</v>
      </c>
      <c r="R702">
        <v>1.4517342514479199E-3</v>
      </c>
      <c r="S702">
        <v>0.16752379450645102</v>
      </c>
      <c r="T702">
        <v>1.0712428089686139</v>
      </c>
      <c r="U702">
        <v>2.4016043050713247E-2</v>
      </c>
      <c r="V702">
        <v>0.21100613950118363</v>
      </c>
      <c r="W702">
        <v>8.8242516058074011E-2</v>
      </c>
      <c r="X702">
        <v>1.6976524060170389E-2</v>
      </c>
      <c r="Y702">
        <v>3.9511420683738651E-3</v>
      </c>
    </row>
    <row r="703" spans="1:25" x14ac:dyDescent="0.25">
      <c r="A703" s="827"/>
      <c r="B703" s="1066">
        <v>453</v>
      </c>
      <c r="C703" s="831">
        <v>1.0391786031883323</v>
      </c>
      <c r="D703" s="831">
        <v>0.98992994485273611</v>
      </c>
      <c r="E703" s="831">
        <v>0.9768443472063213</v>
      </c>
      <c r="F703" s="831">
        <v>1.0013871885521193</v>
      </c>
      <c r="G703" s="831">
        <v>1.0031985810265722</v>
      </c>
      <c r="H703" s="831">
        <v>1.0108339926858527</v>
      </c>
      <c r="I703" s="831">
        <v>1.0196733791417694</v>
      </c>
      <c r="K703">
        <v>1.722099091820092</v>
      </c>
      <c r="L703">
        <v>0</v>
      </c>
      <c r="M703">
        <v>1.4214751036354999E-3</v>
      </c>
      <c r="N703">
        <v>0.1332391590448915</v>
      </c>
      <c r="O703">
        <v>1.7242636732569847E-2</v>
      </c>
      <c r="P703">
        <v>1.9435023442401909E-2</v>
      </c>
      <c r="Q703">
        <v>2.0400719703636098E-3</v>
      </c>
      <c r="R703">
        <v>1.4128222150382808E-3</v>
      </c>
      <c r="S703">
        <v>0.15126814532407548</v>
      </c>
      <c r="T703">
        <v>1.0734269668564449</v>
      </c>
      <c r="U703">
        <v>2.2443233364069139E-2</v>
      </c>
      <c r="V703">
        <v>0.20302138671918557</v>
      </c>
      <c r="W703">
        <v>8.0925410035995571E-2</v>
      </c>
      <c r="X703">
        <v>1.5220474886076063E-2</v>
      </c>
      <c r="Y703">
        <v>3.8452363326161826E-3</v>
      </c>
    </row>
    <row r="704" spans="1:25" x14ac:dyDescent="0.25">
      <c r="A704" s="827"/>
      <c r="B704" s="1066">
        <v>454</v>
      </c>
      <c r="C704" s="831">
        <v>0.98072272788170312</v>
      </c>
      <c r="D704" s="831">
        <v>0.98880590836325799</v>
      </c>
      <c r="E704" s="831">
        <v>0.98655893242843473</v>
      </c>
      <c r="F704" s="831">
        <v>0.98215058765803842</v>
      </c>
      <c r="G704" s="831">
        <v>1.0201029040753755</v>
      </c>
      <c r="H704" s="831">
        <v>1.0071966719605918</v>
      </c>
      <c r="I704" s="831">
        <v>1.0197627273078538</v>
      </c>
      <c r="K704">
        <v>1.7540757754057723</v>
      </c>
      <c r="L704">
        <v>0</v>
      </c>
      <c r="M704">
        <v>1.4712339738884377E-3</v>
      </c>
      <c r="N704">
        <v>0.1421374690459232</v>
      </c>
      <c r="O704">
        <v>1.8279798893379155E-2</v>
      </c>
      <c r="P704">
        <v>1.9790120443129181E-2</v>
      </c>
      <c r="Q704">
        <v>2.1840203028287695E-3</v>
      </c>
      <c r="R704">
        <v>1.4622466844201392E-3</v>
      </c>
      <c r="S704">
        <v>0.16010137447869202</v>
      </c>
      <c r="T704">
        <v>1.0725582158682423</v>
      </c>
      <c r="U704">
        <v>2.3780959934188856E-2</v>
      </c>
      <c r="V704">
        <v>0.20935839946696891</v>
      </c>
      <c r="W704">
        <v>8.5750680227899792E-2</v>
      </c>
      <c r="X704">
        <v>1.6163970588485822E-2</v>
      </c>
      <c r="Y704">
        <v>3.9797534455016477E-3</v>
      </c>
    </row>
    <row r="705" spans="1:25" x14ac:dyDescent="0.25">
      <c r="A705" s="827"/>
      <c r="B705" s="1066">
        <v>455</v>
      </c>
      <c r="C705" s="831">
        <v>1.0094334792591122</v>
      </c>
      <c r="D705" s="831">
        <v>0.97482344483997041</v>
      </c>
      <c r="E705" s="831">
        <v>0.99066196693204644</v>
      </c>
      <c r="F705" s="831">
        <v>1.0003003754773936</v>
      </c>
      <c r="G705" s="831">
        <v>0.9927469574932567</v>
      </c>
      <c r="H705" s="831">
        <v>0.98633224634922989</v>
      </c>
      <c r="I705" s="831">
        <v>0.99784444458324417</v>
      </c>
      <c r="K705">
        <v>1.7327446674049052</v>
      </c>
      <c r="L705">
        <v>0</v>
      </c>
      <c r="M705">
        <v>1.3967473302913145E-3</v>
      </c>
      <c r="N705">
        <v>0.1366595087374553</v>
      </c>
      <c r="O705">
        <v>1.7875066510903551E-2</v>
      </c>
      <c r="P705">
        <v>1.969748949084011E-2</v>
      </c>
      <c r="Q705">
        <v>2.1420196211906924E-3</v>
      </c>
      <c r="R705">
        <v>1.3880447697178276E-3</v>
      </c>
      <c r="S705">
        <v>0.15161145617794991</v>
      </c>
      <c r="T705">
        <v>1.0721923580931849</v>
      </c>
      <c r="U705">
        <v>2.3104571403180636E-2</v>
      </c>
      <c r="V705">
        <v>0.20753108398040682</v>
      </c>
      <c r="W705">
        <v>8.2212874573244707E-2</v>
      </c>
      <c r="X705">
        <v>1.5949141082782448E-2</v>
      </c>
      <c r="Y705">
        <v>3.7778002943365642E-3</v>
      </c>
    </row>
    <row r="706" spans="1:25" x14ac:dyDescent="0.25">
      <c r="A706" s="827"/>
      <c r="B706" s="1066">
        <v>456</v>
      </c>
      <c r="C706" s="831">
        <v>1.0448677075118811</v>
      </c>
      <c r="D706" s="831">
        <v>1.0337188744544434</v>
      </c>
      <c r="E706" s="831">
        <v>1.0221348788743729</v>
      </c>
      <c r="F706" s="831">
        <v>0.99108511168468982</v>
      </c>
      <c r="G706" s="831">
        <v>1.005508244458478</v>
      </c>
      <c r="H706" s="831">
        <v>0.99447315538486691</v>
      </c>
      <c r="I706" s="831">
        <v>1.0000348051262622</v>
      </c>
      <c r="K706">
        <v>1.7054259568285555</v>
      </c>
      <c r="L706">
        <v>0</v>
      </c>
      <c r="M706">
        <v>1.239849582582697E-3</v>
      </c>
      <c r="N706">
        <v>0.13378410503183624</v>
      </c>
      <c r="O706">
        <v>1.6816253436109613E-2</v>
      </c>
      <c r="P706">
        <v>1.9882465515894579E-2</v>
      </c>
      <c r="Q706">
        <v>2.0896821975199121E-3</v>
      </c>
      <c r="R706">
        <v>1.2321511959374654E-3</v>
      </c>
      <c r="S706">
        <v>0.14381425886053106</v>
      </c>
      <c r="T706">
        <v>1.0694071218896779</v>
      </c>
      <c r="U706">
        <v>2.232103426168712E-2</v>
      </c>
      <c r="V706">
        <v>0.19867648551691092</v>
      </c>
      <c r="W706">
        <v>7.8775892711459877E-2</v>
      </c>
      <c r="X706">
        <v>1.6512846416762861E-2</v>
      </c>
      <c r="Y706">
        <v>3.3535093768092021E-3</v>
      </c>
    </row>
    <row r="707" spans="1:25" x14ac:dyDescent="0.25">
      <c r="A707" s="827"/>
      <c r="B707" s="1066">
        <v>457</v>
      </c>
      <c r="C707" s="831">
        <v>1.0011018927866826</v>
      </c>
      <c r="D707" s="831">
        <v>1.0089140090990236</v>
      </c>
      <c r="E707" s="831">
        <v>1.0115138364116043</v>
      </c>
      <c r="F707" s="831">
        <v>0.9935103394772008</v>
      </c>
      <c r="G707" s="831">
        <v>0.98662040263026085</v>
      </c>
      <c r="H707" s="831">
        <v>0.96082102106128475</v>
      </c>
      <c r="I707" s="831">
        <v>1.0016377485334638</v>
      </c>
      <c r="K707">
        <v>1.7231288946172774</v>
      </c>
      <c r="L707">
        <v>0</v>
      </c>
      <c r="M707">
        <v>1.2927107531868552E-3</v>
      </c>
      <c r="N707">
        <v>0.13493191572212143</v>
      </c>
      <c r="O707">
        <v>1.774510181463855E-2</v>
      </c>
      <c r="P707">
        <v>1.992223967835921E-2</v>
      </c>
      <c r="Q707">
        <v>2.1776132591823927E-3</v>
      </c>
      <c r="R707">
        <v>1.2844192577579957E-3</v>
      </c>
      <c r="S707">
        <v>0.14945419540126167</v>
      </c>
      <c r="T707">
        <v>1.0703428588700736</v>
      </c>
      <c r="U707">
        <v>2.3296857259336726E-2</v>
      </c>
      <c r="V707">
        <v>0.20525036923367157</v>
      </c>
      <c r="W707">
        <v>8.0024488732433563E-2</v>
      </c>
      <c r="X707">
        <v>1.6495780330705298E-2</v>
      </c>
      <c r="Y707">
        <v>3.4957658109227383E-3</v>
      </c>
    </row>
    <row r="708" spans="1:25" x14ac:dyDescent="0.25">
      <c r="A708" s="827"/>
      <c r="B708" s="1066">
        <v>458</v>
      </c>
      <c r="C708" s="831">
        <v>1.0296782036059686</v>
      </c>
      <c r="D708" s="831">
        <v>1.0208718531341734</v>
      </c>
      <c r="E708" s="831">
        <v>0.99666781517063596</v>
      </c>
      <c r="F708" s="831">
        <v>1.0016364929299504</v>
      </c>
      <c r="G708" s="831">
        <v>1.0016355307437874</v>
      </c>
      <c r="H708" s="831">
        <v>0.98952763332751315</v>
      </c>
      <c r="I708" s="831">
        <v>1.0039162254382126</v>
      </c>
      <c r="K708">
        <v>1.7124577344311893</v>
      </c>
      <c r="L708">
        <v>0</v>
      </c>
      <c r="M708">
        <v>1.3284307617027911E-3</v>
      </c>
      <c r="N708">
        <v>0.13242745279357071</v>
      </c>
      <c r="O708">
        <v>1.7160953829474183E-2</v>
      </c>
      <c r="P708">
        <v>1.9623628630794296E-2</v>
      </c>
      <c r="Q708">
        <v>2.0767945792699539E-3</v>
      </c>
      <c r="R708">
        <v>1.3201494599502769E-3</v>
      </c>
      <c r="S708">
        <v>0.14691926919503681</v>
      </c>
      <c r="T708">
        <v>1.0716579745929344</v>
      </c>
      <c r="U708">
        <v>2.265030746171659E-2</v>
      </c>
      <c r="V708">
        <v>0.20124928341490819</v>
      </c>
      <c r="W708">
        <v>7.9338753457428648E-2</v>
      </c>
      <c r="X708">
        <v>1.5768586134973867E-2</v>
      </c>
      <c r="Y708">
        <v>3.5930116428321405E-3</v>
      </c>
    </row>
    <row r="709" spans="1:25" x14ac:dyDescent="0.25">
      <c r="A709" s="827"/>
      <c r="B709" s="1066">
        <v>459</v>
      </c>
      <c r="C709" s="831">
        <v>0.99450225880536347</v>
      </c>
      <c r="D709" s="831">
        <v>0.96248342602386805</v>
      </c>
      <c r="E709" s="831">
        <v>1.0019077069969335</v>
      </c>
      <c r="F709" s="831">
        <v>0.99383641821122892</v>
      </c>
      <c r="G709" s="831">
        <v>1.0113795655422462</v>
      </c>
      <c r="H709" s="831">
        <v>1.0020929598829686</v>
      </c>
      <c r="I709" s="831">
        <v>0.98418365858540136</v>
      </c>
      <c r="K709">
        <v>1.7486061977953338</v>
      </c>
      <c r="L709">
        <v>0</v>
      </c>
      <c r="M709">
        <v>1.4148420706151979E-3</v>
      </c>
      <c r="N709">
        <v>0.14337530507274576</v>
      </c>
      <c r="O709">
        <v>1.8248836937896067E-2</v>
      </c>
      <c r="P709">
        <v>1.9923019404264743E-2</v>
      </c>
      <c r="Q709">
        <v>2.2093732223013849E-3</v>
      </c>
      <c r="R709">
        <v>1.406174568395848E-3</v>
      </c>
      <c r="S709">
        <v>0.15372765706420038</v>
      </c>
      <c r="T709">
        <v>1.0711928549585585</v>
      </c>
      <c r="U709">
        <v>2.3451457944720176E-2</v>
      </c>
      <c r="V709">
        <v>0.21038065102085143</v>
      </c>
      <c r="W709">
        <v>8.5590158211190467E-2</v>
      </c>
      <c r="X709">
        <v>1.6688407830971072E-2</v>
      </c>
      <c r="Y709">
        <v>3.8271436298516065E-3</v>
      </c>
    </row>
    <row r="710" spans="1:25" x14ac:dyDescent="0.25">
      <c r="A710" s="827"/>
      <c r="B710" s="1066">
        <v>460</v>
      </c>
      <c r="C710" s="831">
        <v>0.99181546163480472</v>
      </c>
      <c r="D710" s="831">
        <v>1.0154866144458747</v>
      </c>
      <c r="E710" s="831">
        <v>1.0365526605076167</v>
      </c>
      <c r="F710" s="831">
        <v>1.0069229542978868</v>
      </c>
      <c r="G710" s="831">
        <v>1.0137261664131016</v>
      </c>
      <c r="H710" s="831">
        <v>0.99131483897834161</v>
      </c>
      <c r="I710" s="831">
        <v>0.9992731766415347</v>
      </c>
      <c r="K710">
        <v>1.7386094600312125</v>
      </c>
      <c r="L710">
        <v>0</v>
      </c>
      <c r="M710">
        <v>1.2730915605599843E-3</v>
      </c>
      <c r="N710">
        <v>0.14365758904471593</v>
      </c>
      <c r="O710">
        <v>1.7858720484680214E-2</v>
      </c>
      <c r="P710">
        <v>2.0307581053373516E-2</v>
      </c>
      <c r="Q710">
        <v>2.2478586069421373E-3</v>
      </c>
      <c r="R710">
        <v>1.2651729260624103E-3</v>
      </c>
      <c r="S710">
        <v>0.15228376109221001</v>
      </c>
      <c r="T710">
        <v>1.0681437252371802</v>
      </c>
      <c r="U710">
        <v>2.3514987213307571E-2</v>
      </c>
      <c r="V710">
        <v>0.20565366039203967</v>
      </c>
      <c r="W710">
        <v>8.3775974098307143E-2</v>
      </c>
      <c r="X710">
        <v>1.7730137802354044E-2</v>
      </c>
      <c r="Y710">
        <v>3.4433836405988933E-3</v>
      </c>
    </row>
    <row r="711" spans="1:25" x14ac:dyDescent="0.25">
      <c r="A711" s="827"/>
      <c r="B711" s="1066">
        <v>461</v>
      </c>
      <c r="C711" s="831">
        <v>1.0062117950001372</v>
      </c>
      <c r="D711" s="831">
        <v>0.98376160514926614</v>
      </c>
      <c r="E711" s="831">
        <v>0.98780072333377966</v>
      </c>
      <c r="F711" s="831">
        <v>0.97904948415975623</v>
      </c>
      <c r="G711" s="831">
        <v>1.0206941927555055</v>
      </c>
      <c r="H711" s="831">
        <v>1.0280011342465771</v>
      </c>
      <c r="I711" s="831">
        <v>0.96048401988696941</v>
      </c>
      <c r="K711">
        <v>1.7384406003771076</v>
      </c>
      <c r="L711">
        <v>0</v>
      </c>
      <c r="M711">
        <v>1.4631574470696453E-3</v>
      </c>
      <c r="N711">
        <v>0.14192288641490602</v>
      </c>
      <c r="O711">
        <v>1.785813123823626E-2</v>
      </c>
      <c r="P711">
        <v>1.9613598334851795E-2</v>
      </c>
      <c r="Q711">
        <v>2.1354225008545875E-3</v>
      </c>
      <c r="R711">
        <v>1.4544040536741071E-3</v>
      </c>
      <c r="S711">
        <v>0.14872404231611749</v>
      </c>
      <c r="T711">
        <v>1.0724474214588793</v>
      </c>
      <c r="U711">
        <v>2.3178547512753007E-2</v>
      </c>
      <c r="V711">
        <v>0.20702352601620364</v>
      </c>
      <c r="W711">
        <v>8.5547848933491155E-2</v>
      </c>
      <c r="X711">
        <v>1.6039520654275417E-2</v>
      </c>
      <c r="Y711">
        <v>3.9584083899334797E-3</v>
      </c>
    </row>
    <row r="712" spans="1:25" x14ac:dyDescent="0.25">
      <c r="A712" s="827"/>
      <c r="B712" s="1066">
        <v>462</v>
      </c>
      <c r="C712" s="831">
        <v>0.9750666157631942</v>
      </c>
      <c r="D712" s="831">
        <v>0.97879880491982496</v>
      </c>
      <c r="E712" s="831">
        <v>0.99282800029857687</v>
      </c>
      <c r="F712" s="831">
        <v>0.97492475846144422</v>
      </c>
      <c r="G712" s="831">
        <v>1.0312924166610911</v>
      </c>
      <c r="H712" s="831">
        <v>0.99822133025056392</v>
      </c>
      <c r="I712" s="831">
        <v>0.9749381385622744</v>
      </c>
      <c r="K712">
        <v>1.7509967809344309</v>
      </c>
      <c r="L712">
        <v>0</v>
      </c>
      <c r="M712">
        <v>1.4540671439034186E-3</v>
      </c>
      <c r="N712">
        <v>0.14324068647334726</v>
      </c>
      <c r="O712">
        <v>1.8470908641482448E-2</v>
      </c>
      <c r="P712">
        <v>1.9816570469998344E-2</v>
      </c>
      <c r="Q712">
        <v>2.2190170584909159E-3</v>
      </c>
      <c r="R712">
        <v>1.4451123447513335E-3</v>
      </c>
      <c r="S712">
        <v>0.15395431586139638</v>
      </c>
      <c r="T712">
        <v>1.0719994737894876</v>
      </c>
      <c r="U712">
        <v>2.3918907202097595E-2</v>
      </c>
      <c r="V712">
        <v>0.21097372054463659</v>
      </c>
      <c r="W712">
        <v>8.6043681477853254E-2</v>
      </c>
      <c r="X712">
        <v>1.6435334793533801E-2</v>
      </c>
      <c r="Y712">
        <v>3.9331194212567132E-3</v>
      </c>
    </row>
    <row r="713" spans="1:25" x14ac:dyDescent="0.25">
      <c r="A713" s="827"/>
      <c r="B713" s="1066">
        <v>463</v>
      </c>
      <c r="C713" s="831">
        <v>0.98786400130457952</v>
      </c>
      <c r="D713" s="831">
        <v>0.9992550598379869</v>
      </c>
      <c r="E713" s="831">
        <v>0.98747791662024209</v>
      </c>
      <c r="F713" s="831">
        <v>0.9701509480734577</v>
      </c>
      <c r="G713" s="831">
        <v>0.98784215218506222</v>
      </c>
      <c r="H713" s="831">
        <v>0.99763076324532363</v>
      </c>
      <c r="I713" s="831">
        <v>0.98106938041417857</v>
      </c>
      <c r="K713">
        <v>1.7381412372727374</v>
      </c>
      <c r="L713">
        <v>0</v>
      </c>
      <c r="M713">
        <v>1.4370785448253652E-3</v>
      </c>
      <c r="N713">
        <v>0.13922662534917721</v>
      </c>
      <c r="O713">
        <v>1.8061387390427463E-2</v>
      </c>
      <c r="P713">
        <v>1.9660862847699176E-2</v>
      </c>
      <c r="Q713">
        <v>2.1618017518201414E-3</v>
      </c>
      <c r="R713">
        <v>1.4282081070622792E-3</v>
      </c>
      <c r="S713">
        <v>0.15156434669255264</v>
      </c>
      <c r="T713">
        <v>1.0724762171652831</v>
      </c>
      <c r="U713">
        <v>2.3609047265112683E-2</v>
      </c>
      <c r="V713">
        <v>0.20757308353441947</v>
      </c>
      <c r="W713">
        <v>8.3941304490385477E-2</v>
      </c>
      <c r="X713">
        <v>1.598831956487564E-2</v>
      </c>
      <c r="Y713">
        <v>3.8871116587475634E-3</v>
      </c>
    </row>
    <row r="714" spans="1:25" x14ac:dyDescent="0.25">
      <c r="A714" s="827"/>
      <c r="B714" s="1066">
        <v>464</v>
      </c>
      <c r="C714" s="831">
        <v>0.9801661688315555</v>
      </c>
      <c r="D714" s="831">
        <v>1.0376802388648505</v>
      </c>
      <c r="E714" s="831">
        <v>0.97496007028616805</v>
      </c>
      <c r="F714" s="831">
        <v>1.0058103541392858</v>
      </c>
      <c r="G714" s="831">
        <v>1.0298760103358697</v>
      </c>
      <c r="H714" s="831">
        <v>0.99161980331110888</v>
      </c>
      <c r="I714" s="831">
        <v>0.98623467809178544</v>
      </c>
      <c r="K714">
        <v>1.7295782700755502</v>
      </c>
      <c r="L714">
        <v>0</v>
      </c>
      <c r="M714">
        <v>1.4530131025384783E-3</v>
      </c>
      <c r="N714">
        <v>0.13537852854535959</v>
      </c>
      <c r="O714">
        <v>1.7895404141663032E-2</v>
      </c>
      <c r="P714">
        <v>1.9446370452474739E-2</v>
      </c>
      <c r="Q714">
        <v>2.1213623046833999E-3</v>
      </c>
      <c r="R714">
        <v>1.4439624281152982E-3</v>
      </c>
      <c r="S714">
        <v>0.15075042575747091</v>
      </c>
      <c r="T714">
        <v>1.0735958835525625</v>
      </c>
      <c r="U714">
        <v>2.3794463265453938E-2</v>
      </c>
      <c r="V714">
        <v>0.20495055802139855</v>
      </c>
      <c r="W714">
        <v>8.2332686011817216E-2</v>
      </c>
      <c r="X714">
        <v>1.5391648969847033E-2</v>
      </c>
      <c r="Y714">
        <v>3.9299897272433429E-3</v>
      </c>
    </row>
    <row r="715" spans="1:25" x14ac:dyDescent="0.25">
      <c r="A715" s="827"/>
      <c r="B715" s="1066">
        <v>465</v>
      </c>
      <c r="C715" s="831">
        <v>0.96623574387842148</v>
      </c>
      <c r="D715" s="831">
        <v>1.0024582359779646</v>
      </c>
      <c r="E715" s="831">
        <v>0.97315372180285886</v>
      </c>
      <c r="F715" s="831">
        <v>0.96899734120663861</v>
      </c>
      <c r="G715" s="831">
        <v>1.0117068772959914</v>
      </c>
      <c r="H715" s="831">
        <v>0.98137548085489046</v>
      </c>
      <c r="I715" s="831">
        <v>0.95319061120714799</v>
      </c>
      <c r="K715">
        <v>1.7381416311932893</v>
      </c>
      <c r="L715">
        <v>0</v>
      </c>
      <c r="M715">
        <v>1.4872757628487138E-3</v>
      </c>
      <c r="N715">
        <v>0.13778618127938258</v>
      </c>
      <c r="O715">
        <v>1.8438926837519777E-2</v>
      </c>
      <c r="P715">
        <v>1.946924768956251E-2</v>
      </c>
      <c r="Q715">
        <v>2.1756670759041641E-3</v>
      </c>
      <c r="R715">
        <v>1.477940987714537E-3</v>
      </c>
      <c r="S715">
        <v>0.14920385268737885</v>
      </c>
      <c r="T715">
        <v>1.0737579394101466</v>
      </c>
      <c r="U715">
        <v>2.41375130717973E-2</v>
      </c>
      <c r="V715">
        <v>0.20970805859006983</v>
      </c>
      <c r="W715">
        <v>8.390247742752012E-2</v>
      </c>
      <c r="X715">
        <v>1.5548633733696452E-2</v>
      </c>
      <c r="Y715">
        <v>4.0224681654433088E-3</v>
      </c>
    </row>
    <row r="716" spans="1:25" x14ac:dyDescent="0.25">
      <c r="A716" s="827"/>
      <c r="B716" s="1066">
        <v>466</v>
      </c>
      <c r="C716" s="831">
        <v>0.99849676425320144</v>
      </c>
      <c r="D716" s="831">
        <v>0.9948009333480986</v>
      </c>
      <c r="E716" s="831">
        <v>1.0220216481060511</v>
      </c>
      <c r="F716" s="831">
        <v>1.0410459812059758</v>
      </c>
      <c r="G716" s="831">
        <v>1.0015385174368132</v>
      </c>
      <c r="H716" s="831">
        <v>1.0062451200034976</v>
      </c>
      <c r="I716" s="831">
        <v>1.0191787370407812</v>
      </c>
      <c r="K716">
        <v>1.7465234458244399</v>
      </c>
      <c r="L716">
        <v>0</v>
      </c>
      <c r="M716">
        <v>1.3360624898463805E-3</v>
      </c>
      <c r="N716">
        <v>0.14412841133919407</v>
      </c>
      <c r="O716">
        <v>1.7905264620422551E-2</v>
      </c>
      <c r="P716">
        <v>2.0187045894794173E-2</v>
      </c>
      <c r="Q716">
        <v>2.217822757204634E-3</v>
      </c>
      <c r="R716">
        <v>1.3278891594957279E-3</v>
      </c>
      <c r="S716">
        <v>0.15669710296622824</v>
      </c>
      <c r="T716">
        <v>1.0694170752363168</v>
      </c>
      <c r="U716">
        <v>2.3357639937618274E-2</v>
      </c>
      <c r="V716">
        <v>0.20682318557029189</v>
      </c>
      <c r="W716">
        <v>8.4873390197935647E-2</v>
      </c>
      <c r="X716">
        <v>1.7310604081180344E-2</v>
      </c>
      <c r="Y716">
        <v>3.6140765536035887E-3</v>
      </c>
    </row>
    <row r="717" spans="1:25" x14ac:dyDescent="0.25">
      <c r="A717" s="827"/>
      <c r="B717" s="1066">
        <v>467</v>
      </c>
      <c r="C717" s="831">
        <v>0.99296422712891519</v>
      </c>
      <c r="D717" s="831">
        <v>1.0157386349457846</v>
      </c>
      <c r="E717" s="831">
        <v>0.97453823068002088</v>
      </c>
      <c r="F717" s="831">
        <v>0.96777093549325421</v>
      </c>
      <c r="G717" s="831">
        <v>1.0217253507902602</v>
      </c>
      <c r="H717" s="831">
        <v>1.0006000323599609</v>
      </c>
      <c r="I717" s="831">
        <v>0.97703626187119152</v>
      </c>
      <c r="K717">
        <v>1.7295881058822322</v>
      </c>
      <c r="L717">
        <v>0</v>
      </c>
      <c r="M717">
        <v>1.4625875617562231E-3</v>
      </c>
      <c r="N717">
        <v>0.13610063772429573</v>
      </c>
      <c r="O717">
        <v>1.7836058373743958E-2</v>
      </c>
      <c r="P717">
        <v>1.942533896316239E-2</v>
      </c>
      <c r="Q717">
        <v>2.1097704709073166E-3</v>
      </c>
      <c r="R717">
        <v>1.4535745002185187E-3</v>
      </c>
      <c r="S717">
        <v>0.14935868098298352</v>
      </c>
      <c r="T717">
        <v>1.0736337177739617</v>
      </c>
      <c r="U717">
        <v>2.348778260193583E-2</v>
      </c>
      <c r="V717">
        <v>0.20550809186545491</v>
      </c>
      <c r="W717">
        <v>8.2796169928303798E-2</v>
      </c>
      <c r="X717">
        <v>1.5384719640130124E-2</v>
      </c>
      <c r="Y717">
        <v>3.95615061888959E-3</v>
      </c>
    </row>
    <row r="718" spans="1:25" x14ac:dyDescent="0.25">
      <c r="A718" s="827"/>
      <c r="B718" s="1066">
        <v>468</v>
      </c>
      <c r="C718" s="831">
        <v>1.0393673349403041</v>
      </c>
      <c r="D718" s="831">
        <v>0.99646189499696103</v>
      </c>
      <c r="E718" s="831">
        <v>1.0039971179759573</v>
      </c>
      <c r="F718" s="831">
        <v>0.97624285564064528</v>
      </c>
      <c r="G718" s="831">
        <v>0.9953119629021131</v>
      </c>
      <c r="H718" s="831">
        <v>1.0091073162802819</v>
      </c>
      <c r="I718" s="831">
        <v>0.97718938736020078</v>
      </c>
      <c r="K718">
        <v>1.7165456556007475</v>
      </c>
      <c r="L718">
        <v>0</v>
      </c>
      <c r="M718">
        <v>1.336066131878297E-3</v>
      </c>
      <c r="N718">
        <v>0.13627864603200737</v>
      </c>
      <c r="O718">
        <v>1.7188183996232308E-2</v>
      </c>
      <c r="P718">
        <v>1.9701309333690308E-2</v>
      </c>
      <c r="Q718">
        <v>2.0913341113180375E-3</v>
      </c>
      <c r="R718">
        <v>1.3279148515221309E-3</v>
      </c>
      <c r="S718">
        <v>0.14442691599744517</v>
      </c>
      <c r="T718">
        <v>1.0710076771909833</v>
      </c>
      <c r="U718">
        <v>2.2439158047662451E-2</v>
      </c>
      <c r="V718">
        <v>0.20241668177043468</v>
      </c>
      <c r="W718">
        <v>8.1237709250574802E-2</v>
      </c>
      <c r="X718">
        <v>1.6152044671923355E-2</v>
      </c>
      <c r="Y718">
        <v>3.6141464788300827E-3</v>
      </c>
    </row>
    <row r="719" spans="1:25" x14ac:dyDescent="0.25">
      <c r="A719" s="827"/>
      <c r="B719" s="1066">
        <v>469</v>
      </c>
      <c r="C719" s="831">
        <v>0.95575395503293137</v>
      </c>
      <c r="D719" s="831">
        <v>1.0276838527275698</v>
      </c>
      <c r="E719" s="831">
        <v>1.0086726445586542</v>
      </c>
      <c r="F719" s="831">
        <v>1.0165943310691576</v>
      </c>
      <c r="G719" s="831">
        <v>0.97091697416372202</v>
      </c>
      <c r="H719" s="831">
        <v>1.0272636839273919</v>
      </c>
      <c r="I719" s="831">
        <v>1.0073051496668983</v>
      </c>
      <c r="K719">
        <v>1.7650302590806468</v>
      </c>
      <c r="L719">
        <v>0</v>
      </c>
      <c r="M719">
        <v>1.4443122750470113E-3</v>
      </c>
      <c r="N719">
        <v>0.14949127467628201</v>
      </c>
      <c r="O719">
        <v>1.8432838519667871E-2</v>
      </c>
      <c r="P719">
        <v>2.0105994763846158E-2</v>
      </c>
      <c r="Q719">
        <v>2.2589728304451906E-3</v>
      </c>
      <c r="R719">
        <v>1.4356346856522963E-3</v>
      </c>
      <c r="S719">
        <v>0.16120087002905178</v>
      </c>
      <c r="T719">
        <v>1.0705938978099117</v>
      </c>
      <c r="U719">
        <v>2.4402230067151118E-2</v>
      </c>
      <c r="V719">
        <v>0.2085695768465026</v>
      </c>
      <c r="W719">
        <v>8.8830568265240897E-2</v>
      </c>
      <c r="X719">
        <v>1.7245388504441923E-2</v>
      </c>
      <c r="Y719">
        <v>3.907324357498616E-3</v>
      </c>
    </row>
    <row r="720" spans="1:25" x14ac:dyDescent="0.25">
      <c r="A720" s="827"/>
      <c r="B720" s="1066">
        <v>470</v>
      </c>
      <c r="C720" s="831">
        <v>0.98291083126562839</v>
      </c>
      <c r="D720" s="831">
        <v>1.0082364172475218</v>
      </c>
      <c r="E720" s="831">
        <v>0.97815929604129359</v>
      </c>
      <c r="F720" s="831">
        <v>0.99608038020554934</v>
      </c>
      <c r="G720" s="831">
        <v>0.98191444010778306</v>
      </c>
      <c r="H720" s="831">
        <v>1.0446597715281289</v>
      </c>
      <c r="I720" s="831">
        <v>0.99370681182880105</v>
      </c>
      <c r="K720">
        <v>1.7536739802283723</v>
      </c>
      <c r="L720">
        <v>0</v>
      </c>
      <c r="M720">
        <v>1.5360696960639226E-3</v>
      </c>
      <c r="N720">
        <v>0.1445990570779504</v>
      </c>
      <c r="O720">
        <v>1.8079011750830223E-2</v>
      </c>
      <c r="P720">
        <v>1.9606011714841342E-2</v>
      </c>
      <c r="Q720">
        <v>2.1451141553770529E-3</v>
      </c>
      <c r="R720">
        <v>1.527008482038342E-3</v>
      </c>
      <c r="S720">
        <v>0.15711902208758707</v>
      </c>
      <c r="T720">
        <v>1.0733091667520276</v>
      </c>
      <c r="U720">
        <v>2.3728020036438428E-2</v>
      </c>
      <c r="V720">
        <v>0.20728896963270516</v>
      </c>
      <c r="W720">
        <v>8.7744828062137514E-2</v>
      </c>
      <c r="X720">
        <v>1.5907826462604101E-2</v>
      </c>
      <c r="Y720">
        <v>4.1560137098975488E-3</v>
      </c>
    </row>
    <row r="721" spans="1:25" x14ac:dyDescent="0.25">
      <c r="A721" s="827"/>
      <c r="B721" s="1066">
        <v>471</v>
      </c>
      <c r="C721" s="831">
        <v>0.99210555987437321</v>
      </c>
      <c r="D721" s="831">
        <v>1.0226031243420064</v>
      </c>
      <c r="E721" s="831">
        <v>1.0039571987772031</v>
      </c>
      <c r="F721" s="831">
        <v>1.0037891023987875</v>
      </c>
      <c r="G721" s="831">
        <v>0.95545949350172954</v>
      </c>
      <c r="H721" s="831">
        <v>0.98619664472902768</v>
      </c>
      <c r="I721" s="831">
        <v>1.0186293415444885</v>
      </c>
      <c r="K721">
        <v>1.7338593908368705</v>
      </c>
      <c r="L721">
        <v>0</v>
      </c>
      <c r="M721">
        <v>1.3521313498489201E-3</v>
      </c>
      <c r="N721">
        <v>0.13787868967528855</v>
      </c>
      <c r="O721">
        <v>1.7797236426939204E-2</v>
      </c>
      <c r="P721">
        <v>1.9886608948565466E-2</v>
      </c>
      <c r="Q721">
        <v>2.1699309415065845E-3</v>
      </c>
      <c r="R721">
        <v>1.3436726767258986E-3</v>
      </c>
      <c r="S721">
        <v>0.15436656936043594</v>
      </c>
      <c r="T721">
        <v>1.0710112135560337</v>
      </c>
      <c r="U721">
        <v>2.3508111275232047E-2</v>
      </c>
      <c r="V721">
        <v>0.20498451066336396</v>
      </c>
      <c r="W721">
        <v>8.2193757662305439E-2</v>
      </c>
      <c r="X721">
        <v>1.641418691585388E-2</v>
      </c>
      <c r="Y721">
        <v>3.6570340844690567E-3</v>
      </c>
    </row>
    <row r="722" spans="1:25" x14ac:dyDescent="0.25">
      <c r="A722" s="827"/>
      <c r="B722" s="1066">
        <v>472</v>
      </c>
      <c r="C722" s="831">
        <v>1.0050853240810362</v>
      </c>
      <c r="D722" s="831">
        <v>0.99531098257700668</v>
      </c>
      <c r="E722" s="831">
        <v>0.97978371148666443</v>
      </c>
      <c r="F722" s="831">
        <v>0.97905713861126242</v>
      </c>
      <c r="G722" s="831">
        <v>1.0005957285782641</v>
      </c>
      <c r="H722" s="831">
        <v>0.97447766120544954</v>
      </c>
      <c r="I722" s="831">
        <v>0.9946186010375675</v>
      </c>
      <c r="K722">
        <v>1.7240407505515754</v>
      </c>
      <c r="L722">
        <v>0</v>
      </c>
      <c r="M722">
        <v>1.404666495709538E-3</v>
      </c>
      <c r="N722">
        <v>0.13284440143622012</v>
      </c>
      <c r="O722">
        <v>1.7783759625647204E-2</v>
      </c>
      <c r="P722">
        <v>1.9504117448408385E-2</v>
      </c>
      <c r="Q722">
        <v>2.1113383795171446E-3</v>
      </c>
      <c r="R722">
        <v>1.395792982750075E-3</v>
      </c>
      <c r="S722">
        <v>0.14962469637580714</v>
      </c>
      <c r="T722">
        <v>1.073163732647838</v>
      </c>
      <c r="U722">
        <v>2.3204525366667034E-2</v>
      </c>
      <c r="V722">
        <v>0.20606854555372953</v>
      </c>
      <c r="W722">
        <v>8.0521053239247228E-2</v>
      </c>
      <c r="X722">
        <v>1.5424565615440615E-2</v>
      </c>
      <c r="Y722">
        <v>3.798888376012602E-3</v>
      </c>
    </row>
    <row r="723" spans="1:25" x14ac:dyDescent="0.25">
      <c r="A723" s="827"/>
      <c r="B723" s="1066">
        <v>473</v>
      </c>
      <c r="C723" s="831">
        <v>0.99568685270235757</v>
      </c>
      <c r="D723" s="831">
        <v>0.99273345144252112</v>
      </c>
      <c r="E723" s="831">
        <v>1.0230478824567268</v>
      </c>
      <c r="F723" s="831">
        <v>1.0032687934670801</v>
      </c>
      <c r="G723" s="831">
        <v>1.013323024163354</v>
      </c>
      <c r="H723" s="831">
        <v>1.0380969671958677</v>
      </c>
      <c r="I723" s="831">
        <v>0.98312779299423536</v>
      </c>
      <c r="K723">
        <v>1.7531032728228992</v>
      </c>
      <c r="L723">
        <v>0</v>
      </c>
      <c r="M723">
        <v>1.3805498492105064E-3</v>
      </c>
      <c r="N723">
        <v>0.14943132509979526</v>
      </c>
      <c r="O723">
        <v>1.7972736255476057E-2</v>
      </c>
      <c r="P723">
        <v>2.0171075595483836E-2</v>
      </c>
      <c r="Q723">
        <v>2.2280680066391386E-3</v>
      </c>
      <c r="R723">
        <v>1.3723648925197563E-3</v>
      </c>
      <c r="S723">
        <v>0.15397717437349462</v>
      </c>
      <c r="T723">
        <v>1.0693268837088292</v>
      </c>
      <c r="U723">
        <v>2.3423557150528133E-2</v>
      </c>
      <c r="V723">
        <v>0.20732484867315895</v>
      </c>
      <c r="W723">
        <v>8.7935327671804175E-2</v>
      </c>
      <c r="X723">
        <v>1.7585336406908045E-2</v>
      </c>
      <c r="Y723">
        <v>3.735124837473543E-3</v>
      </c>
    </row>
    <row r="724" spans="1:25" x14ac:dyDescent="0.25">
      <c r="A724" s="827"/>
      <c r="B724" s="1066">
        <v>474</v>
      </c>
      <c r="C724" s="831">
        <v>1.0048246126684579</v>
      </c>
      <c r="D724" s="831">
        <v>1.0019932261368336</v>
      </c>
      <c r="E724" s="831">
        <v>0.98764661662000586</v>
      </c>
      <c r="F724" s="831">
        <v>1.0244543002453848</v>
      </c>
      <c r="G724" s="831">
        <v>0.98844318596458836</v>
      </c>
      <c r="H724" s="831">
        <v>0.97851371535593357</v>
      </c>
      <c r="I724" s="831">
        <v>1.0086921239053055</v>
      </c>
      <c r="K724">
        <v>1.7266751272920948</v>
      </c>
      <c r="L724">
        <v>0</v>
      </c>
      <c r="M724">
        <v>1.3835434901273581E-3</v>
      </c>
      <c r="N724">
        <v>0.13409402893848427</v>
      </c>
      <c r="O724">
        <v>1.7734531734333814E-2</v>
      </c>
      <c r="P724">
        <v>1.9630673162798439E-2</v>
      </c>
      <c r="Q724">
        <v>2.1235183742110662E-3</v>
      </c>
      <c r="R724">
        <v>1.3748347152402814E-3</v>
      </c>
      <c r="S724">
        <v>0.15165113208730333</v>
      </c>
      <c r="T724">
        <v>1.0724611679317571</v>
      </c>
      <c r="U724">
        <v>2.3210546004010423E-2</v>
      </c>
      <c r="V724">
        <v>0.2054820975793735</v>
      </c>
      <c r="W724">
        <v>8.083739090268903E-2</v>
      </c>
      <c r="X724">
        <v>1.5716902471278008E-2</v>
      </c>
      <c r="Y724">
        <v>3.7418468807419707E-3</v>
      </c>
    </row>
    <row r="725" spans="1:25" x14ac:dyDescent="0.25">
      <c r="A725" s="827"/>
      <c r="B725" s="1066">
        <v>475</v>
      </c>
      <c r="C725" s="831">
        <v>1.0103503808829086</v>
      </c>
      <c r="D725" s="831">
        <v>1.0462835305325615</v>
      </c>
      <c r="E725" s="831">
        <v>1.0183512192622632</v>
      </c>
      <c r="F725" s="831">
        <v>0.98600908879056692</v>
      </c>
      <c r="G725" s="831">
        <v>1.0083851372416435</v>
      </c>
      <c r="H725" s="831">
        <v>0.99123442952445739</v>
      </c>
      <c r="I725" s="831">
        <v>0.99031491524795912</v>
      </c>
      <c r="K725">
        <v>1.7169500935871969</v>
      </c>
      <c r="L725">
        <v>0</v>
      </c>
      <c r="M725">
        <v>1.2812964944379863E-3</v>
      </c>
      <c r="N725">
        <v>0.13663723680012593</v>
      </c>
      <c r="O725">
        <v>1.7296281847754131E-2</v>
      </c>
      <c r="P725">
        <v>1.9910016920862809E-2</v>
      </c>
      <c r="Q725">
        <v>2.1433425659658136E-3</v>
      </c>
      <c r="R725">
        <v>1.2733070669581302E-3</v>
      </c>
      <c r="S725">
        <v>0.14632530952798517</v>
      </c>
      <c r="T725">
        <v>1.0697399807515129</v>
      </c>
      <c r="U725">
        <v>2.308360380675311E-2</v>
      </c>
      <c r="V725">
        <v>0.2010420835992458</v>
      </c>
      <c r="W725">
        <v>8.0661540202857623E-2</v>
      </c>
      <c r="X725">
        <v>1.6653164900914598E-2</v>
      </c>
      <c r="Y725">
        <v>3.4655220906982158E-3</v>
      </c>
    </row>
    <row r="726" spans="1:25" x14ac:dyDescent="0.25">
      <c r="A726" s="827"/>
      <c r="B726" s="1066">
        <v>476</v>
      </c>
      <c r="C726" s="831">
        <v>0.99274975263013321</v>
      </c>
      <c r="D726" s="831">
        <v>1.0012416979376844</v>
      </c>
      <c r="E726" s="831">
        <v>1.011653501987956</v>
      </c>
      <c r="F726" s="831">
        <v>0.96853165617522163</v>
      </c>
      <c r="G726" s="831">
        <v>0.97500011434654188</v>
      </c>
      <c r="H726" s="831">
        <v>0.9755156277819349</v>
      </c>
      <c r="I726" s="831">
        <v>1.0280739665361551</v>
      </c>
      <c r="K726">
        <v>1.738361587225522</v>
      </c>
      <c r="L726">
        <v>0</v>
      </c>
      <c r="M726">
        <v>1.3277085228965415E-3</v>
      </c>
      <c r="N726">
        <v>0.13865915682226176</v>
      </c>
      <c r="O726">
        <v>1.7956338196464375E-2</v>
      </c>
      <c r="P726">
        <v>2.0042709210480014E-2</v>
      </c>
      <c r="Q726">
        <v>2.2024678972742922E-3</v>
      </c>
      <c r="R726">
        <v>1.3193260307614849E-3</v>
      </c>
      <c r="S726">
        <v>0.1562709943297925</v>
      </c>
      <c r="T726">
        <v>1.0703305263238461</v>
      </c>
      <c r="U726">
        <v>2.3492856922415588E-2</v>
      </c>
      <c r="V726">
        <v>0.20685164003096052</v>
      </c>
      <c r="W726">
        <v>8.2227219938114077E-2</v>
      </c>
      <c r="X726">
        <v>1.6745289506022928E-2</v>
      </c>
      <c r="Y726">
        <v>3.5907705400236079E-3</v>
      </c>
    </row>
    <row r="727" spans="1:25" x14ac:dyDescent="0.25">
      <c r="A727" s="827"/>
      <c r="B727" s="1066">
        <v>477</v>
      </c>
      <c r="C727" s="831">
        <v>0.96406801775637718</v>
      </c>
      <c r="D727" s="831">
        <v>1.006653985885694</v>
      </c>
      <c r="E727" s="831">
        <v>1.0038432435612625</v>
      </c>
      <c r="F727" s="831">
        <v>0.99861370328639099</v>
      </c>
      <c r="G727" s="831">
        <v>1.025945033807605</v>
      </c>
      <c r="H727" s="831">
        <v>1.0256945834216256</v>
      </c>
      <c r="I727" s="831">
        <v>1.0142091604158774</v>
      </c>
      <c r="K727">
        <v>1.7659536285745336</v>
      </c>
      <c r="L727">
        <v>0</v>
      </c>
      <c r="M727">
        <v>1.4578457450966221E-3</v>
      </c>
      <c r="N727">
        <v>0.14864301978380523</v>
      </c>
      <c r="O727">
        <v>1.8445475621389686E-2</v>
      </c>
      <c r="P727">
        <v>2.0063918155940247E-2</v>
      </c>
      <c r="Q727">
        <v>2.2458370376944752E-3</v>
      </c>
      <c r="R727">
        <v>1.4490880767489859E-3</v>
      </c>
      <c r="S727">
        <v>0.16217378512511543</v>
      </c>
      <c r="T727">
        <v>1.0710213089606546</v>
      </c>
      <c r="U727">
        <v>2.4191786750254862E-2</v>
      </c>
      <c r="V727">
        <v>0.20956125370122214</v>
      </c>
      <c r="W727">
        <v>8.8617598976269113E-2</v>
      </c>
      <c r="X727">
        <v>1.7054462077379158E-2</v>
      </c>
      <c r="Y727">
        <v>3.9439400531546213E-3</v>
      </c>
    </row>
    <row r="728" spans="1:25" x14ac:dyDescent="0.25">
      <c r="A728" s="827"/>
      <c r="B728" s="1066">
        <v>478</v>
      </c>
      <c r="C728" s="831">
        <v>1.0042694539482304</v>
      </c>
      <c r="D728" s="831">
        <v>0.99919192120042988</v>
      </c>
      <c r="E728" s="831">
        <v>1.0321409873367138</v>
      </c>
      <c r="F728" s="831">
        <v>1.0234934119768997</v>
      </c>
      <c r="G728" s="831">
        <v>1.0002990548922548</v>
      </c>
      <c r="H728" s="831">
        <v>0.9902465645546521</v>
      </c>
      <c r="I728" s="831">
        <v>0.9828178352674618</v>
      </c>
      <c r="K728">
        <v>1.7327807967184814</v>
      </c>
      <c r="L728">
        <v>0</v>
      </c>
      <c r="M728">
        <v>1.2770379617819136E-3</v>
      </c>
      <c r="N728">
        <v>0.1421437357826322</v>
      </c>
      <c r="O728">
        <v>1.77668503969097E-2</v>
      </c>
      <c r="P728">
        <v>2.0197980569209979E-2</v>
      </c>
      <c r="Q728">
        <v>2.2236459780373605E-3</v>
      </c>
      <c r="R728">
        <v>1.2690966434217407E-3</v>
      </c>
      <c r="S728">
        <v>0.14883910343394691</v>
      </c>
      <c r="T728">
        <v>1.0685294724625369</v>
      </c>
      <c r="U728">
        <v>2.3223376760700996E-2</v>
      </c>
      <c r="V728">
        <v>0.20579510577065249</v>
      </c>
      <c r="W728">
        <v>8.3137833124917099E-2</v>
      </c>
      <c r="X728">
        <v>1.7477571051498587E-2</v>
      </c>
      <c r="Y728">
        <v>3.4540627057979101E-3</v>
      </c>
    </row>
    <row r="729" spans="1:25" x14ac:dyDescent="0.25">
      <c r="A729" s="827"/>
      <c r="B729" s="1066">
        <v>479</v>
      </c>
      <c r="C729" s="831">
        <v>1.0378140712753992</v>
      </c>
      <c r="D729" s="831">
        <v>0.9858269620072303</v>
      </c>
      <c r="E729" s="831">
        <v>1.0149202703558253</v>
      </c>
      <c r="F729" s="831">
        <v>1.0081442235023825</v>
      </c>
      <c r="G729" s="831">
        <v>0.99976508729491687</v>
      </c>
      <c r="H729" s="831">
        <v>1.0030568794844434</v>
      </c>
      <c r="I729" s="831">
        <v>1.0079049776505518</v>
      </c>
      <c r="K729">
        <v>1.7243423810499006</v>
      </c>
      <c r="L729">
        <v>0</v>
      </c>
      <c r="M729">
        <v>1.3060853785856104E-3</v>
      </c>
      <c r="N729">
        <v>0.13781803525150454</v>
      </c>
      <c r="O729">
        <v>1.7297866510023255E-2</v>
      </c>
      <c r="P729">
        <v>1.9932816127079606E-2</v>
      </c>
      <c r="Q729">
        <v>2.1259142519325178E-3</v>
      </c>
      <c r="R729">
        <v>1.2980759820641016E-3</v>
      </c>
      <c r="S729">
        <v>0.14943205308974805</v>
      </c>
      <c r="T729">
        <v>1.0700422794183242</v>
      </c>
      <c r="U729">
        <v>2.2472742029447948E-2</v>
      </c>
      <c r="V729">
        <v>0.20353170579080609</v>
      </c>
      <c r="W729">
        <v>8.1547620805938845E-2</v>
      </c>
      <c r="X729">
        <v>1.6616422259071555E-2</v>
      </c>
      <c r="Y729">
        <v>3.5329349125460012E-3</v>
      </c>
    </row>
    <row r="730" spans="1:25" x14ac:dyDescent="0.25">
      <c r="A730" s="827"/>
      <c r="B730" s="1066">
        <v>480</v>
      </c>
      <c r="C730" s="831">
        <v>0.99892148664318048</v>
      </c>
      <c r="D730" s="831">
        <v>0.98280304120431483</v>
      </c>
      <c r="E730" s="831">
        <v>1.0305010546107554</v>
      </c>
      <c r="F730" s="831">
        <v>1.0331920188776464</v>
      </c>
      <c r="G730" s="831">
        <v>1.0282468858796336</v>
      </c>
      <c r="H730" s="831">
        <v>0.9634210663620737</v>
      </c>
      <c r="I730" s="831">
        <v>1.0066165969818113</v>
      </c>
      <c r="K730">
        <v>1.7352908445623028</v>
      </c>
      <c r="L730">
        <v>0</v>
      </c>
      <c r="M730">
        <v>1.2628615121379376E-3</v>
      </c>
      <c r="N730">
        <v>0.13982895210306062</v>
      </c>
      <c r="O730">
        <v>1.7996423989111349E-2</v>
      </c>
      <c r="P730">
        <v>2.0256304330385434E-2</v>
      </c>
      <c r="Q730">
        <v>2.2456711373864242E-3</v>
      </c>
      <c r="R730">
        <v>1.2548006078236787E-3</v>
      </c>
      <c r="S730">
        <v>0.15236008881087504</v>
      </c>
      <c r="T730">
        <v>1.0686730529994006</v>
      </c>
      <c r="U730">
        <v>2.3347708714002359E-2</v>
      </c>
      <c r="V730">
        <v>0.20790657174811386</v>
      </c>
      <c r="W730">
        <v>8.1873792531142159E-2</v>
      </c>
      <c r="X730">
        <v>1.7395185493552744E-2</v>
      </c>
      <c r="Y730">
        <v>3.4151536095868539E-3</v>
      </c>
    </row>
    <row r="731" spans="1:25" x14ac:dyDescent="0.25">
      <c r="A731" s="827"/>
      <c r="B731" s="1066">
        <v>481</v>
      </c>
      <c r="C731" s="831">
        <v>0.98554540625747522</v>
      </c>
      <c r="D731" s="831">
        <v>0.99396556776055167</v>
      </c>
      <c r="E731" s="831">
        <v>1.0126835585295697</v>
      </c>
      <c r="F731" s="831">
        <v>0.9641517551062867</v>
      </c>
      <c r="G731" s="831">
        <v>1.0333592200480113</v>
      </c>
      <c r="H731" s="831">
        <v>0.98061472493104729</v>
      </c>
      <c r="I731" s="831">
        <v>0.99740828133217208</v>
      </c>
      <c r="K731">
        <v>1.7413300746241891</v>
      </c>
      <c r="L731">
        <v>0</v>
      </c>
      <c r="M731">
        <v>1.345921838333096E-3</v>
      </c>
      <c r="N731">
        <v>0.14101721323157512</v>
      </c>
      <c r="O731">
        <v>1.8147472163296305E-2</v>
      </c>
      <c r="P731">
        <v>2.0041928292145482E-2</v>
      </c>
      <c r="Q731">
        <v>2.2268687143610967E-3</v>
      </c>
      <c r="R731">
        <v>1.3374735702624139E-3</v>
      </c>
      <c r="S731">
        <v>0.15355221676812103</v>
      </c>
      <c r="T731">
        <v>1.0702395945622873</v>
      </c>
      <c r="U731">
        <v>2.3664589931851516E-2</v>
      </c>
      <c r="V731">
        <v>0.20832617440535636</v>
      </c>
      <c r="W731">
        <v>8.3567165542409685E-2</v>
      </c>
      <c r="X731">
        <v>1.6915137120646212E-2</v>
      </c>
      <c r="Y731">
        <v>3.6401621602103478E-3</v>
      </c>
    </row>
    <row r="732" spans="1:25" x14ac:dyDescent="0.25">
      <c r="A732" s="827"/>
      <c r="B732" s="1066">
        <v>482</v>
      </c>
      <c r="C732" s="831">
        <v>1.0197914900069618</v>
      </c>
      <c r="D732" s="831">
        <v>0.96851830502380198</v>
      </c>
      <c r="E732" s="831">
        <v>0.97426210532675306</v>
      </c>
      <c r="F732" s="831">
        <v>0.95886189749475492</v>
      </c>
      <c r="G732" s="831">
        <v>0.99750315268473877</v>
      </c>
      <c r="H732" s="831">
        <v>0.99508563149659146</v>
      </c>
      <c r="I732" s="831">
        <v>1.0345823467012407</v>
      </c>
      <c r="K732">
        <v>1.7353679873204007</v>
      </c>
      <c r="L732">
        <v>0</v>
      </c>
      <c r="M732">
        <v>1.4479675690051482E-3</v>
      </c>
      <c r="N732">
        <v>0.13462289658381227</v>
      </c>
      <c r="O732">
        <v>1.7745770103063573E-2</v>
      </c>
      <c r="P732">
        <v>1.9531401775053886E-2</v>
      </c>
      <c r="Q732">
        <v>2.0902911360600341E-3</v>
      </c>
      <c r="R732">
        <v>1.4390300351876249E-3</v>
      </c>
      <c r="S732">
        <v>0.15666448545910264</v>
      </c>
      <c r="T732">
        <v>1.0736584866976544</v>
      </c>
      <c r="U732">
        <v>2.2869898530084819E-2</v>
      </c>
      <c r="V732">
        <v>0.20702506841516244</v>
      </c>
      <c r="W732">
        <v>8.1912948133551697E-2</v>
      </c>
      <c r="X732">
        <v>1.5339112641012837E-2</v>
      </c>
      <c r="Y732">
        <v>3.9165653796571064E-3</v>
      </c>
    </row>
    <row r="733" spans="1:25" x14ac:dyDescent="0.25">
      <c r="A733" s="827"/>
      <c r="B733" s="1066">
        <v>483</v>
      </c>
      <c r="C733" s="831">
        <v>0.99186134329267661</v>
      </c>
      <c r="D733" s="831">
        <v>1.0177922208726797</v>
      </c>
      <c r="E733" s="831">
        <v>1.0087842938025362</v>
      </c>
      <c r="F733" s="831">
        <v>0.99574921540852612</v>
      </c>
      <c r="G733" s="831">
        <v>0.99287768728579429</v>
      </c>
      <c r="H733" s="831">
        <v>0.96038372224666035</v>
      </c>
      <c r="I733" s="831">
        <v>0.97593049591697612</v>
      </c>
      <c r="K733">
        <v>1.7213412846138065</v>
      </c>
      <c r="L733">
        <v>0</v>
      </c>
      <c r="M733">
        <v>1.3065088859810219E-3</v>
      </c>
      <c r="N733">
        <v>0.13521884073011436</v>
      </c>
      <c r="O733">
        <v>1.783959450489566E-2</v>
      </c>
      <c r="P733">
        <v>1.9849174131401356E-2</v>
      </c>
      <c r="Q733">
        <v>2.1848018138531954E-3</v>
      </c>
      <c r="R733">
        <v>1.2981191290141552E-3</v>
      </c>
      <c r="S733">
        <v>0.14641251450608336</v>
      </c>
      <c r="T733">
        <v>1.0705840270654494</v>
      </c>
      <c r="U733">
        <v>2.3513899453808228E-2</v>
      </c>
      <c r="V733">
        <v>0.20543981295868896</v>
      </c>
      <c r="W733">
        <v>8.0343514819154777E-2</v>
      </c>
      <c r="X733">
        <v>1.6430442043003576E-2</v>
      </c>
      <c r="Y733">
        <v>3.5330523443206597E-3</v>
      </c>
    </row>
    <row r="734" spans="1:25" x14ac:dyDescent="0.25">
      <c r="A734" s="827"/>
      <c r="B734" s="1066">
        <v>484</v>
      </c>
      <c r="C734" s="831">
        <v>1.0057506299931682</v>
      </c>
      <c r="D734" s="831">
        <v>1.0193369896116873</v>
      </c>
      <c r="E734" s="831">
        <v>0.96725924189250823</v>
      </c>
      <c r="F734" s="831">
        <v>1.0133080179081724</v>
      </c>
      <c r="G734" s="831">
        <v>1.024459179838449</v>
      </c>
      <c r="H734" s="831">
        <v>0.97980672172132388</v>
      </c>
      <c r="I734" s="831">
        <v>0.97813573756773153</v>
      </c>
      <c r="K734">
        <v>1.715013529025653</v>
      </c>
      <c r="L734">
        <v>0</v>
      </c>
      <c r="M734">
        <v>1.4334361655107103E-3</v>
      </c>
      <c r="N734">
        <v>0.13037746630488961</v>
      </c>
      <c r="O734">
        <v>1.7581176165986385E-2</v>
      </c>
      <c r="P734">
        <v>1.9254533915903572E-2</v>
      </c>
      <c r="Q734">
        <v>2.0648075885369445E-3</v>
      </c>
      <c r="R734">
        <v>1.4244127099822773E-3</v>
      </c>
      <c r="S734">
        <v>0.14597045081436791</v>
      </c>
      <c r="T734">
        <v>1.0742876113845274</v>
      </c>
      <c r="U734">
        <v>2.3189175529983619E-2</v>
      </c>
      <c r="V734">
        <v>0.20382798461894455</v>
      </c>
      <c r="W734">
        <v>7.971870765510343E-2</v>
      </c>
      <c r="X734">
        <v>1.4873856663889075E-2</v>
      </c>
      <c r="Y734">
        <v>3.8767818390481107E-3</v>
      </c>
    </row>
    <row r="735" spans="1:25" x14ac:dyDescent="0.25">
      <c r="A735" s="827"/>
      <c r="B735" s="1066">
        <v>485</v>
      </c>
      <c r="C735" s="831">
        <v>1.0045980319634131</v>
      </c>
      <c r="D735" s="831">
        <v>0.9765046417163038</v>
      </c>
      <c r="E735" s="831">
        <v>0.96345684724716263</v>
      </c>
      <c r="F735" s="831">
        <v>1.024024604755033</v>
      </c>
      <c r="G735" s="831">
        <v>0.97006012143478593</v>
      </c>
      <c r="H735" s="831">
        <v>1.0072686251009357</v>
      </c>
      <c r="I735" s="831">
        <v>0.98678316269560107</v>
      </c>
      <c r="K735">
        <v>1.7362009570435017</v>
      </c>
      <c r="L735">
        <v>0</v>
      </c>
      <c r="M735">
        <v>1.5162735895319155E-3</v>
      </c>
      <c r="N735">
        <v>0.13631238781099864</v>
      </c>
      <c r="O735">
        <v>1.7947050483404864E-2</v>
      </c>
      <c r="P735">
        <v>1.9337590908206796E-2</v>
      </c>
      <c r="Q735">
        <v>2.0921961400390352E-3</v>
      </c>
      <c r="R735">
        <v>1.5070213584770715E-3</v>
      </c>
      <c r="S735">
        <v>0.15203678829322834</v>
      </c>
      <c r="T735">
        <v>1.0746299812216007</v>
      </c>
      <c r="U735">
        <v>2.3215780995231486E-2</v>
      </c>
      <c r="V735">
        <v>0.20789087976229512</v>
      </c>
      <c r="W735">
        <v>8.3570069783335449E-2</v>
      </c>
      <c r="X735">
        <v>1.5075868527898805E-2</v>
      </c>
      <c r="Y735">
        <v>4.1016153483172816E-3</v>
      </c>
    </row>
    <row r="736" spans="1:25" x14ac:dyDescent="0.25">
      <c r="A736" s="827"/>
      <c r="B736" s="1066">
        <v>486</v>
      </c>
      <c r="C736" s="831">
        <v>0.97765294549891713</v>
      </c>
      <c r="D736" s="831">
        <v>1.009659194696181</v>
      </c>
      <c r="E736" s="831">
        <v>1.0001470539416328</v>
      </c>
      <c r="F736" s="831">
        <v>1.0162161004421155</v>
      </c>
      <c r="G736" s="831">
        <v>0.98859775217961821</v>
      </c>
      <c r="H736" s="831">
        <v>0.98261230855457271</v>
      </c>
      <c r="I736" s="831">
        <v>1.0252603718904518</v>
      </c>
      <c r="K736">
        <v>1.7448488975506111</v>
      </c>
      <c r="L736">
        <v>0</v>
      </c>
      <c r="M736">
        <v>1.3861015216463009E-3</v>
      </c>
      <c r="N736">
        <v>0.13967507205268515</v>
      </c>
      <c r="O736">
        <v>1.8164647677469864E-2</v>
      </c>
      <c r="P736">
        <v>1.9929980770737106E-2</v>
      </c>
      <c r="Q736">
        <v>2.2039881482148406E-3</v>
      </c>
      <c r="R736">
        <v>1.3774076577852564E-3</v>
      </c>
      <c r="S736">
        <v>0.15823362353017323</v>
      </c>
      <c r="T736">
        <v>1.0713490239471428</v>
      </c>
      <c r="U736">
        <v>2.3855630984061696E-2</v>
      </c>
      <c r="V736">
        <v>0.20773935885501962</v>
      </c>
      <c r="W736">
        <v>8.348168425505717E-2</v>
      </c>
      <c r="X736">
        <v>1.647573161173152E-2</v>
      </c>
      <c r="Y736">
        <v>3.7488495821791112E-3</v>
      </c>
    </row>
    <row r="737" spans="1:25" x14ac:dyDescent="0.25">
      <c r="A737" s="827"/>
      <c r="B737" s="1066">
        <v>487</v>
      </c>
      <c r="C737" s="831">
        <v>0.96746346622004153</v>
      </c>
      <c r="D737" s="831">
        <v>1.0233853667700044</v>
      </c>
      <c r="E737" s="831">
        <v>0.95863752987263351</v>
      </c>
      <c r="F737" s="831">
        <v>0.98445227754486142</v>
      </c>
      <c r="G737" s="831">
        <v>1.0149820309900917</v>
      </c>
      <c r="H737" s="831">
        <v>1.0081820051252501</v>
      </c>
      <c r="I737" s="831">
        <v>1.0260699311478034</v>
      </c>
      <c r="K737">
        <v>1.7498271617161445</v>
      </c>
      <c r="L737">
        <v>0</v>
      </c>
      <c r="M737">
        <v>1.5584566732769899E-3</v>
      </c>
      <c r="N737">
        <v>0.1380111891360892</v>
      </c>
      <c r="O737">
        <v>1.8244243354983532E-2</v>
      </c>
      <c r="P737">
        <v>1.9399053990809583E-2</v>
      </c>
      <c r="Q737">
        <v>2.1244911197321296E-3</v>
      </c>
      <c r="R737">
        <v>1.5489192863747149E-3</v>
      </c>
      <c r="S737">
        <v>0.16106073138567031</v>
      </c>
      <c r="T737">
        <v>1.07506469247425</v>
      </c>
      <c r="U737">
        <v>2.4106882288202774E-2</v>
      </c>
      <c r="V737">
        <v>0.20762705538752724</v>
      </c>
      <c r="W737">
        <v>8.4898801220397821E-2</v>
      </c>
      <c r="X737">
        <v>1.5083911048976656E-2</v>
      </c>
      <c r="Y737">
        <v>4.2156476964064476E-3</v>
      </c>
    </row>
    <row r="738" spans="1:25" x14ac:dyDescent="0.25">
      <c r="A738" s="827"/>
      <c r="B738" s="1066">
        <v>488</v>
      </c>
      <c r="C738" s="831">
        <v>1.0215407578948843</v>
      </c>
      <c r="D738" s="831">
        <v>0.97988615676598556</v>
      </c>
      <c r="E738" s="831">
        <v>1.0364268158693997</v>
      </c>
      <c r="F738" s="831">
        <v>1.0055176252579083</v>
      </c>
      <c r="G738" s="831">
        <v>0.96544410022749194</v>
      </c>
      <c r="H738" s="831">
        <v>1.0345378727560377</v>
      </c>
      <c r="I738" s="831">
        <v>1.0076491358112318</v>
      </c>
      <c r="K738">
        <v>1.7469713001751586</v>
      </c>
      <c r="L738">
        <v>0</v>
      </c>
      <c r="M738">
        <v>1.3112934084406015E-3</v>
      </c>
      <c r="N738">
        <v>0.14795183617500465</v>
      </c>
      <c r="O738">
        <v>1.7621703646327404E-2</v>
      </c>
      <c r="P738">
        <v>2.0327522415308618E-2</v>
      </c>
      <c r="Q738">
        <v>2.2112638009534049E-3</v>
      </c>
      <c r="R738">
        <v>1.3035006459647595E-3</v>
      </c>
      <c r="S738">
        <v>0.15440596475015494</v>
      </c>
      <c r="T738">
        <v>1.0681547185835361</v>
      </c>
      <c r="U738">
        <v>2.2830736530145463E-2</v>
      </c>
      <c r="V738">
        <v>0.20575907790391362</v>
      </c>
      <c r="W738">
        <v>8.6287469387196947E-2</v>
      </c>
      <c r="X738">
        <v>1.7881100685647029E-2</v>
      </c>
      <c r="Y738">
        <v>3.5476990594436181E-3</v>
      </c>
    </row>
    <row r="739" spans="1:25" x14ac:dyDescent="0.25">
      <c r="A739" s="827"/>
      <c r="B739" s="1066">
        <v>489</v>
      </c>
      <c r="C739" s="831">
        <v>1.0037943702799099</v>
      </c>
      <c r="D739" s="831">
        <v>0.98517342842800937</v>
      </c>
      <c r="E739" s="831">
        <v>1.0195126127215652</v>
      </c>
      <c r="F739" s="831">
        <v>1.0033515894705944</v>
      </c>
      <c r="G739" s="831">
        <v>1.0022682779156511</v>
      </c>
      <c r="H739" s="831">
        <v>1.0386581070758341</v>
      </c>
      <c r="I739" s="831">
        <v>1.0013791398576715</v>
      </c>
      <c r="K739">
        <v>1.753296880556203</v>
      </c>
      <c r="L739">
        <v>0</v>
      </c>
      <c r="M739">
        <v>1.38520088182629E-3</v>
      </c>
      <c r="N739">
        <v>0.14829831404783694</v>
      </c>
      <c r="O739">
        <v>1.7889492499787142E-2</v>
      </c>
      <c r="P739">
        <v>2.0147700242246318E-2</v>
      </c>
      <c r="Q739">
        <v>2.2085804432696115E-3</v>
      </c>
      <c r="R739">
        <v>1.3769979276311187E-3</v>
      </c>
      <c r="S739">
        <v>0.15610535575406112</v>
      </c>
      <c r="T739">
        <v>1.0696377521147939</v>
      </c>
      <c r="U739">
        <v>2.3234368102502519E-2</v>
      </c>
      <c r="V739">
        <v>0.20715356126342657</v>
      </c>
      <c r="W739">
        <v>8.7476833035122895E-2</v>
      </c>
      <c r="X739">
        <v>1.7405391575585037E-2</v>
      </c>
      <c r="Y739">
        <v>3.7477344317670565E-3</v>
      </c>
    </row>
    <row r="740" spans="1:25" x14ac:dyDescent="0.25">
      <c r="A740" s="827"/>
      <c r="B740" s="1066">
        <v>490</v>
      </c>
      <c r="C740" s="831">
        <v>0.98564345416207533</v>
      </c>
      <c r="D740" s="831">
        <v>0.98838726129801158</v>
      </c>
      <c r="E740" s="831">
        <v>0.96696223153446093</v>
      </c>
      <c r="F740" s="831">
        <v>0.97957769519345506</v>
      </c>
      <c r="G740" s="831">
        <v>0.99862701468314741</v>
      </c>
      <c r="H740" s="831">
        <v>0.98734452772693826</v>
      </c>
      <c r="I740" s="831">
        <v>0.98995243830794166</v>
      </c>
      <c r="K740">
        <v>1.7381025073144967</v>
      </c>
      <c r="L740">
        <v>0</v>
      </c>
      <c r="M740">
        <v>1.4955586698173358E-3</v>
      </c>
      <c r="N740">
        <v>0.13591055651398989</v>
      </c>
      <c r="O740">
        <v>1.8192032810395102E-2</v>
      </c>
      <c r="P740">
        <v>1.9420231998648674E-2</v>
      </c>
      <c r="Q740">
        <v>2.1305186823313963E-3</v>
      </c>
      <c r="R740">
        <v>1.4862394206483932E-3</v>
      </c>
      <c r="S740">
        <v>0.15323356839748428</v>
      </c>
      <c r="T740">
        <v>1.0743143348837576</v>
      </c>
      <c r="U740">
        <v>2.366223587223067E-2</v>
      </c>
      <c r="V740">
        <v>0.20884352660997754</v>
      </c>
      <c r="W740">
        <v>8.3119174900054216E-2</v>
      </c>
      <c r="X740">
        <v>1.5240592130483559E-2</v>
      </c>
      <c r="Y740">
        <v>4.0450537643115835E-3</v>
      </c>
    </row>
    <row r="741" spans="1:25" x14ac:dyDescent="0.25">
      <c r="A741" s="827"/>
      <c r="B741" s="1066">
        <v>491</v>
      </c>
      <c r="C741" s="831">
        <v>1.0203702690935541</v>
      </c>
      <c r="D741" s="831">
        <v>1.007418537055</v>
      </c>
      <c r="E741" s="831">
        <v>0.97526335329414782</v>
      </c>
      <c r="F741" s="831">
        <v>1.0174496671199513</v>
      </c>
      <c r="G741" s="831">
        <v>1.0127317692925366</v>
      </c>
      <c r="H741" s="831">
        <v>0.99986816055402672</v>
      </c>
      <c r="I741" s="831">
        <v>1.0188216126395278</v>
      </c>
      <c r="K741">
        <v>1.7235624780127747</v>
      </c>
      <c r="L741">
        <v>0</v>
      </c>
      <c r="M741">
        <v>1.4253888511666084E-3</v>
      </c>
      <c r="N741">
        <v>0.13293919081542552</v>
      </c>
      <c r="O741">
        <v>1.7421699134736689E-2</v>
      </c>
      <c r="P741">
        <v>1.9433872336592717E-2</v>
      </c>
      <c r="Q741">
        <v>2.0608994437977864E-3</v>
      </c>
      <c r="R741">
        <v>1.416604445915572E-3</v>
      </c>
      <c r="S741">
        <v>0.15202863810215403</v>
      </c>
      <c r="T741">
        <v>1.0735686866376977</v>
      </c>
      <c r="U741">
        <v>2.2856926161737099E-2</v>
      </c>
      <c r="V741">
        <v>0.20336797293789402</v>
      </c>
      <c r="W741">
        <v>8.0832091475551163E-2</v>
      </c>
      <c r="X741">
        <v>1.5205755054186226E-2</v>
      </c>
      <c r="Y741">
        <v>3.8555303182520955E-3</v>
      </c>
    </row>
    <row r="742" spans="1:25" x14ac:dyDescent="0.25">
      <c r="A742" s="827"/>
      <c r="B742" s="1066">
        <v>492</v>
      </c>
      <c r="C742" s="831">
        <v>0.99053312005730976</v>
      </c>
      <c r="D742" s="831">
        <v>1.0173074877582666</v>
      </c>
      <c r="E742" s="831">
        <v>1.0289439353892063</v>
      </c>
      <c r="F742" s="831">
        <v>0.97706428894163322</v>
      </c>
      <c r="G742" s="831">
        <v>0.98527356894416318</v>
      </c>
      <c r="H742" s="831">
        <v>1.0081470677900002</v>
      </c>
      <c r="I742" s="831">
        <v>1.01013302197975</v>
      </c>
      <c r="K742">
        <v>1.7448227555320373</v>
      </c>
      <c r="L742">
        <v>0</v>
      </c>
      <c r="M742">
        <v>1.3163635506505047E-3</v>
      </c>
      <c r="N742">
        <v>0.1450889089072491</v>
      </c>
      <c r="O742">
        <v>1.7867363061336156E-2</v>
      </c>
      <c r="P742">
        <v>2.0246516589201371E-2</v>
      </c>
      <c r="Q742">
        <v>2.2324420317797644E-3</v>
      </c>
      <c r="R742">
        <v>1.3083113041540803E-3</v>
      </c>
      <c r="S742">
        <v>0.15524641366988626</v>
      </c>
      <c r="T742">
        <v>1.0688094774334105</v>
      </c>
      <c r="U742">
        <v>2.3545429654037012E-2</v>
      </c>
      <c r="V742">
        <v>0.20562767346266667</v>
      </c>
      <c r="W742">
        <v>8.5042353690667746E-2</v>
      </c>
      <c r="X742">
        <v>1.7563437193096137E-2</v>
      </c>
      <c r="Y742">
        <v>3.5607920852019021E-3</v>
      </c>
    </row>
    <row r="743" spans="1:25" x14ac:dyDescent="0.25">
      <c r="A743" s="827"/>
      <c r="B743" s="1066">
        <v>493</v>
      </c>
      <c r="C743" s="831">
        <v>0.99611180910903685</v>
      </c>
      <c r="D743" s="831">
        <v>1.0109980379011172</v>
      </c>
      <c r="E743" s="831">
        <v>0.985941301575743</v>
      </c>
      <c r="F743" s="831">
        <v>1.0282742087355468</v>
      </c>
      <c r="G743" s="831">
        <v>0.99602842650101597</v>
      </c>
      <c r="H743" s="831">
        <v>1.02160173358475</v>
      </c>
      <c r="I743" s="831">
        <v>0.97683339828638138</v>
      </c>
      <c r="K743">
        <v>1.7368499714568324</v>
      </c>
      <c r="L743">
        <v>0</v>
      </c>
      <c r="M743">
        <v>1.4564294072278588E-3</v>
      </c>
      <c r="N743">
        <v>0.14044742788908487</v>
      </c>
      <c r="O743">
        <v>1.7817354996709465E-2</v>
      </c>
      <c r="P743">
        <v>1.9597767656019578E-2</v>
      </c>
      <c r="Q743">
        <v>2.1313119907642778E-3</v>
      </c>
      <c r="R743">
        <v>1.4476421276843538E-3</v>
      </c>
      <c r="S743">
        <v>0.15061592065175788</v>
      </c>
      <c r="T743">
        <v>1.0726133434111391</v>
      </c>
      <c r="U743">
        <v>2.341356430576182E-2</v>
      </c>
      <c r="V743">
        <v>0.20559660347776137</v>
      </c>
      <c r="W743">
        <v>8.4767250446938877E-2</v>
      </c>
      <c r="X743">
        <v>1.5918209253979937E-2</v>
      </c>
      <c r="Y743">
        <v>3.9400046564576742E-3</v>
      </c>
    </row>
    <row r="744" spans="1:25" x14ac:dyDescent="0.25">
      <c r="A744" s="827"/>
      <c r="B744" s="1066">
        <v>494</v>
      </c>
      <c r="C744" s="831">
        <v>1.0259436168117206</v>
      </c>
      <c r="D744" s="831">
        <v>0.97216719052248712</v>
      </c>
      <c r="E744" s="831">
        <v>1.0031904218040373</v>
      </c>
      <c r="F744" s="831">
        <v>0.99161853592665639</v>
      </c>
      <c r="G744" s="831">
        <v>0.99386704999856712</v>
      </c>
      <c r="H744" s="831">
        <v>1.0108393262553661</v>
      </c>
      <c r="I744" s="831">
        <v>0.97766759683542448</v>
      </c>
      <c r="K744">
        <v>1.7305926136773666</v>
      </c>
      <c r="L744">
        <v>0</v>
      </c>
      <c r="M744">
        <v>1.3734594639296185E-3</v>
      </c>
      <c r="N744">
        <v>0.13974490805435164</v>
      </c>
      <c r="O744">
        <v>1.7609229409312272E-2</v>
      </c>
      <c r="P744">
        <v>1.9793022645037874E-2</v>
      </c>
      <c r="Q744">
        <v>2.1364668030019267E-3</v>
      </c>
      <c r="R744">
        <v>1.3651113527087676E-3</v>
      </c>
      <c r="S744">
        <v>0.14801948592423736</v>
      </c>
      <c r="T744">
        <v>1.0710791525355512</v>
      </c>
      <c r="U744">
        <v>2.273275793730415E-2</v>
      </c>
      <c r="V744">
        <v>0.20602708565138181</v>
      </c>
      <c r="W744">
        <v>8.3349878259704788E-2</v>
      </c>
      <c r="X744">
        <v>1.6393591475468136E-2</v>
      </c>
      <c r="Y744">
        <v>3.7153830932367864E-3</v>
      </c>
    </row>
    <row r="745" spans="1:25" x14ac:dyDescent="0.25">
      <c r="A745" s="827"/>
      <c r="B745" s="1066">
        <v>495</v>
      </c>
      <c r="C745" s="831">
        <v>1.0309396905369799</v>
      </c>
      <c r="D745" s="831">
        <v>1.0168713561526626</v>
      </c>
      <c r="E745" s="831">
        <v>0.96209778767031051</v>
      </c>
      <c r="F745" s="831">
        <v>0.99132065665752134</v>
      </c>
      <c r="G745" s="831">
        <v>0.9794017416127333</v>
      </c>
      <c r="H745" s="831">
        <v>0.97310531712155812</v>
      </c>
      <c r="I745" s="831">
        <v>0.96649840199142945</v>
      </c>
      <c r="K745">
        <v>1.6986958984434495</v>
      </c>
      <c r="L745">
        <v>0</v>
      </c>
      <c r="M745">
        <v>1.4054777153131698E-3</v>
      </c>
      <c r="N745">
        <v>0.12578753443896726</v>
      </c>
      <c r="O745">
        <v>1.7170399113448857E-2</v>
      </c>
      <c r="P745">
        <v>1.9071594469909445E-2</v>
      </c>
      <c r="Q745">
        <v>2.0055281364820703E-3</v>
      </c>
      <c r="R745">
        <v>1.3965710693986347E-3</v>
      </c>
      <c r="S745">
        <v>0.14040321386091811</v>
      </c>
      <c r="T745">
        <v>1.0747524829759996</v>
      </c>
      <c r="U745">
        <v>2.2622591905599537E-2</v>
      </c>
      <c r="V745">
        <v>0.20146643056031446</v>
      </c>
      <c r="W745">
        <v>7.7191164814575164E-2</v>
      </c>
      <c r="X745">
        <v>1.4432858741775108E-2</v>
      </c>
      <c r="Y745">
        <v>3.8010060713737858E-3</v>
      </c>
    </row>
    <row r="746" spans="1:25" x14ac:dyDescent="0.25">
      <c r="A746" s="827"/>
      <c r="B746" s="1066">
        <v>496</v>
      </c>
      <c r="C746" s="831">
        <v>1.0295901044551659</v>
      </c>
      <c r="D746" s="831">
        <v>1.0393245833295408</v>
      </c>
      <c r="E746" s="831">
        <v>0.99199942215743586</v>
      </c>
      <c r="F746" s="831">
        <v>0.98038736837618923</v>
      </c>
      <c r="G746" s="831">
        <v>1.0088579517151215</v>
      </c>
      <c r="H746" s="831">
        <v>0.99388574344596325</v>
      </c>
      <c r="I746" s="831">
        <v>1.0051601054440613</v>
      </c>
      <c r="K746">
        <v>1.7087836499125824</v>
      </c>
      <c r="L746">
        <v>0</v>
      </c>
      <c r="M746">
        <v>1.3367266043264564E-3</v>
      </c>
      <c r="N746">
        <v>0.13133468791471781</v>
      </c>
      <c r="O746">
        <v>1.7024201565127853E-2</v>
      </c>
      <c r="P746">
        <v>1.9531644604728209E-2</v>
      </c>
      <c r="Q746">
        <v>2.053535791749779E-3</v>
      </c>
      <c r="R746">
        <v>1.3284181997067087E-3</v>
      </c>
      <c r="S746">
        <v>0.14632825211533498</v>
      </c>
      <c r="T746">
        <v>1.0720732374256137</v>
      </c>
      <c r="U746">
        <v>2.2652245585290335E-2</v>
      </c>
      <c r="V746">
        <v>0.19969973360877055</v>
      </c>
      <c r="W746">
        <v>7.8936809289656559E-2</v>
      </c>
      <c r="X746">
        <v>1.5542093989553819E-2</v>
      </c>
      <c r="Y746">
        <v>3.6155164266598195E-3</v>
      </c>
    </row>
    <row r="747" spans="1:25" x14ac:dyDescent="0.25">
      <c r="A747" s="827"/>
      <c r="B747" s="1066">
        <v>497</v>
      </c>
      <c r="C747" s="831">
        <v>1.0016445110019818</v>
      </c>
      <c r="D747" s="831">
        <v>1.0050696551510767</v>
      </c>
      <c r="E747" s="831">
        <v>1.0281885828052821</v>
      </c>
      <c r="F747" s="831">
        <v>1.0348372073426166</v>
      </c>
      <c r="G747" s="831">
        <v>0.97794476874696845</v>
      </c>
      <c r="H747" s="831">
        <v>0.99908284611464582</v>
      </c>
      <c r="I747" s="831">
        <v>0.98580220477969205</v>
      </c>
      <c r="K747">
        <v>1.7353058827431695</v>
      </c>
      <c r="L747">
        <v>0</v>
      </c>
      <c r="M747">
        <v>1.2992052131089709E-3</v>
      </c>
      <c r="N747">
        <v>0.14285520916903571</v>
      </c>
      <c r="O747">
        <v>1.7766159578581305E-2</v>
      </c>
      <c r="P747">
        <v>2.0157553429612535E-2</v>
      </c>
      <c r="Q747">
        <v>2.2159521507635381E-3</v>
      </c>
      <c r="R747">
        <v>1.291193679117495E-3</v>
      </c>
      <c r="S747">
        <v>0.14994137255105072</v>
      </c>
      <c r="T747">
        <v>1.068875689536644</v>
      </c>
      <c r="U747">
        <v>2.3284236714852889E-2</v>
      </c>
      <c r="V747">
        <v>0.20554146665437434</v>
      </c>
      <c r="W747">
        <v>8.3775530174020632E-2</v>
      </c>
      <c r="X747">
        <v>1.7386520765545983E-2</v>
      </c>
      <c r="Y747">
        <v>3.5142035526758942E-3</v>
      </c>
    </row>
    <row r="748" spans="1:25" x14ac:dyDescent="0.25">
      <c r="A748" s="827"/>
      <c r="B748" s="1066">
        <v>498</v>
      </c>
      <c r="C748" s="831">
        <v>0.97429778126167077</v>
      </c>
      <c r="D748" s="831">
        <v>0.97300149478422326</v>
      </c>
      <c r="E748" s="831">
        <v>0.98831586112504466</v>
      </c>
      <c r="F748" s="831">
        <v>0.96764898624694295</v>
      </c>
      <c r="G748" s="831">
        <v>0.99824563333673566</v>
      </c>
      <c r="H748" s="831">
        <v>1.010543907870991</v>
      </c>
      <c r="I748" s="831">
        <v>1.0065460528820094</v>
      </c>
      <c r="K748">
        <v>1.7615404521148503</v>
      </c>
      <c r="L748">
        <v>0</v>
      </c>
      <c r="M748">
        <v>1.4912373455864764E-3</v>
      </c>
      <c r="N748">
        <v>0.14486452149486739</v>
      </c>
      <c r="O748">
        <v>1.8535436797242136E-2</v>
      </c>
      <c r="P748">
        <v>1.9851107900686917E-2</v>
      </c>
      <c r="Q748">
        <v>2.2155466616447365E-3</v>
      </c>
      <c r="R748">
        <v>1.4821700683455704E-3</v>
      </c>
      <c r="S748">
        <v>0.16039018748303319</v>
      </c>
      <c r="T748">
        <v>1.0724014771421961</v>
      </c>
      <c r="U748">
        <v>2.3937782007572263E-2</v>
      </c>
      <c r="V748">
        <v>0.21163615693643989</v>
      </c>
      <c r="W748">
        <v>8.7289967450968176E-2</v>
      </c>
      <c r="X748">
        <v>1.6393357188633852E-2</v>
      </c>
      <c r="Y748">
        <v>4.0339783288049266E-3</v>
      </c>
    </row>
    <row r="749" spans="1:25" x14ac:dyDescent="0.25">
      <c r="A749" s="827"/>
      <c r="B749" s="1066">
        <v>499</v>
      </c>
      <c r="C749" s="831">
        <v>1.0325683945469231</v>
      </c>
      <c r="D749" s="831">
        <v>0.9982631687217558</v>
      </c>
      <c r="E749" s="831">
        <v>0.99968101054555003</v>
      </c>
      <c r="F749" s="831">
        <v>1.0105883640033058</v>
      </c>
      <c r="G749" s="831">
        <v>0.99771803387943947</v>
      </c>
      <c r="H749" s="831">
        <v>1.0279483027967464</v>
      </c>
      <c r="I749" s="831">
        <v>1.0049133934182464</v>
      </c>
      <c r="K749">
        <v>1.7288131096569426</v>
      </c>
      <c r="L749">
        <v>0</v>
      </c>
      <c r="M749">
        <v>1.3813563291899926E-3</v>
      </c>
      <c r="N749">
        <v>0.13903469434728263</v>
      </c>
      <c r="O749">
        <v>1.7287207126316068E-2</v>
      </c>
      <c r="P749">
        <v>1.9738109274051795E-2</v>
      </c>
      <c r="Q749">
        <v>2.0945965988822591E-3</v>
      </c>
      <c r="R749">
        <v>1.3730819833776145E-3</v>
      </c>
      <c r="S749">
        <v>0.1507076484312613</v>
      </c>
      <c r="T749">
        <v>1.0713903813345642</v>
      </c>
      <c r="U749">
        <v>2.2586908549081415E-2</v>
      </c>
      <c r="V749">
        <v>0.20293868675311735</v>
      </c>
      <c r="W749">
        <v>8.3125445060965225E-2</v>
      </c>
      <c r="X749">
        <v>1.6180630004832393E-2</v>
      </c>
      <c r="Y749">
        <v>3.737076522399694E-3</v>
      </c>
    </row>
    <row r="750" spans="1:25" x14ac:dyDescent="0.25">
      <c r="A750" s="827"/>
      <c r="B750" s="1066">
        <v>500</v>
      </c>
      <c r="C750" s="831">
        <v>0.98475419030131905</v>
      </c>
      <c r="D750" s="831">
        <v>1.0012633027883748</v>
      </c>
      <c r="E750" s="831">
        <v>0.9872838929417922</v>
      </c>
      <c r="F750" s="831">
        <v>0.97184579041497288</v>
      </c>
      <c r="G750" s="831">
        <v>0.99356500021048977</v>
      </c>
      <c r="H750" s="831">
        <v>0.96851085365837897</v>
      </c>
      <c r="I750" s="831">
        <v>1.0205791520919851</v>
      </c>
      <c r="K750">
        <v>1.7364728498694937</v>
      </c>
      <c r="L750">
        <v>0</v>
      </c>
      <c r="M750">
        <v>1.3988369102044646E-3</v>
      </c>
      <c r="N750">
        <v>0.13541441990240571</v>
      </c>
      <c r="O750">
        <v>1.8101955058525746E-2</v>
      </c>
      <c r="P750">
        <v>1.9719533067977097E-2</v>
      </c>
      <c r="Q750">
        <v>2.1665883822994565E-3</v>
      </c>
      <c r="R750">
        <v>1.3899414586900851E-3</v>
      </c>
      <c r="S750">
        <v>0.15586907860265833</v>
      </c>
      <c r="T750">
        <v>1.0724935267746447</v>
      </c>
      <c r="U750">
        <v>2.3683603611949926E-2</v>
      </c>
      <c r="V750">
        <v>0.20772948894848872</v>
      </c>
      <c r="W750">
        <v>8.1653818431611472E-2</v>
      </c>
      <c r="X750">
        <v>1.5866770083972533E-2</v>
      </c>
      <c r="Y750">
        <v>3.7829624564756962E-3</v>
      </c>
    </row>
    <row r="751" spans="1:25" x14ac:dyDescent="0.25">
      <c r="A751" s="827"/>
      <c r="B751" s="1066">
        <v>501</v>
      </c>
      <c r="C751" s="831">
        <v>1.0253862742764501</v>
      </c>
      <c r="D751" s="831">
        <v>1.0084873020185934</v>
      </c>
      <c r="E751" s="831">
        <v>0.99055955643897686</v>
      </c>
      <c r="F751" s="831">
        <v>0.98488827668437906</v>
      </c>
      <c r="G751" s="831">
        <v>0.98670187080311123</v>
      </c>
      <c r="H751" s="831">
        <v>1.0002115211818716</v>
      </c>
      <c r="I751" s="831">
        <v>1.0043531713541605</v>
      </c>
      <c r="K751">
        <v>1.7203800386034538</v>
      </c>
      <c r="L751">
        <v>0</v>
      </c>
      <c r="M751">
        <v>1.3733847309475836E-3</v>
      </c>
      <c r="N751">
        <v>0.1343402229170978</v>
      </c>
      <c r="O751">
        <v>1.7328158480956608E-2</v>
      </c>
      <c r="P751">
        <v>1.9592474254166187E-2</v>
      </c>
      <c r="Q751">
        <v>2.0820798771404225E-3</v>
      </c>
      <c r="R751">
        <v>1.3649229950944697E-3</v>
      </c>
      <c r="S751">
        <v>0.14909499694810413</v>
      </c>
      <c r="T751">
        <v>1.0722014820779271</v>
      </c>
      <c r="U751">
        <v>2.2745114191001226E-2</v>
      </c>
      <c r="V751">
        <v>0.20276076428180637</v>
      </c>
      <c r="W751">
        <v>8.0823318110380793E-2</v>
      </c>
      <c r="X751">
        <v>1.5705018754823972E-2</v>
      </c>
      <c r="Y751">
        <v>3.7148704459027382E-3</v>
      </c>
    </row>
    <row r="752" spans="1:25" x14ac:dyDescent="0.25">
      <c r="A752" s="827"/>
      <c r="B752" s="1066">
        <v>502</v>
      </c>
      <c r="C752" s="831">
        <v>0.99256772920497172</v>
      </c>
      <c r="D752" s="831">
        <v>0.99465043024721322</v>
      </c>
      <c r="E752" s="831">
        <v>1.0328968552383924</v>
      </c>
      <c r="F752" s="831">
        <v>1.0147037884662264</v>
      </c>
      <c r="G752" s="831">
        <v>1.0232395213971555</v>
      </c>
      <c r="H752" s="831">
        <v>0.97527685455232593</v>
      </c>
      <c r="I752" s="831">
        <v>0.99146861014631038</v>
      </c>
      <c r="K752">
        <v>1.7371771884659915</v>
      </c>
      <c r="L752">
        <v>0</v>
      </c>
      <c r="M752">
        <v>1.2731490605624206E-3</v>
      </c>
      <c r="N752">
        <v>0.14203040017098381</v>
      </c>
      <c r="O752">
        <v>1.801345575017663E-2</v>
      </c>
      <c r="P752">
        <v>2.0267599817838738E-2</v>
      </c>
      <c r="Q752">
        <v>2.2553497661260474E-3</v>
      </c>
      <c r="R752">
        <v>1.2651133916113826E-3</v>
      </c>
      <c r="S752">
        <v>0.15113087884686735</v>
      </c>
      <c r="T752">
        <v>1.0684633285491392</v>
      </c>
      <c r="U752">
        <v>2.3497165192932577E-2</v>
      </c>
      <c r="V752">
        <v>0.20748302443718419</v>
      </c>
      <c r="W752">
        <v>8.3029551355163156E-2</v>
      </c>
      <c r="X752">
        <v>1.7571248641080669E-2</v>
      </c>
      <c r="Y752">
        <v>3.4432216074487226E-3</v>
      </c>
    </row>
    <row r="753" spans="1:25" x14ac:dyDescent="0.25">
      <c r="A753" s="827"/>
      <c r="B753" s="1066">
        <v>503</v>
      </c>
      <c r="C753" s="831">
        <v>1.0133613852654035</v>
      </c>
      <c r="D753" s="831">
        <v>1.0065991410772204</v>
      </c>
      <c r="E753" s="831">
        <v>0.99785311051824177</v>
      </c>
      <c r="F753" s="831">
        <v>0.97763759137850104</v>
      </c>
      <c r="G753" s="831">
        <v>0.98448797862406512</v>
      </c>
      <c r="H753" s="831">
        <v>0.97374206685105125</v>
      </c>
      <c r="I753" s="831">
        <v>0.96871159987505051</v>
      </c>
      <c r="K753">
        <v>1.7146478385632036</v>
      </c>
      <c r="L753">
        <v>0</v>
      </c>
      <c r="M753">
        <v>1.3334315502286204E-3</v>
      </c>
      <c r="N753">
        <v>0.13340454801839727</v>
      </c>
      <c r="O753">
        <v>1.7548657275584308E-2</v>
      </c>
      <c r="P753">
        <v>1.964195228887855E-2</v>
      </c>
      <c r="Q753">
        <v>2.1238146449886553E-3</v>
      </c>
      <c r="R753">
        <v>1.3249939322921315E-3</v>
      </c>
      <c r="S753">
        <v>0.14381259345373368</v>
      </c>
      <c r="T753">
        <v>1.0715526710335908</v>
      </c>
      <c r="U753">
        <v>2.3015015410514088E-2</v>
      </c>
      <c r="V753">
        <v>0.20416355633654029</v>
      </c>
      <c r="W753">
        <v>7.9859223556649372E-2</v>
      </c>
      <c r="X753">
        <v>1.592804746269717E-2</v>
      </c>
      <c r="Y753">
        <v>3.6061966995667907E-3</v>
      </c>
    </row>
    <row r="754" spans="1:25" x14ac:dyDescent="0.25">
      <c r="A754" s="827"/>
      <c r="B754" s="1066">
        <v>504</v>
      </c>
      <c r="C754" s="831">
        <v>1.0191301003714639</v>
      </c>
      <c r="D754" s="831">
        <v>1.0348399287132062</v>
      </c>
      <c r="E754" s="831">
        <v>1.0137376776995957</v>
      </c>
      <c r="F754" s="831">
        <v>1.0019051682269706</v>
      </c>
      <c r="G754" s="831">
        <v>1.0187750144499161</v>
      </c>
      <c r="H754" s="831">
        <v>1.0299354147874431</v>
      </c>
      <c r="I754" s="831">
        <v>1.0271869853557236</v>
      </c>
      <c r="K754">
        <v>1.7319179213493596</v>
      </c>
      <c r="L754">
        <v>0</v>
      </c>
      <c r="M754">
        <v>1.3393884659313332E-3</v>
      </c>
      <c r="N754">
        <v>0.1408330341085347</v>
      </c>
      <c r="O754">
        <v>1.7232509980773296E-2</v>
      </c>
      <c r="P754">
        <v>1.9950973154695625E-2</v>
      </c>
      <c r="Q754">
        <v>2.1237716032170284E-3</v>
      </c>
      <c r="R754">
        <v>1.3313576806717991E-3</v>
      </c>
      <c r="S754">
        <v>0.15390818358072331</v>
      </c>
      <c r="T754">
        <v>1.0701465801512566</v>
      </c>
      <c r="U754">
        <v>2.2884740515271108E-2</v>
      </c>
      <c r="V754">
        <v>0.20111547084636766</v>
      </c>
      <c r="W754">
        <v>8.3398397635381843E-2</v>
      </c>
      <c r="X754">
        <v>1.6708773833550222E-2</v>
      </c>
      <c r="Y754">
        <v>3.6235167248471565E-3</v>
      </c>
    </row>
    <row r="755" spans="1:25" x14ac:dyDescent="0.25">
      <c r="A755" s="827"/>
      <c r="B755" s="1066">
        <v>505</v>
      </c>
      <c r="C755" s="831">
        <v>1.0157425520424319</v>
      </c>
      <c r="D755" s="831">
        <v>1.0366854755179791</v>
      </c>
      <c r="E755" s="831">
        <v>0.99847736872652881</v>
      </c>
      <c r="F755" s="831">
        <v>0.98129517595635685</v>
      </c>
      <c r="G755" s="831">
        <v>0.99729176414080856</v>
      </c>
      <c r="H755" s="831">
        <v>1.009641693236037</v>
      </c>
      <c r="I755" s="831">
        <v>1.0125106413412588</v>
      </c>
      <c r="K755">
        <v>1.7230492079253255</v>
      </c>
      <c r="L755">
        <v>0</v>
      </c>
      <c r="M755">
        <v>1.3593498199238455E-3</v>
      </c>
      <c r="N755">
        <v>0.13629085257487539</v>
      </c>
      <c r="O755">
        <v>1.7276089346422278E-2</v>
      </c>
      <c r="P755">
        <v>1.9704164885454425E-2</v>
      </c>
      <c r="Q755">
        <v>2.0971408969254293E-3</v>
      </c>
      <c r="R755">
        <v>1.3510343407391859E-3</v>
      </c>
      <c r="S755">
        <v>0.15067412834071672</v>
      </c>
      <c r="T755">
        <v>1.0714972322307266</v>
      </c>
      <c r="U755">
        <v>2.296106218195422E-2</v>
      </c>
      <c r="V755">
        <v>0.20130241328907092</v>
      </c>
      <c r="W755">
        <v>8.1552149461098677E-2</v>
      </c>
      <c r="X755">
        <v>1.6025220090124328E-2</v>
      </c>
      <c r="Y755">
        <v>3.6770701071413342E-3</v>
      </c>
    </row>
    <row r="756" spans="1:25" x14ac:dyDescent="0.25">
      <c r="A756" s="827"/>
      <c r="B756" s="1066">
        <v>506</v>
      </c>
      <c r="C756" s="831">
        <v>0.99366335988929455</v>
      </c>
      <c r="D756" s="831">
        <v>0.99803850883213463</v>
      </c>
      <c r="E756" s="831">
        <v>0.98359462260290409</v>
      </c>
      <c r="F756" s="831">
        <v>1.0071421713449618</v>
      </c>
      <c r="G756" s="831">
        <v>1.032319047334332</v>
      </c>
      <c r="H756" s="831">
        <v>1.0471266532438084</v>
      </c>
      <c r="I756" s="831">
        <v>0.99313013444331155</v>
      </c>
      <c r="K756">
        <v>1.7518179215994478</v>
      </c>
      <c r="L756">
        <v>0</v>
      </c>
      <c r="M756">
        <v>1.5126930131126157E-3</v>
      </c>
      <c r="N756">
        <v>0.14483310208146111</v>
      </c>
      <c r="O756">
        <v>1.7965887419211755E-2</v>
      </c>
      <c r="P756">
        <v>1.9660973896370379E-2</v>
      </c>
      <c r="Q756">
        <v>2.1417124004897542E-3</v>
      </c>
      <c r="R756">
        <v>1.5037980769606637E-3</v>
      </c>
      <c r="S756">
        <v>0.15616371049933128</v>
      </c>
      <c r="T756">
        <v>1.0728229305231185</v>
      </c>
      <c r="U756">
        <v>2.3471256805626346E-2</v>
      </c>
      <c r="V756">
        <v>0.2070492436323319</v>
      </c>
      <c r="W756">
        <v>8.7556210210583074E-2</v>
      </c>
      <c r="X756">
        <v>1.6068946428492333E-2</v>
      </c>
      <c r="Y756">
        <v>4.0928426385840868E-3</v>
      </c>
    </row>
    <row r="757" spans="1:25" x14ac:dyDescent="0.25">
      <c r="A757" s="827"/>
      <c r="B757" s="1066">
        <v>507</v>
      </c>
      <c r="C757" s="831">
        <v>0.98896239762451477</v>
      </c>
      <c r="D757" s="831">
        <v>0.9847354030851273</v>
      </c>
      <c r="E757" s="831">
        <v>0.95645798138638072</v>
      </c>
      <c r="F757" s="831">
        <v>1.0182022546148781</v>
      </c>
      <c r="G757" s="831">
        <v>0.97611263618136623</v>
      </c>
      <c r="H757" s="831">
        <v>1.0103908931235706</v>
      </c>
      <c r="I757" s="831">
        <v>1.0214188705670277</v>
      </c>
      <c r="K757">
        <v>1.7480275479559226</v>
      </c>
      <c r="L757">
        <v>0</v>
      </c>
      <c r="M757">
        <v>1.5618578828689527E-3</v>
      </c>
      <c r="N757">
        <v>0.13737923764175242</v>
      </c>
      <c r="O757">
        <v>1.8161454972763506E-2</v>
      </c>
      <c r="P757">
        <v>1.9357606776545411E-2</v>
      </c>
      <c r="Q757">
        <v>2.1034768132440298E-3</v>
      </c>
      <c r="R757">
        <v>1.5523503820537401E-3</v>
      </c>
      <c r="S757">
        <v>0.15953688456717147</v>
      </c>
      <c r="T757">
        <v>1.0752615767341898</v>
      </c>
      <c r="U757">
        <v>2.3582825751842392E-2</v>
      </c>
      <c r="V757">
        <v>0.20882121058753339</v>
      </c>
      <c r="W757">
        <v>8.4639997749171206E-2</v>
      </c>
      <c r="X757">
        <v>1.4967797854737635E-2</v>
      </c>
      <c r="Y757">
        <v>4.2249860077843669E-3</v>
      </c>
    </row>
    <row r="758" spans="1:25" x14ac:dyDescent="0.25">
      <c r="A758" s="827"/>
      <c r="B758" s="1066">
        <v>508</v>
      </c>
      <c r="C758" s="831">
        <v>1.037062744183378</v>
      </c>
      <c r="D758" s="831">
        <v>1.0156333038954957</v>
      </c>
      <c r="E758" s="831">
        <v>1.0384401009598832</v>
      </c>
      <c r="F758" s="831">
        <v>0.95881678688080219</v>
      </c>
      <c r="G758" s="831">
        <v>1.0254463480301634</v>
      </c>
      <c r="H758" s="831">
        <v>0.99762002586484255</v>
      </c>
      <c r="I758" s="831">
        <v>0.98785289466677151</v>
      </c>
      <c r="K758">
        <v>1.7149966768607343</v>
      </c>
      <c r="L758">
        <v>0</v>
      </c>
      <c r="M758">
        <v>1.2203226837808742E-3</v>
      </c>
      <c r="N758">
        <v>0.13851726125115835</v>
      </c>
      <c r="O758">
        <v>1.7078425061039411E-2</v>
      </c>
      <c r="P758">
        <v>2.0141965682444744E-2</v>
      </c>
      <c r="Q758">
        <v>2.153667637920971E-3</v>
      </c>
      <c r="R758">
        <v>1.2127801570156608E-3</v>
      </c>
      <c r="S758">
        <v>0.14439465505261062</v>
      </c>
      <c r="T758">
        <v>1.0679789172116561</v>
      </c>
      <c r="U758">
        <v>2.2489022992208816E-2</v>
      </c>
      <c r="V758">
        <v>0.20096292884621089</v>
      </c>
      <c r="W758">
        <v>8.0676742130812357E-2</v>
      </c>
      <c r="X758">
        <v>1.7309845726912118E-2</v>
      </c>
      <c r="Y758">
        <v>3.3007877945253144E-3</v>
      </c>
    </row>
    <row r="759" spans="1:25" x14ac:dyDescent="0.25">
      <c r="A759" s="827"/>
      <c r="B759" s="1066">
        <v>509</v>
      </c>
      <c r="C759" s="831">
        <v>1.0107620704157676</v>
      </c>
      <c r="D759" s="831">
        <v>1.0036511617476043</v>
      </c>
      <c r="E759" s="831">
        <v>1.0020562022828201</v>
      </c>
      <c r="F759" s="831">
        <v>1.0192167401101782</v>
      </c>
      <c r="G759" s="831">
        <v>0.98854668152473713</v>
      </c>
      <c r="H759" s="831">
        <v>1.0006578666764228</v>
      </c>
      <c r="I759" s="831">
        <v>0.9967959198889349</v>
      </c>
      <c r="K759">
        <v>1.7296899574818503</v>
      </c>
      <c r="L759">
        <v>0</v>
      </c>
      <c r="M759">
        <v>1.3635143315753277E-3</v>
      </c>
      <c r="N759">
        <v>0.1382335999093397</v>
      </c>
      <c r="O759">
        <v>1.761716128150238E-2</v>
      </c>
      <c r="P759">
        <v>1.9797430593311242E-2</v>
      </c>
      <c r="Q759">
        <v>2.1406191148658819E-3</v>
      </c>
      <c r="R759">
        <v>1.3551204339821809E-3</v>
      </c>
      <c r="S759">
        <v>0.15044529204699533</v>
      </c>
      <c r="T759">
        <v>1.0711796888574066</v>
      </c>
      <c r="U759">
        <v>2.3074201714662342E-2</v>
      </c>
      <c r="V759">
        <v>0.20470419624595912</v>
      </c>
      <c r="W759">
        <v>8.251236328236275E-2</v>
      </c>
      <c r="X759">
        <v>1.6305607227068999E-2</v>
      </c>
      <c r="Y759">
        <v>3.6881911059684913E-3</v>
      </c>
    </row>
    <row r="760" spans="1:25" x14ac:dyDescent="0.25">
      <c r="A760" s="827"/>
      <c r="B760" s="1066">
        <v>510</v>
      </c>
      <c r="C760" s="831">
        <v>1.0013670621324806</v>
      </c>
      <c r="D760" s="831">
        <v>1.0233621233979038</v>
      </c>
      <c r="E760" s="831">
        <v>0.96619468455444657</v>
      </c>
      <c r="F760" s="831">
        <v>1.0262383678181597</v>
      </c>
      <c r="G760" s="831">
        <v>0.96895515649270514</v>
      </c>
      <c r="H760" s="831">
        <v>0.97356550835453126</v>
      </c>
      <c r="I760" s="831">
        <v>0.95856882722038284</v>
      </c>
      <c r="K760">
        <v>1.7113232905614131</v>
      </c>
      <c r="L760">
        <v>0</v>
      </c>
      <c r="M760">
        <v>1.431186242096299E-3</v>
      </c>
      <c r="N760">
        <v>0.1297358188888019</v>
      </c>
      <c r="O760">
        <v>1.7626723186893428E-2</v>
      </c>
      <c r="P760">
        <v>1.920352726411852E-2</v>
      </c>
      <c r="Q760">
        <v>2.0685621628916836E-3</v>
      </c>
      <c r="R760">
        <v>1.4221163151449418E-3</v>
      </c>
      <c r="S760">
        <v>0.14301809576182858</v>
      </c>
      <c r="T760">
        <v>1.0743834102009184</v>
      </c>
      <c r="U760">
        <v>2.3290688080588783E-2</v>
      </c>
      <c r="V760">
        <v>0.20393368938073908</v>
      </c>
      <c r="W760">
        <v>7.9385544228317506E-2</v>
      </c>
      <c r="X760">
        <v>1.4815769523958751E-2</v>
      </c>
      <c r="Y760">
        <v>3.8705318093072371E-3</v>
      </c>
    </row>
    <row r="761" spans="1:25" x14ac:dyDescent="0.25">
      <c r="A761" s="827"/>
      <c r="B761" s="1066">
        <v>511</v>
      </c>
      <c r="C761" s="831">
        <v>0.99176544868328176</v>
      </c>
      <c r="D761" s="831">
        <v>1.0123106223967364</v>
      </c>
      <c r="E761" s="831">
        <v>0.98664196708330454</v>
      </c>
      <c r="F761" s="831">
        <v>0.98631563036816805</v>
      </c>
      <c r="G761" s="831">
        <v>1.0171612997934931</v>
      </c>
      <c r="H761" s="831">
        <v>1.0304595536796166</v>
      </c>
      <c r="I761" s="831">
        <v>1.0057389638272767</v>
      </c>
      <c r="K761">
        <v>1.7462305867311227</v>
      </c>
      <c r="L761">
        <v>0</v>
      </c>
      <c r="M761">
        <v>1.4724610749502715E-3</v>
      </c>
      <c r="N761">
        <v>0.14231091714276828</v>
      </c>
      <c r="O761">
        <v>1.788493879021498E-2</v>
      </c>
      <c r="P761">
        <v>1.9690343390970182E-2</v>
      </c>
      <c r="Q761">
        <v>2.1411414774873709E-3</v>
      </c>
      <c r="R761">
        <v>1.463652510821898E-3</v>
      </c>
      <c r="S761">
        <v>0.1563098492233268</v>
      </c>
      <c r="T761">
        <v>1.0725508055836637</v>
      </c>
      <c r="U761">
        <v>2.3516173031907242E-2</v>
      </c>
      <c r="V761">
        <v>0.20594588550583878</v>
      </c>
      <c r="W761">
        <v>8.5850396692661743E-2</v>
      </c>
      <c r="X761">
        <v>1.6055364814874056E-2</v>
      </c>
      <c r="Y761">
        <v>3.9835796415366867E-3</v>
      </c>
    </row>
    <row r="762" spans="1:25" x14ac:dyDescent="0.25">
      <c r="A762" s="827"/>
      <c r="B762" s="1066">
        <v>512</v>
      </c>
      <c r="C762" s="831">
        <v>0.98017640398784645</v>
      </c>
      <c r="D762" s="831">
        <v>0.98791189166775539</v>
      </c>
      <c r="E762" s="831">
        <v>0.98740955515260354</v>
      </c>
      <c r="F762" s="831">
        <v>1.0015338191538454</v>
      </c>
      <c r="G762" s="831">
        <v>0.99311255784070962</v>
      </c>
      <c r="H762" s="831">
        <v>1.009611084082882</v>
      </c>
      <c r="I762" s="831">
        <v>1.0373072555712726</v>
      </c>
      <c r="K762">
        <v>1.7583215571932602</v>
      </c>
      <c r="L762">
        <v>0</v>
      </c>
      <c r="M762">
        <v>1.4735509747395377E-3</v>
      </c>
      <c r="N762">
        <v>0.14274108573814026</v>
      </c>
      <c r="O762">
        <v>1.8297493380781574E-2</v>
      </c>
      <c r="P762">
        <v>1.9845758709215566E-2</v>
      </c>
      <c r="Q762">
        <v>2.1878547043615057E-3</v>
      </c>
      <c r="R762">
        <v>1.4645717236183252E-3</v>
      </c>
      <c r="S762">
        <v>0.16319235731873813</v>
      </c>
      <c r="T762">
        <v>1.0724823157968597</v>
      </c>
      <c r="U762">
        <v>2.3794214799923268E-2</v>
      </c>
      <c r="V762">
        <v>0.209504820516382</v>
      </c>
      <c r="W762">
        <v>8.6064273476765374E-2</v>
      </c>
      <c r="X762">
        <v>1.6234280567462431E-2</v>
      </c>
      <c r="Y762">
        <v>3.986081435750145E-3</v>
      </c>
    </row>
    <row r="763" spans="1:25" x14ac:dyDescent="0.25">
      <c r="A763" s="827"/>
      <c r="B763" s="1066">
        <v>513</v>
      </c>
      <c r="C763" s="831">
        <v>0.96775308286935058</v>
      </c>
      <c r="D763" s="831">
        <v>0.98868010690316399</v>
      </c>
      <c r="E763" s="831">
        <v>1.0138035747664154</v>
      </c>
      <c r="F763" s="831">
        <v>1.0021644896764184</v>
      </c>
      <c r="G763" s="831">
        <v>0.98489609198565886</v>
      </c>
      <c r="H763" s="831">
        <v>1.0110889346853142</v>
      </c>
      <c r="I763" s="831">
        <v>1.0098201117628798</v>
      </c>
      <c r="K763">
        <v>1.7649206081342002</v>
      </c>
      <c r="L763">
        <v>0</v>
      </c>
      <c r="M763">
        <v>1.413335232843919E-3</v>
      </c>
      <c r="N763">
        <v>0.14862542926099645</v>
      </c>
      <c r="O763">
        <v>1.8525850409976875E-2</v>
      </c>
      <c r="P763">
        <v>2.0200208939248471E-2</v>
      </c>
      <c r="Q763">
        <v>2.274842366239161E-3</v>
      </c>
      <c r="R763">
        <v>1.4047349533330223E-3</v>
      </c>
      <c r="S763">
        <v>0.16096669209692893</v>
      </c>
      <c r="T763">
        <v>1.0701407668570331</v>
      </c>
      <c r="U763">
        <v>2.4099667891682448E-2</v>
      </c>
      <c r="V763">
        <v>0.21085366923571003</v>
      </c>
      <c r="W763">
        <v>8.8008961729112628E-2</v>
      </c>
      <c r="X763">
        <v>1.7409894154561751E-2</v>
      </c>
      <c r="Y763">
        <v>3.8232254722195737E-3</v>
      </c>
    </row>
    <row r="764" spans="1:25" x14ac:dyDescent="0.25">
      <c r="A764" s="827"/>
      <c r="B764" s="1066">
        <v>514</v>
      </c>
      <c r="C764" s="831">
        <v>1.0118006090172698</v>
      </c>
      <c r="D764" s="831">
        <v>0.98863565455866775</v>
      </c>
      <c r="E764" s="831">
        <v>0.97729729831815693</v>
      </c>
      <c r="F764" s="831">
        <v>1.0030487121864664</v>
      </c>
      <c r="G764" s="831">
        <v>1.0043875056719231</v>
      </c>
      <c r="H764" s="831">
        <v>1.0156945101492725</v>
      </c>
      <c r="I764" s="831">
        <v>0.97995089480177033</v>
      </c>
      <c r="K764">
        <v>1.7321157602116777</v>
      </c>
      <c r="L764">
        <v>0</v>
      </c>
      <c r="M764">
        <v>1.4664336574917141E-3</v>
      </c>
      <c r="N764">
        <v>0.13765154749554018</v>
      </c>
      <c r="O764">
        <v>1.7719711097094006E-2</v>
      </c>
      <c r="P764">
        <v>1.9468252466234237E-2</v>
      </c>
      <c r="Q764">
        <v>2.0972580491220669E-3</v>
      </c>
      <c r="R764">
        <v>1.4575507640480271E-3</v>
      </c>
      <c r="S764">
        <v>0.14972994682205548</v>
      </c>
      <c r="T764">
        <v>1.0733863817583276</v>
      </c>
      <c r="U764">
        <v>2.305051775068178E-2</v>
      </c>
      <c r="V764">
        <v>0.20596951870993022</v>
      </c>
      <c r="W764">
        <v>8.3579033487420989E-2</v>
      </c>
      <c r="X764">
        <v>1.5505502770453636E-2</v>
      </c>
      <c r="Y764">
        <v>3.9669726982584936E-3</v>
      </c>
    </row>
    <row r="765" spans="1:25" x14ac:dyDescent="0.25">
      <c r="A765" s="827"/>
      <c r="B765" s="1066">
        <v>515</v>
      </c>
      <c r="C765" s="831">
        <v>1.0413026045349085</v>
      </c>
      <c r="D765" s="831">
        <v>1.0124364429468384</v>
      </c>
      <c r="E765" s="831">
        <v>0.98844567424009111</v>
      </c>
      <c r="F765" s="831">
        <v>0.9978042788578414</v>
      </c>
      <c r="G765" s="831">
        <v>1.0084263740890056</v>
      </c>
      <c r="H765" s="831">
        <v>1.0125051692358198</v>
      </c>
      <c r="I765" s="831">
        <v>0.97092937565685133</v>
      </c>
      <c r="K765">
        <v>1.7096259954116968</v>
      </c>
      <c r="L765">
        <v>0</v>
      </c>
      <c r="M765">
        <v>1.3726863017425974E-3</v>
      </c>
      <c r="N765">
        <v>0.1334008591451222</v>
      </c>
      <c r="O765">
        <v>1.7033153651896248E-2</v>
      </c>
      <c r="P765">
        <v>1.9443919353542928E-2</v>
      </c>
      <c r="Q765">
        <v>2.0429146351274383E-3</v>
      </c>
      <c r="R765">
        <v>1.364328911786111E-3</v>
      </c>
      <c r="S765">
        <v>0.14251866619955336</v>
      </c>
      <c r="T765">
        <v>1.0723899008938094</v>
      </c>
      <c r="U765">
        <v>2.2397454684865654E-2</v>
      </c>
      <c r="V765">
        <v>0.2008213949399236</v>
      </c>
      <c r="W765">
        <v>8.0375193527511588E-2</v>
      </c>
      <c r="X765">
        <v>1.5497642223322717E-2</v>
      </c>
      <c r="Y765">
        <v>3.7132535469768966E-3</v>
      </c>
    </row>
    <row r="766" spans="1:25" x14ac:dyDescent="0.25">
      <c r="A766" s="827"/>
      <c r="B766" s="1066">
        <v>516</v>
      </c>
      <c r="C766" s="831">
        <v>0.97576291552246186</v>
      </c>
      <c r="D766" s="831">
        <v>1.0334389972874829</v>
      </c>
      <c r="E766" s="831">
        <v>1.0183948204429132</v>
      </c>
      <c r="F766" s="831">
        <v>1.0184281347688378</v>
      </c>
      <c r="G766" s="831">
        <v>0.97466689391618333</v>
      </c>
      <c r="H766" s="831">
        <v>0.98022072261873605</v>
      </c>
      <c r="I766" s="831">
        <v>1.0363886806775604</v>
      </c>
      <c r="K766">
        <v>1.7427490171801694</v>
      </c>
      <c r="L766">
        <v>0</v>
      </c>
      <c r="M766">
        <v>1.3191708342423522E-3</v>
      </c>
      <c r="N766">
        <v>0.14068616798879005</v>
      </c>
      <c r="O766">
        <v>1.8009402543156392E-2</v>
      </c>
      <c r="P766">
        <v>2.0156848721795215E-2</v>
      </c>
      <c r="Q766">
        <v>2.229596595374955E-3</v>
      </c>
      <c r="R766">
        <v>1.3108610158720601E-3</v>
      </c>
      <c r="S766">
        <v>0.1585448359254896</v>
      </c>
      <c r="T766">
        <v>1.0697361419481164</v>
      </c>
      <c r="U766">
        <v>2.3901838784081465E-2</v>
      </c>
      <c r="V766">
        <v>0.20580359112089899</v>
      </c>
      <c r="W766">
        <v>8.3049313778453079E-2</v>
      </c>
      <c r="X766">
        <v>1.7071858032396945E-2</v>
      </c>
      <c r="Y766">
        <v>3.5677315599860022E-3</v>
      </c>
    </row>
    <row r="767" spans="1:25" x14ac:dyDescent="0.25">
      <c r="A767" s="827"/>
      <c r="B767" s="1066">
        <v>517</v>
      </c>
      <c r="C767" s="831">
        <v>0.98782441801909893</v>
      </c>
      <c r="D767" s="831">
        <v>0.97050758036488749</v>
      </c>
      <c r="E767" s="831">
        <v>0.98105100197893336</v>
      </c>
      <c r="F767" s="831">
        <v>0.97271212347053626</v>
      </c>
      <c r="G767" s="831">
        <v>1.0075291745755997</v>
      </c>
      <c r="H767" s="831">
        <v>0.99032110840874044</v>
      </c>
      <c r="I767" s="831">
        <v>1.0179556987607543</v>
      </c>
      <c r="K767">
        <v>1.7490416788485921</v>
      </c>
      <c r="L767">
        <v>0</v>
      </c>
      <c r="M767">
        <v>1.4652579137897736E-3</v>
      </c>
      <c r="N767">
        <v>0.13913893648902578</v>
      </c>
      <c r="O767">
        <v>1.8302961199826617E-2</v>
      </c>
      <c r="P767">
        <v>1.9705555022295988E-2</v>
      </c>
      <c r="Q767">
        <v>2.1712417633597578E-3</v>
      </c>
      <c r="R767">
        <v>1.4561685987329164E-3</v>
      </c>
      <c r="S767">
        <v>0.15864186157118737</v>
      </c>
      <c r="T767">
        <v>1.0730503408235943</v>
      </c>
      <c r="U767">
        <v>2.3609993307385755E-2</v>
      </c>
      <c r="V767">
        <v>0.21033431771995004</v>
      </c>
      <c r="W767">
        <v>8.4262255613723885E-2</v>
      </c>
      <c r="X767">
        <v>1.5870093753399515E-2</v>
      </c>
      <c r="Y767">
        <v>3.9632108999014372E-3</v>
      </c>
    </row>
    <row r="768" spans="1:25" x14ac:dyDescent="0.25">
      <c r="A768" s="827"/>
      <c r="B768" s="1066">
        <v>518</v>
      </c>
      <c r="C768" s="831">
        <v>1.0204691325912569</v>
      </c>
      <c r="D768" s="831">
        <v>1.0199736574133098</v>
      </c>
      <c r="E768" s="831">
        <v>1.0134732786870706</v>
      </c>
      <c r="F768" s="831">
        <v>0.99721454332089676</v>
      </c>
      <c r="G768" s="831">
        <v>0.97886280199982334</v>
      </c>
      <c r="H768" s="831">
        <v>1.0064813518858617</v>
      </c>
      <c r="I768" s="831">
        <v>1.0017899092973095</v>
      </c>
      <c r="K768">
        <v>1.7241420959479226</v>
      </c>
      <c r="L768">
        <v>0</v>
      </c>
      <c r="M768">
        <v>1.3164633148923892E-3</v>
      </c>
      <c r="N768">
        <v>0.13829036581044143</v>
      </c>
      <c r="O768">
        <v>1.7322709241092062E-2</v>
      </c>
      <c r="P768">
        <v>1.9897349094721784E-2</v>
      </c>
      <c r="Q768">
        <v>2.1318308776854919E-3</v>
      </c>
      <c r="R768">
        <v>1.3083954274265802E-3</v>
      </c>
      <c r="S768">
        <v>0.14916919395775718</v>
      </c>
      <c r="T768">
        <v>1.0701699065026815</v>
      </c>
      <c r="U768">
        <v>2.2854711772693E-2</v>
      </c>
      <c r="V768">
        <v>0.20225319880968465</v>
      </c>
      <c r="W768">
        <v>8.1907359200163829E-2</v>
      </c>
      <c r="X768">
        <v>1.6592517527445758E-2</v>
      </c>
      <c r="Y768">
        <v>3.5610210410184171E-3</v>
      </c>
    </row>
    <row r="769" spans="1:25" x14ac:dyDescent="0.25">
      <c r="A769" s="827"/>
      <c r="B769" s="1066">
        <v>519</v>
      </c>
      <c r="C769" s="831">
        <v>1.0248496613038203</v>
      </c>
      <c r="D769" s="831">
        <v>1.0058319310486876</v>
      </c>
      <c r="E769" s="831">
        <v>1.0016594492145128</v>
      </c>
      <c r="F769" s="831">
        <v>0.99676504562450408</v>
      </c>
      <c r="G769" s="831">
        <v>0.99731444539333469</v>
      </c>
      <c r="H769" s="831">
        <v>0.96812583091591076</v>
      </c>
      <c r="I769" s="831">
        <v>0.96193574229735701</v>
      </c>
      <c r="K769">
        <v>1.706739271297361</v>
      </c>
      <c r="L769">
        <v>0</v>
      </c>
      <c r="M769">
        <v>1.3008624674284409E-3</v>
      </c>
      <c r="N769">
        <v>0.13169170003094763</v>
      </c>
      <c r="O769">
        <v>1.7357931316595254E-2</v>
      </c>
      <c r="P769">
        <v>1.9634283811611461E-2</v>
      </c>
      <c r="Q769">
        <v>2.1086547948069687E-3</v>
      </c>
      <c r="R769">
        <v>1.2925836987183362E-3</v>
      </c>
      <c r="S769">
        <v>0.14087303860396683</v>
      </c>
      <c r="T769">
        <v>1.0712148682042015</v>
      </c>
      <c r="U769">
        <v>2.2757023570298188E-2</v>
      </c>
      <c r="V769">
        <v>0.20304746748736113</v>
      </c>
      <c r="W769">
        <v>7.8628783986502887E-2</v>
      </c>
      <c r="X769">
        <v>1.5915811531970962E-2</v>
      </c>
      <c r="Y769">
        <v>3.5179867278095456E-3</v>
      </c>
    </row>
    <row r="770" spans="1:25" x14ac:dyDescent="0.25">
      <c r="A770" s="827"/>
      <c r="B770" s="1066">
        <v>520</v>
      </c>
      <c r="C770" s="831">
        <v>1.0198560326509947</v>
      </c>
      <c r="D770" s="831">
        <v>0.99597890337534878</v>
      </c>
      <c r="E770" s="831">
        <v>0.98835630230887339</v>
      </c>
      <c r="F770" s="831">
        <v>0.99329533775071799</v>
      </c>
      <c r="G770" s="831">
        <v>0.9997232952164905</v>
      </c>
      <c r="H770" s="831">
        <v>1.0260599572404812</v>
      </c>
      <c r="I770" s="831">
        <v>1.002027009158506</v>
      </c>
      <c r="K770">
        <v>1.7337084857773022</v>
      </c>
      <c r="L770">
        <v>0</v>
      </c>
      <c r="M770">
        <v>1.4311505990348479E-3</v>
      </c>
      <c r="N770">
        <v>0.13905622760572578</v>
      </c>
      <c r="O770">
        <v>1.7520867523483453E-2</v>
      </c>
      <c r="P770">
        <v>1.9628594059683011E-2</v>
      </c>
      <c r="Q770">
        <v>2.0984051081399569E-3</v>
      </c>
      <c r="R770">
        <v>1.4225638130323224E-3</v>
      </c>
      <c r="S770">
        <v>0.15215948796437065</v>
      </c>
      <c r="T770">
        <v>1.0723978706805446</v>
      </c>
      <c r="U770">
        <v>2.2868451184898175E-2</v>
      </c>
      <c r="V770">
        <v>0.20444835370804731</v>
      </c>
      <c r="W770">
        <v>8.3787768234068569E-2</v>
      </c>
      <c r="X770">
        <v>1.5879296743302702E-2</v>
      </c>
      <c r="Y770">
        <v>3.8717497510390489E-3</v>
      </c>
    </row>
    <row r="771" spans="1:25" x14ac:dyDescent="0.25">
      <c r="A771" s="827"/>
      <c r="B771" s="1066">
        <v>521</v>
      </c>
      <c r="C771" s="831">
        <v>1.0069804696300046</v>
      </c>
      <c r="D771" s="831">
        <v>1.0132780798991399</v>
      </c>
      <c r="E771" s="831">
        <v>1.0248036975803596</v>
      </c>
      <c r="F771" s="831">
        <v>1.0215771969247791</v>
      </c>
      <c r="G771" s="831">
        <v>1.0067571890135152</v>
      </c>
      <c r="H771" s="831">
        <v>0.99940025611944738</v>
      </c>
      <c r="I771" s="831">
        <v>1.0212435016255499</v>
      </c>
      <c r="K771">
        <v>1.7353178026989213</v>
      </c>
      <c r="L771">
        <v>0</v>
      </c>
      <c r="M771">
        <v>1.2972388600615528E-3</v>
      </c>
      <c r="N771">
        <v>0.14114739454600453</v>
      </c>
      <c r="O771">
        <v>1.7607096784085494E-2</v>
      </c>
      <c r="P771">
        <v>2.0148746640028657E-2</v>
      </c>
      <c r="Q771">
        <v>2.1902138417604902E-3</v>
      </c>
      <c r="R771">
        <v>1.2892367170195104E-3</v>
      </c>
      <c r="S771">
        <v>0.15401160208494008</v>
      </c>
      <c r="T771">
        <v>1.0691726648909499</v>
      </c>
      <c r="U771">
        <v>2.3160854258546453E-2</v>
      </c>
      <c r="V771">
        <v>0.20423805768845144</v>
      </c>
      <c r="W771">
        <v>8.2962428898315677E-2</v>
      </c>
      <c r="X771">
        <v>1.7177867861921436E-2</v>
      </c>
      <c r="Y771">
        <v>3.5088773469575622E-3</v>
      </c>
    </row>
    <row r="772" spans="1:25" x14ac:dyDescent="0.25">
      <c r="A772" s="827"/>
      <c r="B772" s="1066">
        <v>522</v>
      </c>
      <c r="C772" s="831">
        <v>0.9856031348469132</v>
      </c>
      <c r="D772" s="831">
        <v>0.99226526789220926</v>
      </c>
      <c r="E772" s="831">
        <v>1.0066234658321942</v>
      </c>
      <c r="F772" s="831">
        <v>0.97072580768803962</v>
      </c>
      <c r="G772" s="831">
        <v>1.0168758966065516</v>
      </c>
      <c r="H772" s="831">
        <v>1.0151808907791324</v>
      </c>
      <c r="I772" s="831">
        <v>1.0392053262326684</v>
      </c>
      <c r="K772">
        <v>1.7585172018504776</v>
      </c>
      <c r="L772">
        <v>0</v>
      </c>
      <c r="M772">
        <v>1.4122997414000142E-3</v>
      </c>
      <c r="N772">
        <v>0.14524151197286489</v>
      </c>
      <c r="O772">
        <v>1.816049898956951E-2</v>
      </c>
      <c r="P772">
        <v>2.0087391358365882E-2</v>
      </c>
      <c r="Q772">
        <v>2.2146936393905212E-3</v>
      </c>
      <c r="R772">
        <v>1.4037378659941188E-3</v>
      </c>
      <c r="S772">
        <v>0.16271685784713719</v>
      </c>
      <c r="T772">
        <v>1.0707751463635231</v>
      </c>
      <c r="U772">
        <v>2.3663203853268686E-2</v>
      </c>
      <c r="V772">
        <v>0.20847999096035463</v>
      </c>
      <c r="W772">
        <v>8.6425729717996114E-2</v>
      </c>
      <c r="X772">
        <v>1.6940227294239645E-2</v>
      </c>
      <c r="Y772">
        <v>3.8205117291728314E-3</v>
      </c>
    </row>
    <row r="773" spans="1:25" x14ac:dyDescent="0.25">
      <c r="A773" s="827"/>
      <c r="B773" s="1066">
        <v>523</v>
      </c>
      <c r="C773" s="831">
        <v>1.0291199384309633</v>
      </c>
      <c r="D773" s="831">
        <v>0.99789615007958998</v>
      </c>
      <c r="E773" s="831">
        <v>0.96912138676426829</v>
      </c>
      <c r="F773" s="831">
        <v>1.0363507195252855</v>
      </c>
      <c r="G773" s="831">
        <v>0.9767238771510437</v>
      </c>
      <c r="H773" s="831">
        <v>0.99773854358918079</v>
      </c>
      <c r="I773" s="831">
        <v>0.99013513329321545</v>
      </c>
      <c r="K773">
        <v>1.715905049913955</v>
      </c>
      <c r="L773">
        <v>0</v>
      </c>
      <c r="M773">
        <v>1.4346884462010884E-3</v>
      </c>
      <c r="N773">
        <v>0.13126768748657822</v>
      </c>
      <c r="O773">
        <v>1.7348024472811814E-2</v>
      </c>
      <c r="P773">
        <v>1.9278832801073974E-2</v>
      </c>
      <c r="Q773">
        <v>2.0377725608216389E-3</v>
      </c>
      <c r="R773">
        <v>1.4258347004409281E-3</v>
      </c>
      <c r="S773">
        <v>0.14692319828961042</v>
      </c>
      <c r="T773">
        <v>1.0741201402429115</v>
      </c>
      <c r="U773">
        <v>2.2662594540595157E-2</v>
      </c>
      <c r="V773">
        <v>0.20332434904465205</v>
      </c>
      <c r="W773">
        <v>8.0158522723870043E-2</v>
      </c>
      <c r="X773">
        <v>1.4912129468472514E-2</v>
      </c>
      <c r="Y773">
        <v>3.8806520283175281E-3</v>
      </c>
    </row>
    <row r="774" spans="1:25" x14ac:dyDescent="0.25">
      <c r="A774" s="827"/>
      <c r="B774" s="1066">
        <v>524</v>
      </c>
      <c r="C774" s="831">
        <v>0.991201942737713</v>
      </c>
      <c r="D774" s="831">
        <v>0.97111270239127068</v>
      </c>
      <c r="E774" s="831">
        <v>0.97632121305112818</v>
      </c>
      <c r="F774" s="831">
        <v>1.0156429436821683</v>
      </c>
      <c r="G774" s="831">
        <v>0.9993725559329002</v>
      </c>
      <c r="H774" s="831">
        <v>1.0106254920965416</v>
      </c>
      <c r="I774" s="831">
        <v>1.0009419137337443</v>
      </c>
      <c r="K774">
        <v>1.7499778209629619</v>
      </c>
      <c r="L774">
        <v>0</v>
      </c>
      <c r="M774">
        <v>1.5046460950796385E-3</v>
      </c>
      <c r="N774">
        <v>0.14080646129404692</v>
      </c>
      <c r="O774">
        <v>1.8235426373038113E-2</v>
      </c>
      <c r="P774">
        <v>1.9610266530267768E-2</v>
      </c>
      <c r="Q774">
        <v>2.1529599758658481E-3</v>
      </c>
      <c r="R774">
        <v>1.4954994961817851E-3</v>
      </c>
      <c r="S774">
        <v>0.15691008159734984</v>
      </c>
      <c r="T774">
        <v>1.0734738500457497</v>
      </c>
      <c r="U774">
        <v>2.3529542157560798E-2</v>
      </c>
      <c r="V774">
        <v>0.20989559240290184</v>
      </c>
      <c r="W774">
        <v>8.5552683508435992E-2</v>
      </c>
      <c r="X774">
        <v>1.5749847039311669E-2</v>
      </c>
      <c r="Y774">
        <v>4.0702566373303963E-3</v>
      </c>
    </row>
    <row r="775" spans="1:25" x14ac:dyDescent="0.25">
      <c r="A775" s="827"/>
      <c r="B775" s="1066">
        <v>525</v>
      </c>
      <c r="C775" s="831">
        <v>1.0184471828739181</v>
      </c>
      <c r="D775" s="831">
        <v>1.0136589141004881</v>
      </c>
      <c r="E775" s="831">
        <v>0.99860982621820626</v>
      </c>
      <c r="F775" s="831">
        <v>0.95731846865570835</v>
      </c>
      <c r="G775" s="831">
        <v>1.0179117052298019</v>
      </c>
      <c r="H775" s="831">
        <v>1.0327722381584918</v>
      </c>
      <c r="I775" s="831">
        <v>0.99278383059039854</v>
      </c>
      <c r="K775">
        <v>1.7315395267241851</v>
      </c>
      <c r="L775">
        <v>0</v>
      </c>
      <c r="M775">
        <v>1.4005337079902077E-3</v>
      </c>
      <c r="N775">
        <v>0.14049879674298169</v>
      </c>
      <c r="O775">
        <v>1.7405899911660538E-2</v>
      </c>
      <c r="P775">
        <v>1.9723736801306433E-2</v>
      </c>
      <c r="Q775">
        <v>2.1093436744646682E-3</v>
      </c>
      <c r="R775">
        <v>1.3921732892831916E-3</v>
      </c>
      <c r="S775">
        <v>0.15033192718845462</v>
      </c>
      <c r="T775">
        <v>1.0714854709046464</v>
      </c>
      <c r="U775">
        <v>2.2900085827220043E-2</v>
      </c>
      <c r="V775">
        <v>0.20300982697652098</v>
      </c>
      <c r="W775">
        <v>8.4062423675689488E-2</v>
      </c>
      <c r="X775">
        <v>1.623133867631894E-2</v>
      </c>
      <c r="Y775">
        <v>3.7890367636273757E-3</v>
      </c>
    </row>
    <row r="776" spans="1:25" x14ac:dyDescent="0.25">
      <c r="A776" s="827"/>
      <c r="B776" s="1066">
        <v>526</v>
      </c>
      <c r="C776" s="831">
        <v>0.99020756273831012</v>
      </c>
      <c r="D776" s="831">
        <v>1.0192436612228108</v>
      </c>
      <c r="E776" s="831">
        <v>0.99093739004414427</v>
      </c>
      <c r="F776" s="831">
        <v>1.0092386253846959</v>
      </c>
      <c r="G776" s="831">
        <v>0.97508081600968577</v>
      </c>
      <c r="H776" s="831">
        <v>0.99607406267369514</v>
      </c>
      <c r="I776" s="831">
        <v>1.0193144316503147</v>
      </c>
      <c r="K776">
        <v>1.7373511088453135</v>
      </c>
      <c r="L776">
        <v>0</v>
      </c>
      <c r="M776">
        <v>1.4084025360833591E-3</v>
      </c>
      <c r="N776">
        <v>0.13792341428440935</v>
      </c>
      <c r="O776">
        <v>1.7857882935802108E-2</v>
      </c>
      <c r="P776">
        <v>1.973506693808413E-2</v>
      </c>
      <c r="Q776">
        <v>2.1484026427777843E-3</v>
      </c>
      <c r="R776">
        <v>1.3996815237728027E-3</v>
      </c>
      <c r="S776">
        <v>0.15570106057323499</v>
      </c>
      <c r="T776">
        <v>1.0721678219790161</v>
      </c>
      <c r="U776">
        <v>2.355317084612777E-2</v>
      </c>
      <c r="V776">
        <v>0.20548828065888047</v>
      </c>
      <c r="W776">
        <v>8.2957490211433615E-2</v>
      </c>
      <c r="X776">
        <v>1.6017767085036209E-2</v>
      </c>
      <c r="Y776">
        <v>3.8094717028192633E-3</v>
      </c>
    </row>
    <row r="777" spans="1:25" x14ac:dyDescent="0.25">
      <c r="A777" s="827"/>
      <c r="B777" s="1066">
        <v>527</v>
      </c>
      <c r="C777" s="831">
        <v>1.0341856162322951</v>
      </c>
      <c r="D777" s="831">
        <v>0.9701258262723893</v>
      </c>
      <c r="E777" s="831">
        <v>0.99365960677123222</v>
      </c>
      <c r="F777" s="831">
        <v>0.99087704893588835</v>
      </c>
      <c r="G777" s="831">
        <v>0.99701695818051783</v>
      </c>
      <c r="H777" s="831">
        <v>1.0205097202675206</v>
      </c>
      <c r="I777" s="831">
        <v>1.0314441715355009</v>
      </c>
      <c r="K777">
        <v>1.736850777047461</v>
      </c>
      <c r="L777">
        <v>0</v>
      </c>
      <c r="M777">
        <v>1.4047693999990427E-3</v>
      </c>
      <c r="N777">
        <v>0.13876241675251294</v>
      </c>
      <c r="O777">
        <v>1.7485590194489604E-2</v>
      </c>
      <c r="P777">
        <v>1.9757625167064675E-2</v>
      </c>
      <c r="Q777">
        <v>2.1008538229454294E-3</v>
      </c>
      <c r="R777">
        <v>1.3963133631680518E-3</v>
      </c>
      <c r="S777">
        <v>0.15575448743487608</v>
      </c>
      <c r="T777">
        <v>1.0719254665734379</v>
      </c>
      <c r="U777">
        <v>2.2551587966646542E-2</v>
      </c>
      <c r="V777">
        <v>0.20536408427311642</v>
      </c>
      <c r="W777">
        <v>8.3305975405013055E-2</v>
      </c>
      <c r="X777">
        <v>1.6050840814222946E-2</v>
      </c>
      <c r="Y777">
        <v>3.8003046799669747E-3</v>
      </c>
    </row>
    <row r="778" spans="1:25" x14ac:dyDescent="0.25">
      <c r="A778" s="827"/>
      <c r="B778" s="1066">
        <v>528</v>
      </c>
      <c r="C778" s="831">
        <v>0.98474302907845257</v>
      </c>
      <c r="D778" s="831">
        <v>0.99083718668588538</v>
      </c>
      <c r="E778" s="831">
        <v>1.01606160112601</v>
      </c>
      <c r="F778" s="831">
        <v>1.0380399264554219</v>
      </c>
      <c r="G778" s="831">
        <v>0.95920114551407054</v>
      </c>
      <c r="H778" s="831">
        <v>1.013450999172012</v>
      </c>
      <c r="I778" s="831">
        <v>0.986767086589731</v>
      </c>
      <c r="K778">
        <v>1.7517591411715814</v>
      </c>
      <c r="L778">
        <v>0</v>
      </c>
      <c r="M778">
        <v>1.3842086347960862E-3</v>
      </c>
      <c r="N778">
        <v>0.14658946139187454</v>
      </c>
      <c r="O778">
        <v>1.8188234636503972E-2</v>
      </c>
      <c r="P778">
        <v>2.0107935822058182E-2</v>
      </c>
      <c r="Q778">
        <v>2.2388208678093624E-3</v>
      </c>
      <c r="R778">
        <v>1.3758037247575323E-3</v>
      </c>
      <c r="S778">
        <v>0.15460881125194678</v>
      </c>
      <c r="T778">
        <v>1.0699416680420131</v>
      </c>
      <c r="U778">
        <v>2.3683872045409633E-2</v>
      </c>
      <c r="V778">
        <v>0.20871107793581195</v>
      </c>
      <c r="W778">
        <v>8.6670733170589861E-2</v>
      </c>
      <c r="X778">
        <v>1.728244671238734E-2</v>
      </c>
      <c r="Y778">
        <v>3.7444842052140269E-3</v>
      </c>
    </row>
    <row r="779" spans="1:25" x14ac:dyDescent="0.25">
      <c r="A779" s="827"/>
      <c r="B779" s="1066">
        <v>529</v>
      </c>
      <c r="C779" s="831">
        <v>0.97600639822247914</v>
      </c>
      <c r="D779" s="831">
        <v>1.0084573564886599</v>
      </c>
      <c r="E779" s="831">
        <v>0.9774252461618137</v>
      </c>
      <c r="F779" s="831">
        <v>1.0110771558019205</v>
      </c>
      <c r="G779" s="831">
        <v>1.0193687005791139</v>
      </c>
      <c r="H779" s="831">
        <v>0.98678865274394301</v>
      </c>
      <c r="I779" s="831">
        <v>1.0341820793895733</v>
      </c>
      <c r="K779">
        <v>1.7460177455380386</v>
      </c>
      <c r="L779">
        <v>0</v>
      </c>
      <c r="M779">
        <v>1.4633481317197334E-3</v>
      </c>
      <c r="N779">
        <v>0.13739076741155018</v>
      </c>
      <c r="O779">
        <v>1.820510054809828E-2</v>
      </c>
      <c r="P779">
        <v>1.9650584218550794E-2</v>
      </c>
      <c r="Q779">
        <v>2.1585004812417828E-3</v>
      </c>
      <c r="R779">
        <v>1.4542094917748248E-3</v>
      </c>
      <c r="S779">
        <v>0.16027522543400319</v>
      </c>
      <c r="T779">
        <v>1.0733749188352228</v>
      </c>
      <c r="U779">
        <v>2.3895876031938525E-2</v>
      </c>
      <c r="V779">
        <v>0.20803754923171966</v>
      </c>
      <c r="W779">
        <v>8.3413273832308621E-2</v>
      </c>
      <c r="X779">
        <v>1.5667209296767397E-2</v>
      </c>
      <c r="Y779">
        <v>3.9578788565809439E-3</v>
      </c>
    </row>
    <row r="780" spans="1:25" x14ac:dyDescent="0.25">
      <c r="A780" s="827"/>
      <c r="B780" s="1066">
        <v>530</v>
      </c>
      <c r="C780" s="831">
        <v>0.99274174093728584</v>
      </c>
      <c r="D780" s="831">
        <v>1.0383882025570048</v>
      </c>
      <c r="E780" s="831">
        <v>0.99111847068924463</v>
      </c>
      <c r="F780" s="831">
        <v>0.99871454867620046</v>
      </c>
      <c r="G780" s="831">
        <v>0.98104511928999749</v>
      </c>
      <c r="H780" s="831">
        <v>1.0206751354907697</v>
      </c>
      <c r="I780" s="831">
        <v>0.97786342457827513</v>
      </c>
      <c r="K780">
        <v>1.7319627556620316</v>
      </c>
      <c r="L780">
        <v>0</v>
      </c>
      <c r="M780">
        <v>1.4269301970974526E-3</v>
      </c>
      <c r="N780">
        <v>0.139836333434255</v>
      </c>
      <c r="O780">
        <v>1.7663280043560055E-2</v>
      </c>
      <c r="P780">
        <v>1.9626980741809807E-2</v>
      </c>
      <c r="Q780">
        <v>2.1285754954766586E-3</v>
      </c>
      <c r="R780">
        <v>1.418294538749133E-3</v>
      </c>
      <c r="S780">
        <v>0.14955571840550128</v>
      </c>
      <c r="T780">
        <v>1.0721516919363454</v>
      </c>
      <c r="U780">
        <v>2.3493046516089321E-2</v>
      </c>
      <c r="V780">
        <v>0.2035391294215555</v>
      </c>
      <c r="W780">
        <v>8.4097577177400934E-2</v>
      </c>
      <c r="X780">
        <v>1.6018927954580608E-2</v>
      </c>
      <c r="Y780">
        <v>3.860130193806096E-3</v>
      </c>
    </row>
    <row r="781" spans="1:25" x14ac:dyDescent="0.25">
      <c r="A781" s="827"/>
      <c r="B781" s="1066">
        <v>531</v>
      </c>
      <c r="C781" s="831">
        <v>0.9580988525377786</v>
      </c>
      <c r="D781" s="831">
        <v>1.013682559697632</v>
      </c>
      <c r="E781" s="831">
        <v>0.97741815012235411</v>
      </c>
      <c r="F781" s="831">
        <v>1.0103805667633228</v>
      </c>
      <c r="G781" s="831">
        <v>0.98485644148297602</v>
      </c>
      <c r="H781" s="831">
        <v>0.9948717134539995</v>
      </c>
      <c r="I781" s="831">
        <v>1.0048838816817827</v>
      </c>
      <c r="K781">
        <v>1.7527296688303957</v>
      </c>
      <c r="L781">
        <v>0</v>
      </c>
      <c r="M781">
        <v>1.4994265539741789E-3</v>
      </c>
      <c r="N781">
        <v>0.14078180404452656</v>
      </c>
      <c r="O781">
        <v>1.8502060279939544E-2</v>
      </c>
      <c r="P781">
        <v>1.9658976737222139E-2</v>
      </c>
      <c r="Q781">
        <v>2.1946179697201317E-3</v>
      </c>
      <c r="R781">
        <v>1.4901347946595144E-3</v>
      </c>
      <c r="S781">
        <v>0.15891092504480947</v>
      </c>
      <c r="T781">
        <v>1.0733755545574999</v>
      </c>
      <c r="U781">
        <v>2.4342506868187244E-2</v>
      </c>
      <c r="V781">
        <v>0.20958797171645629</v>
      </c>
      <c r="W781">
        <v>8.5472476200166389E-2</v>
      </c>
      <c r="X781">
        <v>1.5856411482921131E-2</v>
      </c>
      <c r="Y781">
        <v>4.0556556882601581E-3</v>
      </c>
    </row>
    <row r="782" spans="1:25" x14ac:dyDescent="0.25">
      <c r="A782" s="827"/>
      <c r="B782" s="1066">
        <v>532</v>
      </c>
      <c r="C782" s="831">
        <v>0.96772277700815224</v>
      </c>
      <c r="D782" s="831">
        <v>0.98592057155903123</v>
      </c>
      <c r="E782" s="831">
        <v>1.0168122233495289</v>
      </c>
      <c r="F782" s="831">
        <v>1.0185838806134506</v>
      </c>
      <c r="G782" s="831">
        <v>0.96804134283503884</v>
      </c>
      <c r="H782" s="831">
        <v>1.0098292033382037</v>
      </c>
      <c r="I782" s="831">
        <v>0.99562711072964694</v>
      </c>
      <c r="K782">
        <v>1.7634452716808517</v>
      </c>
      <c r="L782">
        <v>0</v>
      </c>
      <c r="M782">
        <v>1.4044596312880965E-3</v>
      </c>
      <c r="N782">
        <v>0.14907849054985023</v>
      </c>
      <c r="O782">
        <v>1.8549936313293127E-2</v>
      </c>
      <c r="P782">
        <v>2.0215161874802386E-2</v>
      </c>
      <c r="Q782">
        <v>2.284113842942471E-3</v>
      </c>
      <c r="R782">
        <v>1.3959046609560049E-3</v>
      </c>
      <c r="S782">
        <v>0.15880027406256264</v>
      </c>
      <c r="T782">
        <v>1.0698755255554242</v>
      </c>
      <c r="U782">
        <v>2.4100422613186762E-2</v>
      </c>
      <c r="V782">
        <v>0.21112517432017378</v>
      </c>
      <c r="W782">
        <v>8.8097623105937994E-2</v>
      </c>
      <c r="X782">
        <v>1.7527912085735162E-2</v>
      </c>
      <c r="Y782">
        <v>3.7991923272744322E-3</v>
      </c>
    </row>
    <row r="783" spans="1:25" x14ac:dyDescent="0.25">
      <c r="A783" s="827"/>
      <c r="B783" s="1066">
        <v>533</v>
      </c>
      <c r="C783" s="831">
        <v>1.0033791691724017</v>
      </c>
      <c r="D783" s="831">
        <v>0.98792780108194234</v>
      </c>
      <c r="E783" s="831">
        <v>0.99351695069803958</v>
      </c>
      <c r="F783" s="831">
        <v>1.00743507864099</v>
      </c>
      <c r="G783" s="831">
        <v>1.0459827389872427</v>
      </c>
      <c r="H783" s="831">
        <v>1.0255309949448297</v>
      </c>
      <c r="I783" s="831">
        <v>1.0079718667380226</v>
      </c>
      <c r="K783">
        <v>1.7462916996534483</v>
      </c>
      <c r="L783">
        <v>0</v>
      </c>
      <c r="M783">
        <v>1.4435051714207015E-3</v>
      </c>
      <c r="N783">
        <v>0.14252835557749757</v>
      </c>
      <c r="O783">
        <v>1.7874240169653853E-2</v>
      </c>
      <c r="P783">
        <v>1.979068498315751E-2</v>
      </c>
      <c r="Q783">
        <v>2.1504795646696382E-3</v>
      </c>
      <c r="R783">
        <v>1.434845544333741E-3</v>
      </c>
      <c r="S783">
        <v>0.15606354900176747</v>
      </c>
      <c r="T783">
        <v>1.0719381601236895</v>
      </c>
      <c r="U783">
        <v>2.3243982549029648E-2</v>
      </c>
      <c r="V783">
        <v>0.20693980461520609</v>
      </c>
      <c r="W783">
        <v>8.5575245851499587E-2</v>
      </c>
      <c r="X783">
        <v>1.6290680269394245E-2</v>
      </c>
      <c r="Y783">
        <v>3.9051765749698758E-3</v>
      </c>
    </row>
    <row r="784" spans="1:25" x14ac:dyDescent="0.25">
      <c r="A784" s="827"/>
      <c r="B784" s="1066">
        <v>534</v>
      </c>
      <c r="C784" s="831">
        <v>0.99820946854456472</v>
      </c>
      <c r="D784" s="831">
        <v>1.0229418125719278</v>
      </c>
      <c r="E784" s="831">
        <v>0.99122340155530897</v>
      </c>
      <c r="F784" s="831">
        <v>1.0025601387953544</v>
      </c>
      <c r="G784" s="831">
        <v>1.0008664020049824</v>
      </c>
      <c r="H784" s="831">
        <v>0.98675444579726124</v>
      </c>
      <c r="I784" s="831">
        <v>1.0089344472972093</v>
      </c>
      <c r="K784">
        <v>1.7276098584231985</v>
      </c>
      <c r="L784">
        <v>0</v>
      </c>
      <c r="M784">
        <v>1.3809490298102918E-3</v>
      </c>
      <c r="N784">
        <v>0.13534717390621204</v>
      </c>
      <c r="O784">
        <v>1.768576284182952E-2</v>
      </c>
      <c r="P784">
        <v>1.966993574441352E-2</v>
      </c>
      <c r="Q784">
        <v>2.128935431556666E-3</v>
      </c>
      <c r="R784">
        <v>1.3723147321821362E-3</v>
      </c>
      <c r="S784">
        <v>0.15198166387359882</v>
      </c>
      <c r="T784">
        <v>1.0721423456200585</v>
      </c>
      <c r="U784">
        <v>2.3364362524339197E-2</v>
      </c>
      <c r="V784">
        <v>0.20430503696240873</v>
      </c>
      <c r="W784">
        <v>8.1391916265647388E-2</v>
      </c>
      <c r="X784">
        <v>1.5866371233192997E-2</v>
      </c>
      <c r="Y784">
        <v>3.7349883175698925E-3</v>
      </c>
    </row>
    <row r="785" spans="1:25" x14ac:dyDescent="0.25">
      <c r="A785" s="827"/>
      <c r="B785" s="1066">
        <v>535</v>
      </c>
      <c r="C785" s="831">
        <v>1.0004059996991748</v>
      </c>
      <c r="D785" s="831">
        <v>1.0085631232779824</v>
      </c>
      <c r="E785" s="831">
        <v>0.98969137320236122</v>
      </c>
      <c r="F785" s="831">
        <v>1.019401800210884</v>
      </c>
      <c r="G785" s="831">
        <v>0.95696567588325487</v>
      </c>
      <c r="H785" s="831">
        <v>0.97778972060926206</v>
      </c>
      <c r="I785" s="831">
        <v>1.0272657319182066</v>
      </c>
      <c r="K785">
        <v>1.7301389282893807</v>
      </c>
      <c r="L785">
        <v>0</v>
      </c>
      <c r="M785">
        <v>1.3785899163246741E-3</v>
      </c>
      <c r="N785">
        <v>0.13446624980368874</v>
      </c>
      <c r="O785">
        <v>1.7760240752850643E-2</v>
      </c>
      <c r="P785">
        <v>1.9698793348339065E-2</v>
      </c>
      <c r="Q785">
        <v>2.1321384828628092E-3</v>
      </c>
      <c r="R785">
        <v>1.3699012847869269E-3</v>
      </c>
      <c r="S785">
        <v>0.15465287597257676</v>
      </c>
      <c r="T785">
        <v>1.0722788463749189</v>
      </c>
      <c r="U785">
        <v>2.3313062801818808E-2</v>
      </c>
      <c r="V785">
        <v>0.2053535381068971</v>
      </c>
      <c r="W785">
        <v>8.0947545149684663E-2</v>
      </c>
      <c r="X785">
        <v>1.5815906417926948E-2</v>
      </c>
      <c r="Y785">
        <v>3.7284197093528514E-3</v>
      </c>
    </row>
    <row r="786" spans="1:25" x14ac:dyDescent="0.25">
      <c r="A786" s="827"/>
      <c r="B786" s="1066">
        <v>536</v>
      </c>
      <c r="C786" s="831">
        <v>1.0001975207886356</v>
      </c>
      <c r="D786" s="831">
        <v>1.0075601149621689</v>
      </c>
      <c r="E786" s="831">
        <v>1.0299286754293506</v>
      </c>
      <c r="F786" s="831">
        <v>0.99037379843857043</v>
      </c>
      <c r="G786" s="831">
        <v>1.0016555982562887</v>
      </c>
      <c r="H786" s="831">
        <v>0.99934122345976284</v>
      </c>
      <c r="I786" s="831">
        <v>0.97242649001619985</v>
      </c>
      <c r="K786">
        <v>1.7336453745486571</v>
      </c>
      <c r="L786">
        <v>0</v>
      </c>
      <c r="M786">
        <v>1.2951898967480246E-3</v>
      </c>
      <c r="N786">
        <v>0.14318515246343283</v>
      </c>
      <c r="O786">
        <v>1.7771943000871801E-2</v>
      </c>
      <c r="P786">
        <v>2.0153153662384581E-2</v>
      </c>
      <c r="Q786">
        <v>2.2209413844427976E-3</v>
      </c>
      <c r="R786">
        <v>1.2872035834758449E-3</v>
      </c>
      <c r="S786">
        <v>0.14798687401635716</v>
      </c>
      <c r="T786">
        <v>1.0687231903659506</v>
      </c>
      <c r="U786">
        <v>2.3317922123935939E-2</v>
      </c>
      <c r="V786">
        <v>0.205469646573161</v>
      </c>
      <c r="W786">
        <v>8.3871101104275342E-2</v>
      </c>
      <c r="X786">
        <v>1.7450092339440851E-2</v>
      </c>
      <c r="Y786">
        <v>3.5033438276739974E-3</v>
      </c>
    </row>
    <row r="787" spans="1:25" x14ac:dyDescent="0.25">
      <c r="A787" s="827"/>
      <c r="B787" s="1066">
        <v>537</v>
      </c>
      <c r="C787" s="831">
        <v>0.98928919554767691</v>
      </c>
      <c r="D787" s="831">
        <v>1.0067876739286583</v>
      </c>
      <c r="E787" s="831">
        <v>0.9865139707648175</v>
      </c>
      <c r="F787" s="831">
        <v>1.0406280556576</v>
      </c>
      <c r="G787" s="831">
        <v>0.97127168736588498</v>
      </c>
      <c r="H787" s="831">
        <v>1.0045879166548293</v>
      </c>
      <c r="I787" s="831">
        <v>1.001586100334142</v>
      </c>
      <c r="K787">
        <v>1.7405257505899985</v>
      </c>
      <c r="L787">
        <v>0</v>
      </c>
      <c r="M787">
        <v>1.4430359637054909E-3</v>
      </c>
      <c r="N787">
        <v>0.1393902217438035</v>
      </c>
      <c r="O787">
        <v>1.797414185342305E-2</v>
      </c>
      <c r="P787">
        <v>1.9675837908154203E-2</v>
      </c>
      <c r="Q787">
        <v>2.1505819706891869E-3</v>
      </c>
      <c r="R787">
        <v>1.434185034453375E-3</v>
      </c>
      <c r="S787">
        <v>0.15453436363138712</v>
      </c>
      <c r="T787">
        <v>1.0725622285026639</v>
      </c>
      <c r="U787">
        <v>2.3575035493429888E-2</v>
      </c>
      <c r="V787">
        <v>0.20671836498388918</v>
      </c>
      <c r="W787">
        <v>8.4095894072525157E-2</v>
      </c>
      <c r="X787">
        <v>1.59545524744726E-2</v>
      </c>
      <c r="Y787">
        <v>3.9033788848125417E-3</v>
      </c>
    </row>
    <row r="788" spans="1:25" x14ac:dyDescent="0.25">
      <c r="A788" s="827"/>
      <c r="B788" s="1066">
        <v>538</v>
      </c>
      <c r="C788" s="831">
        <v>0.95692323179571814</v>
      </c>
      <c r="D788" s="831">
        <v>1.0049067875712934</v>
      </c>
      <c r="E788" s="831">
        <v>1.0245321346913843</v>
      </c>
      <c r="F788" s="831">
        <v>1.0209073623855267</v>
      </c>
      <c r="G788" s="831">
        <v>0.99360997575267629</v>
      </c>
      <c r="H788" s="831">
        <v>1.0034464963589895</v>
      </c>
      <c r="I788" s="831">
        <v>1.0231288199699473</v>
      </c>
      <c r="K788">
        <v>1.7678474947665914</v>
      </c>
      <c r="L788">
        <v>0</v>
      </c>
      <c r="M788">
        <v>1.3765639498384314E-3</v>
      </c>
      <c r="N788">
        <v>0.14965655113831855</v>
      </c>
      <c r="O788">
        <v>1.8597815605221654E-2</v>
      </c>
      <c r="P788">
        <v>2.0377912104757975E-2</v>
      </c>
      <c r="Q788">
        <v>2.3112655120130312E-3</v>
      </c>
      <c r="R788">
        <v>1.3681124092835202E-3</v>
      </c>
      <c r="S788">
        <v>0.16323667835839831</v>
      </c>
      <c r="T788">
        <v>1.0691965094823173</v>
      </c>
      <c r="U788">
        <v>2.4372412669443941E-2</v>
      </c>
      <c r="V788">
        <v>0.21055543083094461</v>
      </c>
      <c r="W788">
        <v>8.7979937676664496E-2</v>
      </c>
      <c r="X788">
        <v>1.7847881949129171E-2</v>
      </c>
      <c r="Y788">
        <v>3.7235509799352306E-3</v>
      </c>
    </row>
    <row r="789" spans="1:25" x14ac:dyDescent="0.25">
      <c r="A789" s="827"/>
      <c r="B789" s="1066">
        <v>539</v>
      </c>
      <c r="C789" s="831">
        <v>1.004506701558477</v>
      </c>
      <c r="D789" s="831">
        <v>1.0435766610941368</v>
      </c>
      <c r="E789" s="831">
        <v>0.97568017511482108</v>
      </c>
      <c r="F789" s="831">
        <v>1.0095772963846599</v>
      </c>
      <c r="G789" s="831">
        <v>1.00929323960818</v>
      </c>
      <c r="H789" s="831">
        <v>1.0177196569313804</v>
      </c>
      <c r="I789" s="831">
        <v>1.0044982111242118</v>
      </c>
      <c r="K789">
        <v>1.7256600014799253</v>
      </c>
      <c r="L789">
        <v>0</v>
      </c>
      <c r="M789">
        <v>1.4492225118741219E-3</v>
      </c>
      <c r="N789">
        <v>0.13535013074319563</v>
      </c>
      <c r="O789">
        <v>1.7417222839864611E-2</v>
      </c>
      <c r="P789">
        <v>1.9414659305367142E-2</v>
      </c>
      <c r="Q789">
        <v>2.0671330265945405E-3</v>
      </c>
      <c r="R789">
        <v>1.4404229757698562E-3</v>
      </c>
      <c r="S789">
        <v>0.1513091856165919</v>
      </c>
      <c r="T789">
        <v>1.0735313137579303</v>
      </c>
      <c r="U789">
        <v>2.321789178919231E-2</v>
      </c>
      <c r="V789">
        <v>0.20186865537080093</v>
      </c>
      <c r="W789">
        <v>8.2274159454280446E-2</v>
      </c>
      <c r="X789">
        <v>1.5298092607469204E-2</v>
      </c>
      <c r="Y789">
        <v>3.9203565047392008E-3</v>
      </c>
    </row>
    <row r="790" spans="1:25" x14ac:dyDescent="0.25">
      <c r="A790" s="827"/>
      <c r="B790" s="1066">
        <v>540</v>
      </c>
      <c r="C790" s="831">
        <v>1.0048554433640082</v>
      </c>
      <c r="D790" s="831">
        <v>1.0178294841287374</v>
      </c>
      <c r="E790" s="831">
        <v>0.99943223578614448</v>
      </c>
      <c r="F790" s="831">
        <v>1.0397929658466187</v>
      </c>
      <c r="G790" s="831">
        <v>1.0228681190915601</v>
      </c>
      <c r="H790" s="831">
        <v>1.0228550825365357</v>
      </c>
      <c r="I790" s="831">
        <v>0.99739361494175083</v>
      </c>
      <c r="K790">
        <v>1.7355466094171299</v>
      </c>
      <c r="L790">
        <v>0</v>
      </c>
      <c r="M790">
        <v>1.4008145343530928E-3</v>
      </c>
      <c r="N790">
        <v>0.14087852202045331</v>
      </c>
      <c r="O790">
        <v>1.7608613717019335E-2</v>
      </c>
      <c r="P790">
        <v>1.9777638315355187E-2</v>
      </c>
      <c r="Q790">
        <v>2.1363883659424E-3</v>
      </c>
      <c r="R790">
        <v>1.3923685627291527E-3</v>
      </c>
      <c r="S790">
        <v>0.15211120713522047</v>
      </c>
      <c r="T790">
        <v>1.0714124613342699</v>
      </c>
      <c r="U790">
        <v>2.3209833864486121E-2</v>
      </c>
      <c r="V790">
        <v>0.20405641744684069</v>
      </c>
      <c r="W790">
        <v>8.4242167633760939E-2</v>
      </c>
      <c r="X790">
        <v>1.6332237321828407E-2</v>
      </c>
      <c r="Y790">
        <v>3.7895682335754074E-3</v>
      </c>
    </row>
    <row r="791" spans="1:25" x14ac:dyDescent="0.25">
      <c r="A791" s="827"/>
      <c r="B791" s="1066">
        <v>541</v>
      </c>
      <c r="C791" s="831">
        <v>1.0324740351410955</v>
      </c>
      <c r="D791" s="831">
        <v>0.96345635524604267</v>
      </c>
      <c r="E791" s="831">
        <v>1.0053398966313571</v>
      </c>
      <c r="F791" s="831">
        <v>1.0007788511966103</v>
      </c>
      <c r="G791" s="831">
        <v>1.0179670649112758</v>
      </c>
      <c r="H791" s="831">
        <v>0.95501132886298723</v>
      </c>
      <c r="I791" s="831">
        <v>1.0245873971221324</v>
      </c>
      <c r="K791">
        <v>1.7200765594768104</v>
      </c>
      <c r="L791">
        <v>0</v>
      </c>
      <c r="M791">
        <v>1.2888277397625188E-3</v>
      </c>
      <c r="N791">
        <v>0.13196694269116868</v>
      </c>
      <c r="O791">
        <v>1.7569612394743916E-2</v>
      </c>
      <c r="P791">
        <v>1.9858542511501636E-2</v>
      </c>
      <c r="Q791">
        <v>2.134656854238583E-3</v>
      </c>
      <c r="R791">
        <v>1.2805422758710729E-3</v>
      </c>
      <c r="S791">
        <v>0.1506767680310574</v>
      </c>
      <c r="T791">
        <v>1.0708887580815711</v>
      </c>
      <c r="U791">
        <v>2.258897280173831E-2</v>
      </c>
      <c r="V791">
        <v>0.20617529429288881</v>
      </c>
      <c r="W791">
        <v>7.8595429003780595E-2</v>
      </c>
      <c r="X791">
        <v>1.6144654333737674E-2</v>
      </c>
      <c r="Y791">
        <v>3.4852139442732698E-3</v>
      </c>
    </row>
    <row r="792" spans="1:25" x14ac:dyDescent="0.25">
      <c r="A792" s="827"/>
      <c r="B792" s="1066">
        <v>542</v>
      </c>
      <c r="C792" s="831">
        <v>1.0291342303727311</v>
      </c>
      <c r="D792" s="831">
        <v>0.98723396695730048</v>
      </c>
      <c r="E792" s="831">
        <v>0.99776292321489457</v>
      </c>
      <c r="F792" s="831">
        <v>1.0206582613043718</v>
      </c>
      <c r="G792" s="831">
        <v>1.0074063453807247</v>
      </c>
      <c r="H792" s="831">
        <v>0.99900051413726565</v>
      </c>
      <c r="I792" s="831">
        <v>0.9842944274060742</v>
      </c>
      <c r="K792">
        <v>1.72157500298765</v>
      </c>
      <c r="L792">
        <v>0</v>
      </c>
      <c r="M792">
        <v>1.35920781593687E-3</v>
      </c>
      <c r="N792">
        <v>0.13596843074463105</v>
      </c>
      <c r="O792">
        <v>1.7432475261264863E-2</v>
      </c>
      <c r="P792">
        <v>1.9678285526095084E-2</v>
      </c>
      <c r="Q792">
        <v>2.1062001779139374E-3</v>
      </c>
      <c r="R792">
        <v>1.3508378292839702E-3</v>
      </c>
      <c r="S792">
        <v>0.14679496415781029</v>
      </c>
      <c r="T792">
        <v>1.0715606815568766</v>
      </c>
      <c r="U792">
        <v>2.266227981733368E-2</v>
      </c>
      <c r="V792">
        <v>0.20428976450748168</v>
      </c>
      <c r="W792">
        <v>8.1399057095665944E-2</v>
      </c>
      <c r="X792">
        <v>1.6014698861487903E-2</v>
      </c>
      <c r="Y792">
        <v>3.6765352677402218E-3</v>
      </c>
    </row>
    <row r="793" spans="1:25" x14ac:dyDescent="0.25">
      <c r="A793" s="827"/>
      <c r="B793" s="1066">
        <v>543</v>
      </c>
      <c r="C793" s="831">
        <v>1.0060570520143333</v>
      </c>
      <c r="D793" s="831">
        <v>1.0123428868180755</v>
      </c>
      <c r="E793" s="831">
        <v>1.0297546085462999</v>
      </c>
      <c r="F793" s="831">
        <v>1.0006860910726083</v>
      </c>
      <c r="G793" s="831">
        <v>1.0053716719474397</v>
      </c>
      <c r="H793" s="831">
        <v>1.0053111776128583</v>
      </c>
      <c r="I793" s="831">
        <v>1.013682450824537</v>
      </c>
      <c r="K793">
        <v>1.7373615100414905</v>
      </c>
      <c r="L793">
        <v>0</v>
      </c>
      <c r="M793">
        <v>1.2930453656625994E-3</v>
      </c>
      <c r="N793">
        <v>0.14287577643113281</v>
      </c>
      <c r="O793">
        <v>1.763061906470384E-2</v>
      </c>
      <c r="P793">
        <v>2.0211046793451499E-2</v>
      </c>
      <c r="Q793">
        <v>2.2037519207862362E-3</v>
      </c>
      <c r="R793">
        <v>1.285116581078598E-3</v>
      </c>
      <c r="S793">
        <v>0.15349540524613367</v>
      </c>
      <c r="T793">
        <v>1.0687384401622573</v>
      </c>
      <c r="U793">
        <v>2.3182112636263196E-2</v>
      </c>
      <c r="V793">
        <v>0.20441455085081908</v>
      </c>
      <c r="W793">
        <v>8.3699646874662831E-2</v>
      </c>
      <c r="X793">
        <v>1.7420425150734581E-2</v>
      </c>
      <c r="Y793">
        <v>3.4976636951288462E-3</v>
      </c>
    </row>
    <row r="794" spans="1:25" x14ac:dyDescent="0.25">
      <c r="A794" s="827"/>
      <c r="B794" s="1066">
        <v>544</v>
      </c>
      <c r="C794" s="831">
        <v>1.016174465268755</v>
      </c>
      <c r="D794" s="831">
        <v>1.005980487763614</v>
      </c>
      <c r="E794" s="831">
        <v>0.96528366682572542</v>
      </c>
      <c r="F794" s="831">
        <v>0.9587707525618665</v>
      </c>
      <c r="G794" s="831">
        <v>0.97722526440756796</v>
      </c>
      <c r="H794" s="831">
        <v>0.99454668071873453</v>
      </c>
      <c r="I794" s="831">
        <v>1.0463323393067772</v>
      </c>
      <c r="K794">
        <v>1.7275847136187594</v>
      </c>
      <c r="L794">
        <v>0</v>
      </c>
      <c r="M794">
        <v>1.4546896305493127E-3</v>
      </c>
      <c r="N794">
        <v>0.13151104407682399</v>
      </c>
      <c r="O794">
        <v>1.7504947698220252E-2</v>
      </c>
      <c r="P794">
        <v>1.9365508878489649E-2</v>
      </c>
      <c r="Q794">
        <v>2.0494970516665234E-3</v>
      </c>
      <c r="R794">
        <v>1.4456777266163489E-3</v>
      </c>
      <c r="S794">
        <v>0.15647911129954797</v>
      </c>
      <c r="T794">
        <v>1.0744654257787392</v>
      </c>
      <c r="U794">
        <v>2.2951302847523239E-2</v>
      </c>
      <c r="V794">
        <v>0.20392757368493408</v>
      </c>
      <c r="W794">
        <v>8.0523206478911757E-2</v>
      </c>
      <c r="X794">
        <v>1.4881449523519542E-2</v>
      </c>
      <c r="Y794">
        <v>3.9346582043152034E-3</v>
      </c>
    </row>
    <row r="795" spans="1:25" x14ac:dyDescent="0.25">
      <c r="A795" s="827"/>
      <c r="B795" s="1066">
        <v>545</v>
      </c>
      <c r="C795" s="831">
        <v>1.0003812276774871</v>
      </c>
      <c r="D795" s="831">
        <v>0.98176314423122035</v>
      </c>
      <c r="E795" s="831">
        <v>0.99528685370786074</v>
      </c>
      <c r="F795" s="831">
        <v>0.9723900809664312</v>
      </c>
      <c r="G795" s="831">
        <v>0.99937498205622688</v>
      </c>
      <c r="H795" s="831">
        <v>0.9595614601618</v>
      </c>
      <c r="I795" s="831">
        <v>1.0086380172040132</v>
      </c>
      <c r="K795">
        <v>1.7296496189059687</v>
      </c>
      <c r="L795">
        <v>0</v>
      </c>
      <c r="M795">
        <v>1.3534953846766286E-3</v>
      </c>
      <c r="N795">
        <v>0.13432389944049714</v>
      </c>
      <c r="O795">
        <v>1.7978801453143855E-2</v>
      </c>
      <c r="P795">
        <v>1.9775955025500877E-2</v>
      </c>
      <c r="Q795">
        <v>2.165802503728176E-3</v>
      </c>
      <c r="R795">
        <v>1.3448219653025542E-3</v>
      </c>
      <c r="S795">
        <v>0.15222863679400381</v>
      </c>
      <c r="T795">
        <v>1.0717807282798233</v>
      </c>
      <c r="U795">
        <v>2.3313640093436585E-2</v>
      </c>
      <c r="V795">
        <v>0.20784615212732305</v>
      </c>
      <c r="W795">
        <v>8.0551227399704606E-2</v>
      </c>
      <c r="X795">
        <v>1.6033287139068604E-2</v>
      </c>
      <c r="Y795">
        <v>3.6601620691118354E-3</v>
      </c>
    </row>
    <row r="796" spans="1:25" x14ac:dyDescent="0.25">
      <c r="A796" s="827"/>
      <c r="B796" s="1066">
        <v>546</v>
      </c>
      <c r="C796" s="831">
        <v>0.98149927814060867</v>
      </c>
      <c r="D796" s="831">
        <v>0.99018345462022705</v>
      </c>
      <c r="E796" s="831">
        <v>1.0051649976922146</v>
      </c>
      <c r="F796" s="831">
        <v>1.0448296726142512</v>
      </c>
      <c r="G796" s="831">
        <v>0.99296193211773476</v>
      </c>
      <c r="H796" s="831">
        <v>1.0102215410732347</v>
      </c>
      <c r="I796" s="831">
        <v>0.97686648631734818</v>
      </c>
      <c r="K796">
        <v>1.7497529158372414</v>
      </c>
      <c r="L796">
        <v>0</v>
      </c>
      <c r="M796">
        <v>1.4169691954499615E-3</v>
      </c>
      <c r="N796">
        <v>0.14505810903604144</v>
      </c>
      <c r="O796">
        <v>1.8253807206864221E-2</v>
      </c>
      <c r="P796">
        <v>1.9949798573055649E-2</v>
      </c>
      <c r="Q796">
        <v>2.2224377592969138E-3</v>
      </c>
      <c r="R796">
        <v>1.4083383252622074E-3</v>
      </c>
      <c r="S796">
        <v>0.15337378546509953</v>
      </c>
      <c r="T796">
        <v>1.0709042436159131</v>
      </c>
      <c r="U796">
        <v>2.3762144728711652E-2</v>
      </c>
      <c r="V796">
        <v>0.20913875664056245</v>
      </c>
      <c r="W796">
        <v>8.6402424335757719E-2</v>
      </c>
      <c r="X796">
        <v>1.6863006683367623E-2</v>
      </c>
      <c r="Y796">
        <v>3.8330326627595795E-3</v>
      </c>
    </row>
    <row r="797" spans="1:25" x14ac:dyDescent="0.25">
      <c r="A797" s="827"/>
      <c r="B797" s="1066">
        <v>547</v>
      </c>
      <c r="C797" s="831">
        <v>1.000898705912483</v>
      </c>
      <c r="D797" s="831">
        <v>1.0204016043884261</v>
      </c>
      <c r="E797" s="831">
        <v>0.99430798319188529</v>
      </c>
      <c r="F797" s="831">
        <v>1.0101333491106745</v>
      </c>
      <c r="G797" s="831">
        <v>1.0171633518393437</v>
      </c>
      <c r="H797" s="831">
        <v>1.0323806257600094</v>
      </c>
      <c r="I797" s="831">
        <v>1.0039298004451647</v>
      </c>
      <c r="K797">
        <v>1.7402638442277403</v>
      </c>
      <c r="L797">
        <v>0</v>
      </c>
      <c r="M797">
        <v>1.4332083585502893E-3</v>
      </c>
      <c r="N797">
        <v>0.1418639587417552</v>
      </c>
      <c r="O797">
        <v>1.7658070012344679E-2</v>
      </c>
      <c r="P797">
        <v>1.9740733450573287E-2</v>
      </c>
      <c r="Q797">
        <v>2.1317996199213137E-3</v>
      </c>
      <c r="R797">
        <v>1.4246450621949733E-3</v>
      </c>
      <c r="S797">
        <v>0.15423217052094246</v>
      </c>
      <c r="T797">
        <v>1.0718677836476376</v>
      </c>
      <c r="U797">
        <v>2.3301586624633372E-2</v>
      </c>
      <c r="V797">
        <v>0.20424361102997934</v>
      </c>
      <c r="W797">
        <v>8.5130050058080955E-2</v>
      </c>
      <c r="X797">
        <v>1.6225229593051813E-2</v>
      </c>
      <c r="Y797">
        <v>3.8774142251761816E-3</v>
      </c>
    </row>
    <row r="798" spans="1:25" x14ac:dyDescent="0.25">
      <c r="A798" s="827"/>
      <c r="B798" s="1066">
        <v>548</v>
      </c>
      <c r="C798" s="831">
        <v>0.99328451158278253</v>
      </c>
      <c r="D798" s="831">
        <v>1.0349423060483292</v>
      </c>
      <c r="E798" s="831">
        <v>1.0449868033606911</v>
      </c>
      <c r="F798" s="831">
        <v>1.0113073020813588</v>
      </c>
      <c r="G798" s="831">
        <v>0.99054784042947819</v>
      </c>
      <c r="H798" s="831">
        <v>1.0237876156622079</v>
      </c>
      <c r="I798" s="831">
        <v>0.96699106791630951</v>
      </c>
      <c r="K798">
        <v>1.7388008842325902</v>
      </c>
      <c r="L798">
        <v>0</v>
      </c>
      <c r="M798">
        <v>1.2786026472142362E-3</v>
      </c>
      <c r="N798">
        <v>0.14813173436496541</v>
      </c>
      <c r="O798">
        <v>1.7680116461301906E-2</v>
      </c>
      <c r="P798">
        <v>2.0336787976430511E-2</v>
      </c>
      <c r="Q798">
        <v>2.247349876340008E-3</v>
      </c>
      <c r="R798">
        <v>1.270890228239276E-3</v>
      </c>
      <c r="S798">
        <v>0.14822967880833615</v>
      </c>
      <c r="T798">
        <v>1.0674083193426149</v>
      </c>
      <c r="U798">
        <v>2.3480208969672858E-2</v>
      </c>
      <c r="V798">
        <v>0.20377947893530049</v>
      </c>
      <c r="W798">
        <v>8.5901877307748356E-2</v>
      </c>
      <c r="X798">
        <v>1.8154100356438097E-2</v>
      </c>
      <c r="Y798">
        <v>3.458944252416165E-3</v>
      </c>
    </row>
    <row r="799" spans="1:25" x14ac:dyDescent="0.25">
      <c r="A799" s="827"/>
      <c r="B799" s="1066">
        <v>549</v>
      </c>
      <c r="C799" s="831">
        <v>0.96419306596171228</v>
      </c>
      <c r="D799" s="831">
        <v>0.9993664229461845</v>
      </c>
      <c r="E799" s="831">
        <v>0.97455501406394596</v>
      </c>
      <c r="F799" s="831">
        <v>1.0413352577602546</v>
      </c>
      <c r="G799" s="831">
        <v>1.0078796404228219</v>
      </c>
      <c r="H799" s="831">
        <v>0.98330980756206532</v>
      </c>
      <c r="I799" s="831">
        <v>1.0017376731629193</v>
      </c>
      <c r="K799">
        <v>1.7486905706712346</v>
      </c>
      <c r="L799">
        <v>0</v>
      </c>
      <c r="M799">
        <v>1.4910642205576477E-3</v>
      </c>
      <c r="N799">
        <v>0.13874380814915391</v>
      </c>
      <c r="O799">
        <v>1.8503860223963046E-2</v>
      </c>
      <c r="P799">
        <v>1.9607027226902607E-2</v>
      </c>
      <c r="Q799">
        <v>2.1858980141696198E-3</v>
      </c>
      <c r="R799">
        <v>1.481726426256328E-3</v>
      </c>
      <c r="S799">
        <v>0.15748093332781885</v>
      </c>
      <c r="T799">
        <v>1.0736322123675053</v>
      </c>
      <c r="U799">
        <v>2.4188649267084996E-2</v>
      </c>
      <c r="V799">
        <v>0.21023818178971426</v>
      </c>
      <c r="W799">
        <v>8.4403143250194337E-2</v>
      </c>
      <c r="X799">
        <v>1.5683423967742312E-2</v>
      </c>
      <c r="Y799">
        <v>4.0327708812845841E-3</v>
      </c>
    </row>
    <row r="800" spans="1:25" x14ac:dyDescent="0.25">
      <c r="A800" s="827"/>
      <c r="B800" s="1066">
        <v>550</v>
      </c>
      <c r="C800" s="831">
        <v>1.0205383037145013</v>
      </c>
      <c r="D800" s="831">
        <v>0.97986802322376843</v>
      </c>
      <c r="E800" s="831">
        <v>0.99521073244860159</v>
      </c>
      <c r="F800" s="831">
        <v>1.0044864389789734</v>
      </c>
      <c r="G800" s="831">
        <v>1.000467924898502</v>
      </c>
      <c r="H800" s="831">
        <v>1.0221545549759616</v>
      </c>
      <c r="I800" s="831">
        <v>1.0103107679720811</v>
      </c>
      <c r="K800">
        <v>1.7387764251726092</v>
      </c>
      <c r="L800">
        <v>0</v>
      </c>
      <c r="M800">
        <v>1.4147734062692281E-3</v>
      </c>
      <c r="N800">
        <v>0.14042758235891914</v>
      </c>
      <c r="O800">
        <v>1.7639161306135732E-2</v>
      </c>
      <c r="P800">
        <v>1.9766911616150542E-2</v>
      </c>
      <c r="Q800">
        <v>2.1243850268774563E-3</v>
      </c>
      <c r="R800">
        <v>1.4062638363185646E-3</v>
      </c>
      <c r="S800">
        <v>0.15407888776334538</v>
      </c>
      <c r="T800">
        <v>1.0717874967911019</v>
      </c>
      <c r="U800">
        <v>2.2853162701894775E-2</v>
      </c>
      <c r="V800">
        <v>0.20586758280964393</v>
      </c>
      <c r="W800">
        <v>8.4215879006653657E-2</v>
      </c>
      <c r="X800">
        <v>1.6196498774126003E-2</v>
      </c>
      <c r="Y800">
        <v>3.8273865877100793E-3</v>
      </c>
    </row>
    <row r="801" spans="1:25" x14ac:dyDescent="0.25">
      <c r="A801" s="827"/>
      <c r="B801" s="1066">
        <v>551</v>
      </c>
      <c r="C801" s="831">
        <v>1.0096791160443113</v>
      </c>
      <c r="D801" s="831">
        <v>1.0168688709383815</v>
      </c>
      <c r="E801" s="831">
        <v>0.99462805659066755</v>
      </c>
      <c r="F801" s="831">
        <v>0.96513657933708263</v>
      </c>
      <c r="G801" s="831">
        <v>1.0182537393412909</v>
      </c>
      <c r="H801" s="831">
        <v>1.0053838339223811</v>
      </c>
      <c r="I801" s="831">
        <v>0.99405730983126983</v>
      </c>
      <c r="K801">
        <v>1.7268410527881437</v>
      </c>
      <c r="L801">
        <v>0</v>
      </c>
      <c r="M801">
        <v>1.3848274592586504E-3</v>
      </c>
      <c r="N801">
        <v>0.1371897602050797</v>
      </c>
      <c r="O801">
        <v>1.7531971519508527E-2</v>
      </c>
      <c r="P801">
        <v>1.9672633013936128E-2</v>
      </c>
      <c r="Q801">
        <v>2.1166633925668817E-3</v>
      </c>
      <c r="R801">
        <v>1.3763334300164478E-3</v>
      </c>
      <c r="S801">
        <v>0.14971171723247262</v>
      </c>
      <c r="T801">
        <v>1.0718393141023672</v>
      </c>
      <c r="U801">
        <v>2.3098950476142778E-2</v>
      </c>
      <c r="V801">
        <v>0.20363660798215658</v>
      </c>
      <c r="W801">
        <v>8.230704861574302E-2</v>
      </c>
      <c r="X801">
        <v>1.599895438910091E-2</v>
      </c>
      <c r="Y801">
        <v>3.7459258883115018E-3</v>
      </c>
    </row>
    <row r="802" spans="1:25" x14ac:dyDescent="0.25">
      <c r="A802" s="827"/>
      <c r="B802" s="1066">
        <v>552</v>
      </c>
      <c r="C802" s="831">
        <v>0.95566051923030604</v>
      </c>
      <c r="D802" s="831">
        <v>0.97901482891282277</v>
      </c>
      <c r="E802" s="831">
        <v>0.96222911701354619</v>
      </c>
      <c r="F802" s="831">
        <v>0.97729298631565953</v>
      </c>
      <c r="G802" s="831">
        <v>0.98938914172931314</v>
      </c>
      <c r="H802" s="831">
        <v>1.0128640758754981</v>
      </c>
      <c r="I802" s="831">
        <v>0.99315745572211556</v>
      </c>
      <c r="K802">
        <v>1.7658688239201865</v>
      </c>
      <c r="L802">
        <v>0</v>
      </c>
      <c r="M802">
        <v>1.605027800977103E-3</v>
      </c>
      <c r="N802">
        <v>0.14374444511095957</v>
      </c>
      <c r="O802">
        <v>1.8844099189762743E-2</v>
      </c>
      <c r="P802">
        <v>1.9527561561556675E-2</v>
      </c>
      <c r="Q802">
        <v>2.1944719653494947E-3</v>
      </c>
      <c r="R802">
        <v>1.5952860388207895E-3</v>
      </c>
      <c r="S802">
        <v>0.16110430504472734</v>
      </c>
      <c r="T802">
        <v>1.0747406423084624</v>
      </c>
      <c r="U802">
        <v>2.4404615895493198E-2</v>
      </c>
      <c r="V802">
        <v>0.21322884359300096</v>
      </c>
      <c r="W802">
        <v>8.8202518136509131E-2</v>
      </c>
      <c r="X802">
        <v>1.5545220164750221E-2</v>
      </c>
      <c r="Y802">
        <v>4.3418427117688264E-3</v>
      </c>
    </row>
    <row r="803" spans="1:25" x14ac:dyDescent="0.25">
      <c r="A803" s="827"/>
      <c r="B803" s="1066">
        <v>553</v>
      </c>
      <c r="C803" s="831">
        <v>0.98424180262782091</v>
      </c>
      <c r="D803" s="831">
        <v>0.96925102700059074</v>
      </c>
      <c r="E803" s="831">
        <v>0.99448586070191369</v>
      </c>
      <c r="F803" s="831">
        <v>0.99885051605715791</v>
      </c>
      <c r="G803" s="831">
        <v>0.99727068518683804</v>
      </c>
      <c r="H803" s="831">
        <v>1.0036619442788812</v>
      </c>
      <c r="I803" s="831">
        <v>0.97644623966113464</v>
      </c>
      <c r="K803">
        <v>1.7506989748233015</v>
      </c>
      <c r="L803">
        <v>0</v>
      </c>
      <c r="M803">
        <v>1.4497561592113301E-3</v>
      </c>
      <c r="N803">
        <v>0.14356041371795503</v>
      </c>
      <c r="O803">
        <v>1.8380406000864557E-2</v>
      </c>
      <c r="P803">
        <v>1.983225269519889E-2</v>
      </c>
      <c r="Q803">
        <v>2.2100386900179691E-3</v>
      </c>
      <c r="R803">
        <v>1.4408834952510015E-3</v>
      </c>
      <c r="S803">
        <v>0.15377287350874583</v>
      </c>
      <c r="T803">
        <v>1.0718519615129392</v>
      </c>
      <c r="U803">
        <v>2.3695933088834997E-2</v>
      </c>
      <c r="V803">
        <v>0.21086398674958384</v>
      </c>
      <c r="W803">
        <v>8.6137536990371813E-2</v>
      </c>
      <c r="X803">
        <v>1.6480834645792277E-2</v>
      </c>
      <c r="Y803">
        <v>3.9216098869566717E-3</v>
      </c>
    </row>
    <row r="804" spans="1:25" x14ac:dyDescent="0.25">
      <c r="A804" s="827"/>
      <c r="B804" s="1066">
        <v>554</v>
      </c>
      <c r="C804" s="831">
        <v>0.9887942478129641</v>
      </c>
      <c r="D804" s="831">
        <v>1.0309392236818093</v>
      </c>
      <c r="E804" s="831">
        <v>0.97385183831603184</v>
      </c>
      <c r="F804" s="831">
        <v>1.0111491038270535</v>
      </c>
      <c r="G804" s="831">
        <v>0.97798186813687127</v>
      </c>
      <c r="H804" s="831">
        <v>0.98765676791664525</v>
      </c>
      <c r="I804" s="831">
        <v>1.0164781663831852</v>
      </c>
      <c r="K804">
        <v>1.7299808842929454</v>
      </c>
      <c r="L804">
        <v>0</v>
      </c>
      <c r="M804">
        <v>1.442146241636509E-3</v>
      </c>
      <c r="N804">
        <v>0.1338997741270963</v>
      </c>
      <c r="O804">
        <v>1.7791490610384868E-2</v>
      </c>
      <c r="P804">
        <v>1.9469278980389713E-2</v>
      </c>
      <c r="Q804">
        <v>2.1055572907848529E-3</v>
      </c>
      <c r="R804">
        <v>1.4331319132160167E-3</v>
      </c>
      <c r="S804">
        <v>0.15414455256120901</v>
      </c>
      <c r="T804">
        <v>1.0736952936436586</v>
      </c>
      <c r="U804">
        <v>2.3586836138952533E-2</v>
      </c>
      <c r="V804">
        <v>0.20460630243673361</v>
      </c>
      <c r="W804">
        <v>8.1496249563833001E-2</v>
      </c>
      <c r="X804">
        <v>1.5294050632354598E-2</v>
      </c>
      <c r="Y804">
        <v>3.9005126359657753E-3</v>
      </c>
    </row>
    <row r="805" spans="1:25" x14ac:dyDescent="0.25">
      <c r="A805" s="827"/>
      <c r="B805" s="1066">
        <v>555</v>
      </c>
      <c r="C805" s="831">
        <v>1.0301735360970361</v>
      </c>
      <c r="D805" s="831">
        <v>0.99389075401643701</v>
      </c>
      <c r="E805" s="831">
        <v>1.0172490976401696</v>
      </c>
      <c r="F805" s="831">
        <v>0.9701625605677795</v>
      </c>
      <c r="G805" s="831">
        <v>0.98283496842789841</v>
      </c>
      <c r="H805" s="831">
        <v>1.0019969964024842</v>
      </c>
      <c r="I805" s="831">
        <v>0.99750163968306493</v>
      </c>
      <c r="K805">
        <v>1.7244894449704833</v>
      </c>
      <c r="L805">
        <v>0</v>
      </c>
      <c r="M805">
        <v>1.3031178872421705E-3</v>
      </c>
      <c r="N805">
        <v>0.13850211045797764</v>
      </c>
      <c r="O805">
        <v>1.7361898206700865E-2</v>
      </c>
      <c r="P805">
        <v>1.9952932093959479E-2</v>
      </c>
      <c r="Q805">
        <v>2.1401767566648776E-3</v>
      </c>
      <c r="R805">
        <v>1.2951128958157824E-3</v>
      </c>
      <c r="S805">
        <v>0.14840893554252513</v>
      </c>
      <c r="T805">
        <v>1.0698370393780403</v>
      </c>
      <c r="U805">
        <v>2.2639416643009495E-2</v>
      </c>
      <c r="V805">
        <v>0.20357585580233523</v>
      </c>
      <c r="W805">
        <v>8.1823358999625798E-2</v>
      </c>
      <c r="X805">
        <v>1.6730855712510546E-2</v>
      </c>
      <c r="Y805">
        <v>3.5248703685591943E-3</v>
      </c>
    </row>
    <row r="806" spans="1:25" x14ac:dyDescent="0.25">
      <c r="A806" s="827"/>
      <c r="B806" s="1066">
        <v>556</v>
      </c>
      <c r="C806" s="831">
        <v>0.96651573666375723</v>
      </c>
      <c r="D806" s="831">
        <v>1.0199121381701528</v>
      </c>
      <c r="E806" s="831">
        <v>0.97906315150494838</v>
      </c>
      <c r="F806" s="831">
        <v>1.0169200377244239</v>
      </c>
      <c r="G806" s="831">
        <v>0.99634195969277817</v>
      </c>
      <c r="H806" s="831">
        <v>1.0224143128337433</v>
      </c>
      <c r="I806" s="831">
        <v>1.0334041454425795</v>
      </c>
      <c r="K806">
        <v>1.7595276995870952</v>
      </c>
      <c r="L806">
        <v>0</v>
      </c>
      <c r="M806">
        <v>1.5180479941362263E-3</v>
      </c>
      <c r="N806">
        <v>0.14328630558837338</v>
      </c>
      <c r="O806">
        <v>1.8290205999305417E-2</v>
      </c>
      <c r="P806">
        <v>1.9722226356503936E-2</v>
      </c>
      <c r="Q806">
        <v>2.1742048746795804E-3</v>
      </c>
      <c r="R806">
        <v>1.5088897277188208E-3</v>
      </c>
      <c r="S806">
        <v>0.16368257119898638</v>
      </c>
      <c r="T806">
        <v>1.0732282322344764</v>
      </c>
      <c r="U806">
        <v>2.413052060467058E-2</v>
      </c>
      <c r="V806">
        <v>0.20805015775182023</v>
      </c>
      <c r="W806">
        <v>8.6893663241685987E-2</v>
      </c>
      <c r="X806">
        <v>1.597206956952547E-2</v>
      </c>
      <c r="Y806">
        <v>4.1067004334855682E-3</v>
      </c>
    </row>
    <row r="807" spans="1:25" x14ac:dyDescent="0.25">
      <c r="A807" s="827"/>
      <c r="B807" s="1066">
        <v>557</v>
      </c>
      <c r="C807" s="831">
        <v>1.0055804170970375</v>
      </c>
      <c r="D807" s="831">
        <v>1.0108404213292765</v>
      </c>
      <c r="E807" s="831">
        <v>1.0262731488110244</v>
      </c>
      <c r="F807" s="831">
        <v>1.0196670844476561</v>
      </c>
      <c r="G807" s="831">
        <v>0.97965658868544248</v>
      </c>
      <c r="H807" s="831">
        <v>0.99026771409422154</v>
      </c>
      <c r="I807" s="831">
        <v>0.99436575410164596</v>
      </c>
      <c r="K807">
        <v>1.7299652213156886</v>
      </c>
      <c r="L807">
        <v>0</v>
      </c>
      <c r="M807">
        <v>1.2845789709964828E-3</v>
      </c>
      <c r="N807">
        <v>0.14040128325449799</v>
      </c>
      <c r="O807">
        <v>1.7650830599229509E-2</v>
      </c>
      <c r="P807">
        <v>2.0113685194704304E-2</v>
      </c>
      <c r="Q807">
        <v>2.1984228037607682E-3</v>
      </c>
      <c r="R807">
        <v>1.2765834028685714E-3</v>
      </c>
      <c r="S807">
        <v>0.1496718981404401</v>
      </c>
      <c r="T807">
        <v>1.0690436881584451</v>
      </c>
      <c r="U807">
        <v>2.3193100722498024E-2</v>
      </c>
      <c r="V807">
        <v>0.20460145563714419</v>
      </c>
      <c r="W807">
        <v>8.244241308438166E-2</v>
      </c>
      <c r="X807">
        <v>1.7182000091712411E-2</v>
      </c>
      <c r="Y807">
        <v>3.4744391970025945E-3</v>
      </c>
    </row>
    <row r="808" spans="1:25" x14ac:dyDescent="0.25">
      <c r="A808" s="827"/>
      <c r="B808" s="1066">
        <v>558</v>
      </c>
      <c r="C808" s="831">
        <v>0.97338794164981302</v>
      </c>
      <c r="D808" s="831">
        <v>0.998419250666575</v>
      </c>
      <c r="E808" s="831">
        <v>1.0037689845391495</v>
      </c>
      <c r="F808" s="831">
        <v>0.96217731667663187</v>
      </c>
      <c r="G808" s="831">
        <v>1.0159331841516943</v>
      </c>
      <c r="H808" s="831">
        <v>1.0102053112965894</v>
      </c>
      <c r="I808" s="831">
        <v>0.99847931918364552</v>
      </c>
      <c r="K808">
        <v>1.7553425821535822</v>
      </c>
      <c r="L808">
        <v>0</v>
      </c>
      <c r="M808">
        <v>1.4275995388138831E-3</v>
      </c>
      <c r="N808">
        <v>0.14551259102068281</v>
      </c>
      <c r="O808">
        <v>1.8336943207624051E-2</v>
      </c>
      <c r="P808">
        <v>1.9992166216751532E-2</v>
      </c>
      <c r="Q808">
        <v>2.2309557005449183E-3</v>
      </c>
      <c r="R808">
        <v>1.4188978908919471E-3</v>
      </c>
      <c r="S808">
        <v>0.15752904241406609</v>
      </c>
      <c r="T808">
        <v>1.0710278879043988</v>
      </c>
      <c r="U808">
        <v>2.3960156994315508E-2</v>
      </c>
      <c r="V808">
        <v>0.20926937716484675</v>
      </c>
      <c r="W808">
        <v>8.6755704652524399E-2</v>
      </c>
      <c r="X808">
        <v>1.6874686206305937E-2</v>
      </c>
      <c r="Y808">
        <v>3.8617723194438558E-3</v>
      </c>
    </row>
    <row r="809" spans="1:25" x14ac:dyDescent="0.25">
      <c r="A809" s="827"/>
      <c r="B809" s="1066">
        <v>559</v>
      </c>
      <c r="C809" s="831">
        <v>1.0065907504241913</v>
      </c>
      <c r="D809" s="831">
        <v>0.98685965786548679</v>
      </c>
      <c r="E809" s="831">
        <v>0.99995485434844256</v>
      </c>
      <c r="F809" s="831">
        <v>0.98046034719366082</v>
      </c>
      <c r="G809" s="831">
        <v>1.0284819546393515</v>
      </c>
      <c r="H809" s="831">
        <v>1.0207256022055533</v>
      </c>
      <c r="I809" s="831">
        <v>1.0021290682122455</v>
      </c>
      <c r="K809">
        <v>1.7432561334421444</v>
      </c>
      <c r="L809">
        <v>0</v>
      </c>
      <c r="M809">
        <v>1.4135738598682142E-3</v>
      </c>
      <c r="N809">
        <v>0.14239342374803873</v>
      </c>
      <c r="O809">
        <v>1.7825957272834422E-2</v>
      </c>
      <c r="P809">
        <v>1.9851211279933445E-2</v>
      </c>
      <c r="Q809">
        <v>2.1584268422235164E-3</v>
      </c>
      <c r="R809">
        <v>1.4050546248160127E-3</v>
      </c>
      <c r="S809">
        <v>0.15438802719696335</v>
      </c>
      <c r="T809">
        <v>1.071366079033004</v>
      </c>
      <c r="U809">
        <v>2.3169821388160712E-2</v>
      </c>
      <c r="V809">
        <v>0.20669142988889919</v>
      </c>
      <c r="W809">
        <v>8.5117594821884135E-2</v>
      </c>
      <c r="X809">
        <v>1.6478585692638693E-2</v>
      </c>
      <c r="Y809">
        <v>3.8240955126165981E-3</v>
      </c>
    </row>
    <row r="810" spans="1:25" x14ac:dyDescent="0.25">
      <c r="A810" s="827"/>
      <c r="B810" s="1066">
        <v>560</v>
      </c>
      <c r="C810" s="831">
        <v>1.0105113208637451</v>
      </c>
      <c r="D810" s="831">
        <v>1.0093953012024754</v>
      </c>
      <c r="E810" s="831">
        <v>1.0007234468167856</v>
      </c>
      <c r="F810" s="831">
        <v>1.0097887528367517</v>
      </c>
      <c r="G810" s="831">
        <v>0.99884047381586549</v>
      </c>
      <c r="H810" s="831">
        <v>0.96862982238589967</v>
      </c>
      <c r="I810" s="831">
        <v>0.9603360676660937</v>
      </c>
      <c r="K810">
        <v>1.71292806427716</v>
      </c>
      <c r="L810">
        <v>0</v>
      </c>
      <c r="M810">
        <v>1.320499720588644E-3</v>
      </c>
      <c r="N810">
        <v>0.13329118421204161</v>
      </c>
      <c r="O810">
        <v>1.7576074076658885E-2</v>
      </c>
      <c r="P810">
        <v>1.9663736311722819E-2</v>
      </c>
      <c r="Q810">
        <v>2.1337643328469525E-3</v>
      </c>
      <c r="R810">
        <v>1.3120979412666958E-3</v>
      </c>
      <c r="S810">
        <v>0.14245977094542706</v>
      </c>
      <c r="T810">
        <v>1.0712978853216755</v>
      </c>
      <c r="U810">
        <v>2.3079927376140646E-2</v>
      </c>
      <c r="V810">
        <v>0.20421473394372663</v>
      </c>
      <c r="W810">
        <v>7.9634726846742859E-2</v>
      </c>
      <c r="X810">
        <v>1.6013564626340092E-2</v>
      </c>
      <c r="Y810">
        <v>3.5710980631578522E-3</v>
      </c>
    </row>
    <row r="811" spans="1:25" x14ac:dyDescent="0.25">
      <c r="A811" s="827"/>
      <c r="B811" s="1066">
        <v>561</v>
      </c>
      <c r="C811" s="831">
        <v>0.98697636963237423</v>
      </c>
      <c r="D811" s="831">
        <v>1.0043552085519867</v>
      </c>
      <c r="E811" s="831">
        <v>0.97954536534534731</v>
      </c>
      <c r="F811" s="831">
        <v>0.98404867958045528</v>
      </c>
      <c r="G811" s="831">
        <v>1.0187168722217652</v>
      </c>
      <c r="H811" s="831">
        <v>1.0180183146306014</v>
      </c>
      <c r="I811" s="831">
        <v>0.98848670651015036</v>
      </c>
      <c r="K811">
        <v>1.7436473869092062</v>
      </c>
      <c r="L811">
        <v>0</v>
      </c>
      <c r="M811">
        <v>1.4889936803512784E-3</v>
      </c>
      <c r="N811">
        <v>0.14075261900410321</v>
      </c>
      <c r="O811">
        <v>1.8036000085217361E-2</v>
      </c>
      <c r="P811">
        <v>1.9580389045738261E-2</v>
      </c>
      <c r="Q811">
        <v>2.1423544420805748E-3</v>
      </c>
      <c r="R811">
        <v>1.4799831242624415E-3</v>
      </c>
      <c r="S811">
        <v>0.15398788699804156</v>
      </c>
      <c r="T811">
        <v>1.0731850656004338</v>
      </c>
      <c r="U811">
        <v>2.3630279929589684E-2</v>
      </c>
      <c r="V811">
        <v>0.2071963413725505</v>
      </c>
      <c r="W811">
        <v>8.5328580004998641E-2</v>
      </c>
      <c r="X811">
        <v>1.5788854794603055E-2</v>
      </c>
      <c r="Y811">
        <v>4.0280261879365731E-3</v>
      </c>
    </row>
    <row r="812" spans="1:25" x14ac:dyDescent="0.25">
      <c r="A812" s="827"/>
      <c r="B812" s="1066">
        <v>562</v>
      </c>
      <c r="C812" s="831">
        <v>0.95952099731353191</v>
      </c>
      <c r="D812" s="831">
        <v>1.0131774501249933</v>
      </c>
      <c r="E812" s="831">
        <v>1.0281655183407199</v>
      </c>
      <c r="F812" s="831">
        <v>0.98725613565124959</v>
      </c>
      <c r="G812" s="831">
        <v>0.99807321934297832</v>
      </c>
      <c r="H812" s="831">
        <v>1.0033497108719021</v>
      </c>
      <c r="I812" s="831">
        <v>1.0207070734323791</v>
      </c>
      <c r="K812">
        <v>1.7639924987231121</v>
      </c>
      <c r="L812">
        <v>0</v>
      </c>
      <c r="M812">
        <v>1.3571622964729032E-3</v>
      </c>
      <c r="N812">
        <v>0.14922058058673215</v>
      </c>
      <c r="O812">
        <v>1.8478802483665496E-2</v>
      </c>
      <c r="P812">
        <v>2.0392214689065505E-2</v>
      </c>
      <c r="Q812">
        <v>2.3062977954647497E-3</v>
      </c>
      <c r="R812">
        <v>1.3488235305393508E-3</v>
      </c>
      <c r="S812">
        <v>0.16185083646616727</v>
      </c>
      <c r="T812">
        <v>1.0688777116438579</v>
      </c>
      <c r="U812">
        <v>2.4306427856817778E-2</v>
      </c>
      <c r="V812">
        <v>0.20947334810234336</v>
      </c>
      <c r="W812">
        <v>8.7509771495426741E-2</v>
      </c>
      <c r="X812">
        <v>1.7913793358932503E-2</v>
      </c>
      <c r="Y812">
        <v>3.67105301057077E-3</v>
      </c>
    </row>
    <row r="813" spans="1:25" x14ac:dyDescent="0.25">
      <c r="A813" s="827"/>
      <c r="B813" s="1066">
        <v>563</v>
      </c>
      <c r="C813" s="831">
        <v>1.0162791974889098</v>
      </c>
      <c r="D813" s="831">
        <v>1.0387894808924476</v>
      </c>
      <c r="E813" s="831">
        <v>1.0220655437836175</v>
      </c>
      <c r="F813" s="831">
        <v>0.97127417457336895</v>
      </c>
      <c r="G813" s="831">
        <v>0.99677113101084203</v>
      </c>
      <c r="H813" s="831">
        <v>0.96222295838663374</v>
      </c>
      <c r="I813" s="831">
        <v>0.96684906116359404</v>
      </c>
      <c r="K813">
        <v>1.704017051306931</v>
      </c>
      <c r="L813">
        <v>0</v>
      </c>
      <c r="M813">
        <v>1.2308525248364288E-3</v>
      </c>
      <c r="N813">
        <v>0.13275655033554606</v>
      </c>
      <c r="O813">
        <v>1.7251184949510837E-2</v>
      </c>
      <c r="P813">
        <v>1.9877496808185031E-2</v>
      </c>
      <c r="Q813">
        <v>2.14442546942018E-3</v>
      </c>
      <c r="R813">
        <v>1.2229507625312463E-3</v>
      </c>
      <c r="S813">
        <v>0.14049932003852972</v>
      </c>
      <c r="T813">
        <v>1.0694132166082162</v>
      </c>
      <c r="U813">
        <v>2.2948937610776671E-2</v>
      </c>
      <c r="V813">
        <v>0.2010719658986887</v>
      </c>
      <c r="W813">
        <v>7.8174491273055716E-2</v>
      </c>
      <c r="X813">
        <v>1.6558895247307703E-2</v>
      </c>
      <c r="Y813">
        <v>3.3284688299995307E-3</v>
      </c>
    </row>
    <row r="814" spans="1:25" x14ac:dyDescent="0.25">
      <c r="A814" s="827"/>
      <c r="B814" s="1066">
        <v>564</v>
      </c>
      <c r="C814" s="831">
        <v>1.0307065310191788</v>
      </c>
      <c r="D814" s="831">
        <v>0.98055896211928284</v>
      </c>
      <c r="E814" s="831">
        <v>1.028191481101393</v>
      </c>
      <c r="F814" s="831">
        <v>0.99065801416896371</v>
      </c>
      <c r="G814" s="831">
        <v>0.99362146606663326</v>
      </c>
      <c r="H814" s="831">
        <v>1.0147514639116495</v>
      </c>
      <c r="I814" s="831">
        <v>1.0359705211529309</v>
      </c>
      <c r="K814">
        <v>1.7390127374255904</v>
      </c>
      <c r="L814">
        <v>0</v>
      </c>
      <c r="M814">
        <v>1.2967835944645849E-3</v>
      </c>
      <c r="N814">
        <v>0.14260563926391537</v>
      </c>
      <c r="O814">
        <v>1.745955700669061E-2</v>
      </c>
      <c r="P814">
        <v>2.0219665590576349E-2</v>
      </c>
      <c r="Q814">
        <v>2.1732962303073707E-3</v>
      </c>
      <c r="R814">
        <v>1.2889263490150581E-3</v>
      </c>
      <c r="S814">
        <v>0.15584867307887387</v>
      </c>
      <c r="T814">
        <v>1.0688754354387171</v>
      </c>
      <c r="U814">
        <v>2.2627709436595388E-2</v>
      </c>
      <c r="V814">
        <v>0.20474550402490921</v>
      </c>
      <c r="W814">
        <v>8.3629010607530002E-2</v>
      </c>
      <c r="X814">
        <v>1.7328071365362348E-2</v>
      </c>
      <c r="Y814">
        <v>3.5080326275622286E-3</v>
      </c>
    </row>
    <row r="815" spans="1:25" x14ac:dyDescent="0.25">
      <c r="A815" s="827"/>
      <c r="B815" s="1066">
        <v>565</v>
      </c>
      <c r="C815" s="831">
        <v>0.99742644774375533</v>
      </c>
      <c r="D815" s="831">
        <v>1.0095151547216195</v>
      </c>
      <c r="E815" s="831">
        <v>0.95502886415294841</v>
      </c>
      <c r="F815" s="831">
        <v>0.99721420633837499</v>
      </c>
      <c r="G815" s="831">
        <v>1.0004417289445584</v>
      </c>
      <c r="H815" s="831">
        <v>0.99597217596030474</v>
      </c>
      <c r="I815" s="831">
        <v>0.98816193843334454</v>
      </c>
      <c r="K815">
        <v>1.7268773349300295</v>
      </c>
      <c r="L815">
        <v>0</v>
      </c>
      <c r="M815">
        <v>1.5139474905515231E-3</v>
      </c>
      <c r="N815">
        <v>0.13255897207802014</v>
      </c>
      <c r="O815">
        <v>1.7805691598262008E-2</v>
      </c>
      <c r="P815">
        <v>1.917258107604999E-2</v>
      </c>
      <c r="Q815">
        <v>2.0634438280680528E-3</v>
      </c>
      <c r="R815">
        <v>1.5045792382354171E-3</v>
      </c>
      <c r="S815">
        <v>0.15043956693997534</v>
      </c>
      <c r="T815">
        <v>1.0753907688662665</v>
      </c>
      <c r="U815">
        <v>2.3382704510252674E-2</v>
      </c>
      <c r="V815">
        <v>0.20558980731895157</v>
      </c>
      <c r="W815">
        <v>8.1752634949007155E-2</v>
      </c>
      <c r="X815">
        <v>1.4635563315425253E-2</v>
      </c>
      <c r="Y815">
        <v>4.0949687020642202E-3</v>
      </c>
    </row>
    <row r="816" spans="1:25" x14ac:dyDescent="0.25">
      <c r="A816" s="827"/>
      <c r="B816" s="1066">
        <v>566</v>
      </c>
      <c r="C816" s="831">
        <v>0.99697286830369414</v>
      </c>
      <c r="D816" s="831">
        <v>0.9921566745363597</v>
      </c>
      <c r="E816" s="831">
        <v>1.0035983621542988</v>
      </c>
      <c r="F816" s="831">
        <v>1.0176894249796602</v>
      </c>
      <c r="G816" s="831">
        <v>1.0109006671156058</v>
      </c>
      <c r="H816" s="831">
        <v>0.9819220309306923</v>
      </c>
      <c r="I816" s="831">
        <v>1.0022411651976768</v>
      </c>
      <c r="K816">
        <v>1.7355518274057045</v>
      </c>
      <c r="L816">
        <v>0</v>
      </c>
      <c r="M816">
        <v>1.3591570317337414E-3</v>
      </c>
      <c r="N816">
        <v>0.1384388632891432</v>
      </c>
      <c r="O816">
        <v>1.795428290139027E-2</v>
      </c>
      <c r="P816">
        <v>1.9888706925957556E-2</v>
      </c>
      <c r="Q816">
        <v>2.1828966270382188E-3</v>
      </c>
      <c r="R816">
        <v>1.3506383145150207E-3</v>
      </c>
      <c r="S816">
        <v>0.15273774526331846</v>
      </c>
      <c r="T816">
        <v>1.0710430049048352</v>
      </c>
      <c r="U816">
        <v>2.3393342627252692E-2</v>
      </c>
      <c r="V816">
        <v>0.20723745345428782</v>
      </c>
      <c r="W816">
        <v>8.2547906710432717E-2</v>
      </c>
      <c r="X816">
        <v>1.6460151164957568E-2</v>
      </c>
      <c r="Y816">
        <v>3.6759922543091669E-3</v>
      </c>
    </row>
    <row r="817" spans="1:25" x14ac:dyDescent="0.25">
      <c r="A817" s="827"/>
      <c r="B817" s="1066">
        <v>567</v>
      </c>
      <c r="C817" s="831">
        <v>0.95522533795807074</v>
      </c>
      <c r="D817" s="831">
        <v>0.96049275919680488</v>
      </c>
      <c r="E817" s="831">
        <v>0.99644272421208324</v>
      </c>
      <c r="F817" s="831">
        <v>1.0077774616609212</v>
      </c>
      <c r="G817" s="831">
        <v>1.0302686806101398</v>
      </c>
      <c r="H817" s="831">
        <v>1.031005112610063</v>
      </c>
      <c r="I817" s="831">
        <v>0.9730755448403291</v>
      </c>
      <c r="K817">
        <v>1.7789045452155285</v>
      </c>
      <c r="L817">
        <v>0</v>
      </c>
      <c r="M817">
        <v>1.5345005377288589E-3</v>
      </c>
      <c r="N817">
        <v>0.15290600643853416</v>
      </c>
      <c r="O817">
        <v>1.9017101314117577E-2</v>
      </c>
      <c r="P817">
        <v>2.0019439962866484E-2</v>
      </c>
      <c r="Q817">
        <v>2.2893709244663088E-3</v>
      </c>
      <c r="R817">
        <v>1.5253651825405581E-3</v>
      </c>
      <c r="S817">
        <v>0.16053223892702143</v>
      </c>
      <c r="T817">
        <v>1.0716779780258499</v>
      </c>
      <c r="U817">
        <v>2.4415734143064517E-2</v>
      </c>
      <c r="V817">
        <v>0.2151725152689519</v>
      </c>
      <c r="W817">
        <v>9.1621825899146969E-2</v>
      </c>
      <c r="X817">
        <v>1.7109928476317992E-2</v>
      </c>
      <c r="Y817">
        <v>4.1515411903781151E-3</v>
      </c>
    </row>
    <row r="818" spans="1:25" x14ac:dyDescent="0.25">
      <c r="A818" s="827"/>
      <c r="B818" s="1066">
        <v>568</v>
      </c>
      <c r="C818" s="831">
        <v>1.0093554812944869</v>
      </c>
      <c r="D818" s="831">
        <v>0.99729716839547211</v>
      </c>
      <c r="E818" s="831">
        <v>0.97703672273855047</v>
      </c>
      <c r="F818" s="831">
        <v>0.98903848999961563</v>
      </c>
      <c r="G818" s="831">
        <v>0.97318665825253292</v>
      </c>
      <c r="H818" s="831">
        <v>0.9742203255369698</v>
      </c>
      <c r="I818" s="831">
        <v>1.0014422489424388</v>
      </c>
      <c r="K818">
        <v>1.7219092703957946</v>
      </c>
      <c r="L818">
        <v>0</v>
      </c>
      <c r="M818">
        <v>1.4051713000397905E-3</v>
      </c>
      <c r="N818">
        <v>0.13175909939973038</v>
      </c>
      <c r="O818">
        <v>1.7692533307816703E-2</v>
      </c>
      <c r="P818">
        <v>1.9460124539243236E-2</v>
      </c>
      <c r="Q818">
        <v>2.0949890479017379E-3</v>
      </c>
      <c r="R818">
        <v>1.3962908084012978E-3</v>
      </c>
      <c r="S818">
        <v>0.14987148892696264</v>
      </c>
      <c r="T818">
        <v>1.0734097287795279</v>
      </c>
      <c r="U818">
        <v>2.3106356809389186E-2</v>
      </c>
      <c r="V818">
        <v>0.20543098682100905</v>
      </c>
      <c r="W818">
        <v>8.0015762054533507E-2</v>
      </c>
      <c r="X818">
        <v>1.5276837907991033E-2</v>
      </c>
      <c r="Y818">
        <v>3.8002432933270493E-3</v>
      </c>
    </row>
    <row r="819" spans="1:25" x14ac:dyDescent="0.25">
      <c r="A819" s="827"/>
      <c r="B819" s="1066">
        <v>569</v>
      </c>
      <c r="C819" s="831">
        <v>1.0205694623241308</v>
      </c>
      <c r="D819" s="831">
        <v>1.0046527428906444</v>
      </c>
      <c r="E819" s="831">
        <v>0.98608971792708311</v>
      </c>
      <c r="F819" s="831">
        <v>0.98717199870821015</v>
      </c>
      <c r="G819" s="831">
        <v>1.0030275958703034</v>
      </c>
      <c r="H819" s="831">
        <v>0.99478392915789815</v>
      </c>
      <c r="I819" s="831">
        <v>1.0111531512944369</v>
      </c>
      <c r="K819">
        <v>1.7227732630892423</v>
      </c>
      <c r="L819">
        <v>0</v>
      </c>
      <c r="M819">
        <v>1.3877227319756451E-3</v>
      </c>
      <c r="N819">
        <v>0.13386224412242817</v>
      </c>
      <c r="O819">
        <v>1.7439987794649333E-2</v>
      </c>
      <c r="P819">
        <v>1.956579763426931E-2</v>
      </c>
      <c r="Q819">
        <v>2.085412884873814E-3</v>
      </c>
      <c r="R819">
        <v>1.3791286651213272E-3</v>
      </c>
      <c r="S819">
        <v>0.15066620024160296</v>
      </c>
      <c r="T819">
        <v>1.0726000949829013</v>
      </c>
      <c r="U819">
        <v>2.2852464980865725E-2</v>
      </c>
      <c r="V819">
        <v>0.20359084872057029</v>
      </c>
      <c r="W819">
        <v>8.0784468205772425E-2</v>
      </c>
      <c r="X819">
        <v>1.5580803991346082E-2</v>
      </c>
      <c r="Y819">
        <v>3.7535335968179808E-3</v>
      </c>
    </row>
    <row r="820" spans="1:25" x14ac:dyDescent="0.25">
      <c r="A820" s="827"/>
      <c r="B820" s="1066">
        <v>570</v>
      </c>
      <c r="C820" s="831">
        <v>1.0269545060703302</v>
      </c>
      <c r="D820" s="831">
        <v>1.0207875305330685</v>
      </c>
      <c r="E820" s="831">
        <v>0.99560229730442718</v>
      </c>
      <c r="F820" s="831">
        <v>1.007635239330714</v>
      </c>
      <c r="G820" s="831">
        <v>0.97941947309447186</v>
      </c>
      <c r="H820" s="831">
        <v>0.95743708187224119</v>
      </c>
      <c r="I820" s="831">
        <v>0.99586266165243764</v>
      </c>
      <c r="K820">
        <v>1.7030648192130935</v>
      </c>
      <c r="L820">
        <v>0</v>
      </c>
      <c r="M820">
        <v>1.2917000621192206E-3</v>
      </c>
      <c r="N820">
        <v>0.12831262958273645</v>
      </c>
      <c r="O820">
        <v>1.7207110506600554E-2</v>
      </c>
      <c r="P820">
        <v>1.9573029002170585E-2</v>
      </c>
      <c r="Q820">
        <v>2.0801325798122223E-3</v>
      </c>
      <c r="R820">
        <v>1.2833779002518933E-3</v>
      </c>
      <c r="S820">
        <v>0.14391893569894926</v>
      </c>
      <c r="T820">
        <v>1.071752682155841</v>
      </c>
      <c r="U820">
        <v>2.2710380801139355E-2</v>
      </c>
      <c r="V820">
        <v>0.20152590110217641</v>
      </c>
      <c r="W820">
        <v>7.6929735639949037E-2</v>
      </c>
      <c r="X820">
        <v>1.5569672726511011E-2</v>
      </c>
      <c r="Y820">
        <v>3.4929315790745369E-3</v>
      </c>
    </row>
    <row r="821" spans="1:25" x14ac:dyDescent="0.25">
      <c r="A821" s="827"/>
      <c r="B821" s="1066">
        <v>571</v>
      </c>
      <c r="C821" s="831">
        <v>1.0163341258911647</v>
      </c>
      <c r="D821" s="831">
        <v>0.99736285806149372</v>
      </c>
      <c r="E821" s="831">
        <v>1.0132090370583822</v>
      </c>
      <c r="F821" s="831">
        <v>0.96399704625424365</v>
      </c>
      <c r="G821" s="831">
        <v>1.0206192264847724</v>
      </c>
      <c r="H821" s="831">
        <v>0.99851410966438958</v>
      </c>
      <c r="I821" s="831">
        <v>0.97361639139019251</v>
      </c>
      <c r="K821">
        <v>1.7256000195111956</v>
      </c>
      <c r="L821">
        <v>0</v>
      </c>
      <c r="M821">
        <v>1.3254501234173772E-3</v>
      </c>
      <c r="N821">
        <v>0.13911482516516988</v>
      </c>
      <c r="O821">
        <v>1.7570523380498956E-2</v>
      </c>
      <c r="P821">
        <v>1.9890186123994368E-2</v>
      </c>
      <c r="Q821">
        <v>2.1578074306872709E-3</v>
      </c>
      <c r="R821">
        <v>1.317277218575231E-3</v>
      </c>
      <c r="S821">
        <v>0.14637541065398782</v>
      </c>
      <c r="T821">
        <v>1.0701932216119987</v>
      </c>
      <c r="U821">
        <v>2.2947697321343982E-2</v>
      </c>
      <c r="V821">
        <v>0.2046922769614174</v>
      </c>
      <c r="W821">
        <v>8.2410435395191578E-2</v>
      </c>
      <c r="X821">
        <v>1.6670614023105199E-2</v>
      </c>
      <c r="Y821">
        <v>3.585194348643381E-3</v>
      </c>
    </row>
    <row r="822" spans="1:25" x14ac:dyDescent="0.25">
      <c r="A822" s="827"/>
      <c r="B822" s="1066">
        <v>572</v>
      </c>
      <c r="C822" s="831">
        <v>0.99483209439974185</v>
      </c>
      <c r="D822" s="831">
        <v>1.0159122085633807</v>
      </c>
      <c r="E822" s="831">
        <v>0.98743656561519422</v>
      </c>
      <c r="F822" s="831">
        <v>0.99641432393461615</v>
      </c>
      <c r="G822" s="831">
        <v>1.0335991873477397</v>
      </c>
      <c r="H822" s="831">
        <v>1.0420490297266394</v>
      </c>
      <c r="I822" s="831">
        <v>1.0117803185233358</v>
      </c>
      <c r="K822">
        <v>1.7481286884257967</v>
      </c>
      <c r="L822">
        <v>0</v>
      </c>
      <c r="M822">
        <v>1.4795792257493088E-3</v>
      </c>
      <c r="N822">
        <v>0.1433625078035016</v>
      </c>
      <c r="O822">
        <v>1.7801194632158884E-2</v>
      </c>
      <c r="P822">
        <v>1.9705752673922976E-2</v>
      </c>
      <c r="Q822">
        <v>2.1334473423446744E-3</v>
      </c>
      <c r="R822">
        <v>1.4708240062286065E-3</v>
      </c>
      <c r="S822">
        <v>0.1573733018239869</v>
      </c>
      <c r="T822">
        <v>1.0724799061309656</v>
      </c>
      <c r="U822">
        <v>2.3443682637094093E-2</v>
      </c>
      <c r="V822">
        <v>0.20529143905781944</v>
      </c>
      <c r="W822">
        <v>8.6437341900267139E-2</v>
      </c>
      <c r="X822">
        <v>1.6105771555304391E-2</v>
      </c>
      <c r="Y822">
        <v>4.0030980879509209E-3</v>
      </c>
    </row>
    <row r="823" spans="1:25" x14ac:dyDescent="0.25">
      <c r="A823" s="827"/>
      <c r="B823" s="1066">
        <v>573</v>
      </c>
      <c r="C823" s="831">
        <v>0.99711212906211533</v>
      </c>
      <c r="D823" s="831">
        <v>0.98540572591368991</v>
      </c>
      <c r="E823" s="831">
        <v>0.99978633010374007</v>
      </c>
      <c r="F823" s="831">
        <v>0.99949335181626031</v>
      </c>
      <c r="G823" s="831">
        <v>1.0180305389415256</v>
      </c>
      <c r="H823" s="831">
        <v>0.98534066583478097</v>
      </c>
      <c r="I823" s="831">
        <v>0.99745466884551537</v>
      </c>
      <c r="K823">
        <v>1.737197708730968</v>
      </c>
      <c r="L823">
        <v>0</v>
      </c>
      <c r="M823">
        <v>1.3789520408494453E-3</v>
      </c>
      <c r="N823">
        <v>0.13880293308663572</v>
      </c>
      <c r="O823">
        <v>1.8007454073882819E-2</v>
      </c>
      <c r="P823">
        <v>1.9844355084855866E-2</v>
      </c>
      <c r="Q823">
        <v>2.1797683160211579E-3</v>
      </c>
      <c r="R823">
        <v>1.3703440597439926E-3</v>
      </c>
      <c r="S823">
        <v>0.15266587282664926</v>
      </c>
      <c r="T823">
        <v>1.0713810344026355</v>
      </c>
      <c r="U823">
        <v>2.3390075417335864E-2</v>
      </c>
      <c r="V823">
        <v>0.20785891818108934</v>
      </c>
      <c r="W823">
        <v>8.2980899409103553E-2</v>
      </c>
      <c r="X823">
        <v>1.6365381117037205E-2</v>
      </c>
      <c r="Y823">
        <v>3.7296247968252602E-3</v>
      </c>
    </row>
    <row r="824" spans="1:25" x14ac:dyDescent="0.25">
      <c r="A824" s="827"/>
      <c r="B824" s="1066">
        <v>574</v>
      </c>
      <c r="C824" s="831">
        <v>1.0230170536188368</v>
      </c>
      <c r="D824" s="831">
        <v>1.0064232236088841</v>
      </c>
      <c r="E824" s="831">
        <v>0.98343207496159579</v>
      </c>
      <c r="F824" s="831">
        <v>1.0042945900876199</v>
      </c>
      <c r="G824" s="831">
        <v>0.97382324429312106</v>
      </c>
      <c r="H824" s="831">
        <v>0.99600965796785923</v>
      </c>
      <c r="I824" s="831">
        <v>0.97633471612002376</v>
      </c>
      <c r="K824">
        <v>1.7158238687757981</v>
      </c>
      <c r="L824">
        <v>0</v>
      </c>
      <c r="M824">
        <v>1.3927600571890489E-3</v>
      </c>
      <c r="N824">
        <v>0.13324157099226083</v>
      </c>
      <c r="O824">
        <v>1.7384400812642083E-2</v>
      </c>
      <c r="P824">
        <v>1.9448530523305786E-2</v>
      </c>
      <c r="Q824">
        <v>2.0734715283199905E-3</v>
      </c>
      <c r="R824">
        <v>1.3841441769629312E-3</v>
      </c>
      <c r="S824">
        <v>0.145107819446469</v>
      </c>
      <c r="T824">
        <v>1.0728374556846783</v>
      </c>
      <c r="U824">
        <v>2.2797789944753788E-2</v>
      </c>
      <c r="V824">
        <v>0.20318287220877243</v>
      </c>
      <c r="W824">
        <v>8.0557824762424027E-2</v>
      </c>
      <c r="X824">
        <v>1.5433564585709991E-2</v>
      </c>
      <c r="Y824">
        <v>3.7671841666877923E-3</v>
      </c>
    </row>
    <row r="825" spans="1:25" x14ac:dyDescent="0.25">
      <c r="A825" s="827"/>
      <c r="B825" s="1066">
        <v>575</v>
      </c>
      <c r="C825" s="831">
        <v>1.0314314265028075</v>
      </c>
      <c r="D825" s="831">
        <v>0.99257930302811281</v>
      </c>
      <c r="E825" s="831">
        <v>0.95675480583142802</v>
      </c>
      <c r="F825" s="831">
        <v>1.0079408857630698</v>
      </c>
      <c r="G825" s="831">
        <v>0.99766095572327962</v>
      </c>
      <c r="H825" s="831">
        <v>1.027663333920261</v>
      </c>
      <c r="I825" s="831">
        <v>0.98328444655302616</v>
      </c>
      <c r="K825">
        <v>1.7223668971857677</v>
      </c>
      <c r="L825">
        <v>0</v>
      </c>
      <c r="M825">
        <v>1.5167417880618326E-3</v>
      </c>
      <c r="N825">
        <v>0.13354775357177184</v>
      </c>
      <c r="O825">
        <v>1.7351107046024074E-2</v>
      </c>
      <c r="P825">
        <v>1.9126576843376514E-2</v>
      </c>
      <c r="Q825">
        <v>2.0115516670515467E-3</v>
      </c>
      <c r="R825">
        <v>1.5076581987630102E-3</v>
      </c>
      <c r="S825">
        <v>0.14795789552853203</v>
      </c>
      <c r="T825">
        <v>1.075234753379483</v>
      </c>
      <c r="U825">
        <v>2.261180656224621E-2</v>
      </c>
      <c r="V825">
        <v>0.20356681764457391</v>
      </c>
      <c r="W825">
        <v>8.22621760012473E-2</v>
      </c>
      <c r="X825">
        <v>1.4602193913119323E-2</v>
      </c>
      <c r="Y825">
        <v>4.1033486176412642E-3</v>
      </c>
    </row>
    <row r="826" spans="1:25" x14ac:dyDescent="0.25">
      <c r="A826" s="827"/>
      <c r="B826" s="1066">
        <v>576</v>
      </c>
      <c r="C826" s="831">
        <v>1.0163510975907206</v>
      </c>
      <c r="D826" s="831">
        <v>0.98948141588033234</v>
      </c>
      <c r="E826" s="831">
        <v>0.97842450992087182</v>
      </c>
      <c r="F826" s="831">
        <v>0.96733989236424534</v>
      </c>
      <c r="G826" s="831">
        <v>1.0308235899012566</v>
      </c>
      <c r="H826" s="831">
        <v>1.025916764032198</v>
      </c>
      <c r="I826" s="831">
        <v>0.97989071479383982</v>
      </c>
      <c r="K826">
        <v>1.7326449887521884</v>
      </c>
      <c r="L826">
        <v>0</v>
      </c>
      <c r="M826">
        <v>1.4705067071820804E-3</v>
      </c>
      <c r="N826">
        <v>0.13852794653223047</v>
      </c>
      <c r="O826">
        <v>1.7633534644935021E-2</v>
      </c>
      <c r="P826">
        <v>1.9474438455054678E-2</v>
      </c>
      <c r="Q826">
        <v>2.0896011142130465E-3</v>
      </c>
      <c r="R826">
        <v>1.4616872784899699E-3</v>
      </c>
      <c r="S826">
        <v>0.1497082943719599</v>
      </c>
      <c r="T826">
        <v>1.073285415352236</v>
      </c>
      <c r="U826">
        <v>2.2947314125590763E-2</v>
      </c>
      <c r="V826">
        <v>0.20541107223230387</v>
      </c>
      <c r="W826">
        <v>8.4045302371695024E-2</v>
      </c>
      <c r="X826">
        <v>1.5552658053690653E-2</v>
      </c>
      <c r="Y826">
        <v>3.9782309269678429E-3</v>
      </c>
    </row>
    <row r="827" spans="1:25" x14ac:dyDescent="0.25">
      <c r="A827" s="827"/>
      <c r="B827" s="1066">
        <v>577</v>
      </c>
      <c r="C827" s="831">
        <v>0.99908219581241142</v>
      </c>
      <c r="D827" s="831">
        <v>1.0084416692644658</v>
      </c>
      <c r="E827" s="831">
        <v>0.9948929973178664</v>
      </c>
      <c r="F827" s="831">
        <v>0.98338994653410683</v>
      </c>
      <c r="G827" s="831">
        <v>0.9908771819435569</v>
      </c>
      <c r="H827" s="831">
        <v>1.0207512675460135</v>
      </c>
      <c r="I827" s="831">
        <v>1.0186095900532115</v>
      </c>
      <c r="K827">
        <v>1.7433392032981661</v>
      </c>
      <c r="L827">
        <v>0</v>
      </c>
      <c r="M827">
        <v>1.4254651162290621E-3</v>
      </c>
      <c r="N827">
        <v>0.14134578471094819</v>
      </c>
      <c r="O827">
        <v>1.7784742602345752E-2</v>
      </c>
      <c r="P827">
        <v>1.9799923508014336E-2</v>
      </c>
      <c r="Q827">
        <v>2.1462995363277608E-3</v>
      </c>
      <c r="R827">
        <v>1.4168592582609139E-3</v>
      </c>
      <c r="S827">
        <v>0.15669298364248166</v>
      </c>
      <c r="T827">
        <v>1.0718157513605382</v>
      </c>
      <c r="U827">
        <v>2.3343953076191394E-2</v>
      </c>
      <c r="V827">
        <v>0.2055087807082277</v>
      </c>
      <c r="W827">
        <v>8.4785029204510684E-2</v>
      </c>
      <c r="X827">
        <v>1.6268336973090415E-2</v>
      </c>
      <c r="Y827">
        <v>3.8562238334572492E-3</v>
      </c>
    </row>
    <row r="828" spans="1:25" x14ac:dyDescent="0.25">
      <c r="A828" s="827"/>
      <c r="B828" s="1066">
        <v>578</v>
      </c>
      <c r="C828" s="831">
        <v>0.9988819043031435</v>
      </c>
      <c r="D828" s="831">
        <v>1.0017769676992703</v>
      </c>
      <c r="E828" s="831">
        <v>1.0222039709333817</v>
      </c>
      <c r="F828" s="831">
        <v>1.0398827462286466</v>
      </c>
      <c r="G828" s="831">
        <v>0.97726346603015513</v>
      </c>
      <c r="H828" s="831">
        <v>0.99162441765979559</v>
      </c>
      <c r="I828" s="831">
        <v>0.98154754818061396</v>
      </c>
      <c r="K828">
        <v>1.7339799282654125</v>
      </c>
      <c r="L828">
        <v>0</v>
      </c>
      <c r="M828">
        <v>1.3114808980083704E-3</v>
      </c>
      <c r="N828">
        <v>0.14154344999674598</v>
      </c>
      <c r="O828">
        <v>1.7841784828912008E-2</v>
      </c>
      <c r="P828">
        <v>2.0078472979580646E-2</v>
      </c>
      <c r="Q828">
        <v>2.2116276853235734E-3</v>
      </c>
      <c r="R828">
        <v>1.3033350126360308E-3</v>
      </c>
      <c r="S828">
        <v>0.14938543482519961</v>
      </c>
      <c r="T828">
        <v>1.0694010487154244</v>
      </c>
      <c r="U828">
        <v>2.3348633905400294E-2</v>
      </c>
      <c r="V828">
        <v>0.20613970363428968</v>
      </c>
      <c r="W828">
        <v>8.3340936350710354E-2</v>
      </c>
      <c r="X828">
        <v>1.7149732969073541E-2</v>
      </c>
      <c r="Y828">
        <v>3.5472482601238298E-3</v>
      </c>
    </row>
    <row r="829" spans="1:25" x14ac:dyDescent="0.25">
      <c r="A829" s="827"/>
      <c r="B829" s="1066">
        <v>579</v>
      </c>
      <c r="C829" s="831">
        <v>0.97768073922479881</v>
      </c>
      <c r="D829" s="831">
        <v>0.98531462346368459</v>
      </c>
      <c r="E829" s="831">
        <v>0.97008635295380241</v>
      </c>
      <c r="F829" s="831">
        <v>0.99829528997482697</v>
      </c>
      <c r="G829" s="831">
        <v>1.0117504014504644</v>
      </c>
      <c r="H829" s="831">
        <v>0.98769931779272491</v>
      </c>
      <c r="I829" s="831">
        <v>1.0040370379899266</v>
      </c>
      <c r="K829">
        <v>1.7461315871274297</v>
      </c>
      <c r="L829">
        <v>0</v>
      </c>
      <c r="M829">
        <v>1.5005550839943826E-3</v>
      </c>
      <c r="N829">
        <v>0.13770012584124453</v>
      </c>
      <c r="O829">
        <v>1.8366122434992204E-2</v>
      </c>
      <c r="P829">
        <v>1.9530665810066645E-2</v>
      </c>
      <c r="Q829">
        <v>2.1572369485506155E-3</v>
      </c>
      <c r="R829">
        <v>1.4912104468580718E-3</v>
      </c>
      <c r="S829">
        <v>0.15690867166005742</v>
      </c>
      <c r="T829">
        <v>1.0740334075559428</v>
      </c>
      <c r="U829">
        <v>2.3854952810869138E-2</v>
      </c>
      <c r="V829">
        <v>0.21003687373300828</v>
      </c>
      <c r="W829">
        <v>8.402979014536488E-2</v>
      </c>
      <c r="X829">
        <v>1.5464501565510365E-2</v>
      </c>
      <c r="Y829">
        <v>4.0585832589559783E-3</v>
      </c>
    </row>
    <row r="830" spans="1:25" x14ac:dyDescent="0.25">
      <c r="A830" s="827"/>
      <c r="B830" s="1066">
        <v>580</v>
      </c>
      <c r="C830" s="831">
        <v>0.99169488313913456</v>
      </c>
      <c r="D830" s="831">
        <v>1.0150667014111783</v>
      </c>
      <c r="E830" s="831">
        <v>0.98740230995231915</v>
      </c>
      <c r="F830" s="831">
        <v>1.0286074992720902</v>
      </c>
      <c r="G830" s="831">
        <v>1.0115154925952756</v>
      </c>
      <c r="H830" s="831">
        <v>1.0201201553178725</v>
      </c>
      <c r="I830" s="831">
        <v>0.97512456613458787</v>
      </c>
      <c r="K830">
        <v>1.7376396197687438</v>
      </c>
      <c r="L830">
        <v>0</v>
      </c>
      <c r="M830">
        <v>1.4536762589327245E-3</v>
      </c>
      <c r="N830">
        <v>0.14081967479824015</v>
      </c>
      <c r="O830">
        <v>1.7864232376618151E-2</v>
      </c>
      <c r="P830">
        <v>1.9621198001664786E-2</v>
      </c>
      <c r="Q830">
        <v>2.1407831625109511E-3</v>
      </c>
      <c r="R830">
        <v>1.4448899975445897E-3</v>
      </c>
      <c r="S830">
        <v>0.15066677004278198</v>
      </c>
      <c r="T830">
        <v>1.0724829621626208</v>
      </c>
      <c r="U830">
        <v>2.3517846360644228E-2</v>
      </c>
      <c r="V830">
        <v>0.20570425104940654</v>
      </c>
      <c r="W830">
        <v>8.4906203102075445E-2</v>
      </c>
      <c r="X830">
        <v>1.5991970708110204E-2</v>
      </c>
      <c r="Y830">
        <v>3.932514265456692E-3</v>
      </c>
    </row>
    <row r="831" spans="1:25" x14ac:dyDescent="0.25">
      <c r="A831" s="827"/>
      <c r="B831" s="1066">
        <v>581</v>
      </c>
      <c r="C831" s="831">
        <v>1.0266154742460194</v>
      </c>
      <c r="D831" s="831">
        <v>0.99234783479305833</v>
      </c>
      <c r="E831" s="831">
        <v>0.98740644503147168</v>
      </c>
      <c r="F831" s="831">
        <v>0.96991998508634003</v>
      </c>
      <c r="G831" s="831">
        <v>0.9812752778493844</v>
      </c>
      <c r="H831" s="831">
        <v>0.96912566704160152</v>
      </c>
      <c r="I831" s="831">
        <v>1.0037051096378302</v>
      </c>
      <c r="K831">
        <v>1.7143114915348199</v>
      </c>
      <c r="L831">
        <v>0</v>
      </c>
      <c r="M831">
        <v>1.3477490699520815E-3</v>
      </c>
      <c r="N831">
        <v>0.13051980050535616</v>
      </c>
      <c r="O831">
        <v>1.7434346129376464E-2</v>
      </c>
      <c r="P831">
        <v>1.9547443271319062E-2</v>
      </c>
      <c r="Q831">
        <v>2.0854102921832895E-3</v>
      </c>
      <c r="R831">
        <v>1.339190181638838E-3</v>
      </c>
      <c r="S831">
        <v>0.14763111689524952</v>
      </c>
      <c r="T831">
        <v>1.0724825932597262</v>
      </c>
      <c r="U831">
        <v>2.2717880728840553E-2</v>
      </c>
      <c r="V831">
        <v>0.20408036679430042</v>
      </c>
      <c r="W831">
        <v>7.8695743857291056E-2</v>
      </c>
      <c r="X831">
        <v>1.5480514478995216E-2</v>
      </c>
      <c r="Y831">
        <v>3.6448342104961856E-3</v>
      </c>
    </row>
    <row r="832" spans="1:25" x14ac:dyDescent="0.25">
      <c r="A832" s="827"/>
      <c r="B832" s="1066">
        <v>582</v>
      </c>
      <c r="C832" s="831">
        <v>1.008607348761551</v>
      </c>
      <c r="D832" s="831">
        <v>0.97180076954274819</v>
      </c>
      <c r="E832" s="831">
        <v>0.98300235614782305</v>
      </c>
      <c r="F832" s="831">
        <v>0.99640863665843149</v>
      </c>
      <c r="G832" s="831">
        <v>1.0413336581223973</v>
      </c>
      <c r="H832" s="831">
        <v>0.9618275827554964</v>
      </c>
      <c r="I832" s="831">
        <v>0.9661437224864361</v>
      </c>
      <c r="K832">
        <v>1.7207833537440524</v>
      </c>
      <c r="L832">
        <v>0</v>
      </c>
      <c r="M832">
        <v>1.3872369710929875E-3</v>
      </c>
      <c r="N832">
        <v>0.13250879387034847</v>
      </c>
      <c r="O832">
        <v>1.7914971713840332E-2</v>
      </c>
      <c r="P832">
        <v>1.9514684750651178E-2</v>
      </c>
      <c r="Q832">
        <v>2.1296659501438392E-3</v>
      </c>
      <c r="R832">
        <v>1.3783757331939843E-3</v>
      </c>
      <c r="S832">
        <v>0.14539811579462839</v>
      </c>
      <c r="T832">
        <v>1.0728758598902799</v>
      </c>
      <c r="U832">
        <v>2.3123495904467172E-2</v>
      </c>
      <c r="V832">
        <v>0.20790783127730095</v>
      </c>
      <c r="W832">
        <v>8.0138625988208922E-2</v>
      </c>
      <c r="X832">
        <v>1.5528685477764261E-2</v>
      </c>
      <c r="Y832">
        <v>3.751484364315695E-3</v>
      </c>
    </row>
    <row r="833" spans="1:25" x14ac:dyDescent="0.25">
      <c r="A833" s="827"/>
      <c r="B833" s="1066">
        <v>583</v>
      </c>
      <c r="C833" s="831">
        <v>0.97024554021270204</v>
      </c>
      <c r="D833" s="831">
        <v>0.96148502420376236</v>
      </c>
      <c r="E833" s="831">
        <v>1.0152705238290929</v>
      </c>
      <c r="F833" s="831">
        <v>1.0139161752429204</v>
      </c>
      <c r="G833" s="831">
        <v>1.0243182176478696</v>
      </c>
      <c r="H833" s="831">
        <v>0.96221858990865117</v>
      </c>
      <c r="I833" s="831">
        <v>1.0247212741769851</v>
      </c>
      <c r="K833">
        <v>1.7582244334598602</v>
      </c>
      <c r="L833">
        <v>0</v>
      </c>
      <c r="M833">
        <v>1.3544562965751221E-3</v>
      </c>
      <c r="N833">
        <v>0.14304221174281104</v>
      </c>
      <c r="O833">
        <v>1.8713904820676745E-2</v>
      </c>
      <c r="P833">
        <v>2.0254010761558756E-2</v>
      </c>
      <c r="Q833">
        <v>2.295971210436822E-3</v>
      </c>
      <c r="R833">
        <v>1.3458156194514426E-3</v>
      </c>
      <c r="S833">
        <v>0.16105467736984611</v>
      </c>
      <c r="T833">
        <v>1.0700113983887389</v>
      </c>
      <c r="U833">
        <v>2.4037758414421909E-2</v>
      </c>
      <c r="V833">
        <v>0.21327234506263335</v>
      </c>
      <c r="W833">
        <v>8.4618722440062466E-2</v>
      </c>
      <c r="X833">
        <v>1.7269207457648421E-2</v>
      </c>
      <c r="Y833">
        <v>3.6628664681471073E-3</v>
      </c>
    </row>
    <row r="834" spans="1:25" x14ac:dyDescent="0.25">
      <c r="A834" s="827"/>
      <c r="B834" s="1066">
        <v>584</v>
      </c>
      <c r="C834" s="831">
        <v>1.0103700685238823</v>
      </c>
      <c r="D834" s="831">
        <v>1.0095416814167291</v>
      </c>
      <c r="E834" s="831">
        <v>0.97988535469390348</v>
      </c>
      <c r="F834" s="831">
        <v>1.0081067665599073</v>
      </c>
      <c r="G834" s="831">
        <v>0.99131934261466947</v>
      </c>
      <c r="H834" s="831">
        <v>0.97777115788199342</v>
      </c>
      <c r="I834" s="831">
        <v>1.0212099336439024</v>
      </c>
      <c r="K834">
        <v>1.7225245629699695</v>
      </c>
      <c r="L834">
        <v>0</v>
      </c>
      <c r="M834">
        <v>1.3927703431052374E-3</v>
      </c>
      <c r="N834">
        <v>0.13176291747284566</v>
      </c>
      <c r="O834">
        <v>1.7577377961199552E-2</v>
      </c>
      <c r="P834">
        <v>1.951308182142952E-2</v>
      </c>
      <c r="Q834">
        <v>2.089478850662766E-3</v>
      </c>
      <c r="R834">
        <v>1.3839914818405748E-3</v>
      </c>
      <c r="S834">
        <v>0.15216252863852231</v>
      </c>
      <c r="T834">
        <v>1.0731546358150652</v>
      </c>
      <c r="U834">
        <v>2.308315400947758E-2</v>
      </c>
      <c r="V834">
        <v>0.20421592627279309</v>
      </c>
      <c r="W834">
        <v>7.9859899433696202E-2</v>
      </c>
      <c r="X834">
        <v>1.534757297463973E-2</v>
      </c>
      <c r="Y834">
        <v>3.7667685809006702E-3</v>
      </c>
    </row>
    <row r="835" spans="1:25" x14ac:dyDescent="0.25">
      <c r="A835" s="827"/>
      <c r="B835" s="1066">
        <v>585</v>
      </c>
      <c r="C835" s="831">
        <v>0.98480189308831456</v>
      </c>
      <c r="D835" s="831">
        <v>1.0044000192680202</v>
      </c>
      <c r="E835" s="831">
        <v>1.0047042005407447</v>
      </c>
      <c r="F835" s="831">
        <v>1.0142712065343074</v>
      </c>
      <c r="G835" s="831">
        <v>0.99663412126328732</v>
      </c>
      <c r="H835" s="831">
        <v>1.0174580624104728</v>
      </c>
      <c r="I835" s="831">
        <v>1.0006457380510045</v>
      </c>
      <c r="K835">
        <v>1.7498653362723073</v>
      </c>
      <c r="L835">
        <v>0</v>
      </c>
      <c r="M835">
        <v>1.4145590168660948E-3</v>
      </c>
      <c r="N835">
        <v>0.14460927714137436</v>
      </c>
      <c r="O835">
        <v>1.8075459088888857E-2</v>
      </c>
      <c r="P835">
        <v>1.9957559407800744E-2</v>
      </c>
      <c r="Q835">
        <v>2.2022829124752658E-3</v>
      </c>
      <c r="R835">
        <v>1.4059941530908202E-3</v>
      </c>
      <c r="S835">
        <v>0.1561825523710568</v>
      </c>
      <c r="T835">
        <v>1.0709450480826388</v>
      </c>
      <c r="U835">
        <v>2.3682456402641869E-2</v>
      </c>
      <c r="V835">
        <v>0.20743419962672432</v>
      </c>
      <c r="W835">
        <v>8.6162151040629617E-2</v>
      </c>
      <c r="X835">
        <v>1.6796262462986478E-2</v>
      </c>
      <c r="Y835">
        <v>3.8266525988652103E-3</v>
      </c>
    </row>
    <row r="836" spans="1:25" x14ac:dyDescent="0.25">
      <c r="A836" s="827"/>
      <c r="B836" s="1066">
        <v>586</v>
      </c>
      <c r="C836" s="831">
        <v>1.0250333942305483</v>
      </c>
      <c r="D836" s="831">
        <v>0.99160141799439805</v>
      </c>
      <c r="E836" s="831">
        <v>0.97691996523818125</v>
      </c>
      <c r="F836" s="831">
        <v>1.0072610671459454</v>
      </c>
      <c r="G836" s="831">
        <v>0.98590124390605782</v>
      </c>
      <c r="H836" s="831">
        <v>0.9792095679272308</v>
      </c>
      <c r="I836" s="831">
        <v>0.99267525587496441</v>
      </c>
      <c r="K836">
        <v>1.7154722980834936</v>
      </c>
      <c r="L836">
        <v>0</v>
      </c>
      <c r="M836">
        <v>1.3947182111601402E-3</v>
      </c>
      <c r="N836">
        <v>0.13073598773534331</v>
      </c>
      <c r="O836">
        <v>1.7467213137193446E-2</v>
      </c>
      <c r="P836">
        <v>1.9400067580879147E-2</v>
      </c>
      <c r="Q836">
        <v>2.0670892238088853E-3</v>
      </c>
      <c r="R836">
        <v>1.3859527957958654E-3</v>
      </c>
      <c r="S836">
        <v>0.1469835269099429</v>
      </c>
      <c r="T836">
        <v>1.0734201908318688</v>
      </c>
      <c r="U836">
        <v>2.275294446949256E-2</v>
      </c>
      <c r="V836">
        <v>0.20431340393852185</v>
      </c>
      <c r="W836">
        <v>7.940088451007879E-2</v>
      </c>
      <c r="X836">
        <v>1.5167648530789987E-2</v>
      </c>
      <c r="Y836">
        <v>3.7721066309400007E-3</v>
      </c>
    </row>
    <row r="837" spans="1:25" x14ac:dyDescent="0.25">
      <c r="A837" s="827"/>
      <c r="B837" s="1066">
        <v>587</v>
      </c>
      <c r="C837" s="831">
        <v>1.0250016152177479</v>
      </c>
      <c r="D837" s="831">
        <v>0.99215882829854352</v>
      </c>
      <c r="E837" s="831">
        <v>0.99544310254039858</v>
      </c>
      <c r="F837" s="831">
        <v>0.9905427200789414</v>
      </c>
      <c r="G837" s="831">
        <v>0.95723630868433607</v>
      </c>
      <c r="H837" s="831">
        <v>1.0253362215794715</v>
      </c>
      <c r="I837" s="831">
        <v>0.98911491742914326</v>
      </c>
      <c r="K837">
        <v>1.7307067823905267</v>
      </c>
      <c r="L837">
        <v>0</v>
      </c>
      <c r="M837">
        <v>1.4043504368037119E-3</v>
      </c>
      <c r="N837">
        <v>0.13949561974152336</v>
      </c>
      <c r="O837">
        <v>1.7463304486176459E-2</v>
      </c>
      <c r="P837">
        <v>1.9686470643717618E-2</v>
      </c>
      <c r="Q837">
        <v>2.1058650304565506E-3</v>
      </c>
      <c r="R837">
        <v>1.3959211498050348E-3</v>
      </c>
      <c r="S837">
        <v>0.1496334839605771</v>
      </c>
      <c r="T837">
        <v>1.0717668357104002</v>
      </c>
      <c r="U837">
        <v>2.2753649898735618E-2</v>
      </c>
      <c r="V837">
        <v>0.20426593416702776</v>
      </c>
      <c r="W837">
        <v>8.3643627694509989E-2</v>
      </c>
      <c r="X837">
        <v>1.6101183139916167E-2</v>
      </c>
      <c r="Y837">
        <v>3.7992372044859438E-3</v>
      </c>
    </row>
    <row r="838" spans="1:25" x14ac:dyDescent="0.25">
      <c r="A838" s="827"/>
      <c r="B838" s="1066">
        <v>588</v>
      </c>
      <c r="C838" s="831">
        <v>0.99424662923630891</v>
      </c>
      <c r="D838" s="831">
        <v>0.98490746134719009</v>
      </c>
      <c r="E838" s="831">
        <v>0.97166503141353944</v>
      </c>
      <c r="F838" s="831">
        <v>1.0321919766015795</v>
      </c>
      <c r="G838" s="831">
        <v>0.95570050759100078</v>
      </c>
      <c r="H838" s="831">
        <v>0.99382979927453274</v>
      </c>
      <c r="I838" s="831">
        <v>0.9875746762915627</v>
      </c>
      <c r="K838">
        <v>1.7365247998594691</v>
      </c>
      <c r="L838">
        <v>0</v>
      </c>
      <c r="M838">
        <v>1.4800837026156726E-3</v>
      </c>
      <c r="N838">
        <v>0.13649702156684812</v>
      </c>
      <c r="O838">
        <v>1.8063498154322229E-2</v>
      </c>
      <c r="P838">
        <v>1.9460380621350776E-2</v>
      </c>
      <c r="Q838">
        <v>2.1250434162791597E-3</v>
      </c>
      <c r="R838">
        <v>1.4709237173630991E-3</v>
      </c>
      <c r="S838">
        <v>0.15223069430650618</v>
      </c>
      <c r="T838">
        <v>1.0738915886910525</v>
      </c>
      <c r="U838">
        <v>2.3457487521197321E-2</v>
      </c>
      <c r="V838">
        <v>0.20822319327451427</v>
      </c>
      <c r="W838">
        <v>8.3203829690028222E-2</v>
      </c>
      <c r="X838">
        <v>1.537785313383081E-2</v>
      </c>
      <c r="Y838">
        <v>4.0033694687892449E-3</v>
      </c>
    </row>
    <row r="839" spans="1:25" x14ac:dyDescent="0.25">
      <c r="A839" s="827"/>
      <c r="B839" s="1066">
        <v>589</v>
      </c>
      <c r="C839" s="831">
        <v>1.0146852009331566</v>
      </c>
      <c r="D839" s="831">
        <v>1.0009128500393663</v>
      </c>
      <c r="E839" s="831">
        <v>0.95811264951381891</v>
      </c>
      <c r="F839" s="831">
        <v>1.0382943365255113</v>
      </c>
      <c r="G839" s="831">
        <v>1.0221799661561102</v>
      </c>
      <c r="H839" s="831">
        <v>1.0201003317156929</v>
      </c>
      <c r="I839" s="831">
        <v>0.99110087237200706</v>
      </c>
      <c r="K839">
        <v>1.7279747803979892</v>
      </c>
      <c r="L839">
        <v>0</v>
      </c>
      <c r="M839">
        <v>1.5203224517729525E-3</v>
      </c>
      <c r="N839">
        <v>0.13442494963725485</v>
      </c>
      <c r="O839">
        <v>1.7570772305540581E-2</v>
      </c>
      <c r="P839">
        <v>1.9197023658690915E-2</v>
      </c>
      <c r="Q839">
        <v>2.0412678100000937E-3</v>
      </c>
      <c r="R839">
        <v>1.5111436530349204E-3</v>
      </c>
      <c r="S839">
        <v>0.15053916874291226</v>
      </c>
      <c r="T839">
        <v>1.075112090058965</v>
      </c>
      <c r="U839">
        <v>2.2984988720496334E-2</v>
      </c>
      <c r="V839">
        <v>0.20453857718836532</v>
      </c>
      <c r="W839">
        <v>8.2723279573353334E-2</v>
      </c>
      <c r="X839">
        <v>1.4739006625959465E-2</v>
      </c>
      <c r="Y839">
        <v>4.1128348751897107E-3</v>
      </c>
    </row>
    <row r="840" spans="1:25" x14ac:dyDescent="0.25">
      <c r="A840" s="827"/>
      <c r="B840" s="1066">
        <v>590</v>
      </c>
      <c r="C840" s="831">
        <v>0.98895017530245388</v>
      </c>
      <c r="D840" s="831">
        <v>1.0194117015830528</v>
      </c>
      <c r="E840" s="831">
        <v>1.0002419652160468</v>
      </c>
      <c r="F840" s="831">
        <v>0.95979254967470551</v>
      </c>
      <c r="G840" s="831">
        <v>1.0317336657675302</v>
      </c>
      <c r="H840" s="831">
        <v>0.98592905411847687</v>
      </c>
      <c r="I840" s="831">
        <v>0.97534342723150402</v>
      </c>
      <c r="K840">
        <v>1.7291995897846539</v>
      </c>
      <c r="L840">
        <v>0</v>
      </c>
      <c r="M840">
        <v>1.3686621403986943E-3</v>
      </c>
      <c r="N840">
        <v>0.13796071984943228</v>
      </c>
      <c r="O840">
        <v>1.7879255952445022E-2</v>
      </c>
      <c r="P840">
        <v>1.9764994285127936E-2</v>
      </c>
      <c r="Q840">
        <v>2.1712645973798487E-3</v>
      </c>
      <c r="R840">
        <v>1.3600998866326404E-3</v>
      </c>
      <c r="S840">
        <v>0.14845165239574526</v>
      </c>
      <c r="T840">
        <v>1.0713406023835792</v>
      </c>
      <c r="U840">
        <v>2.3583117209287522E-2</v>
      </c>
      <c r="V840">
        <v>0.20561226112816913</v>
      </c>
      <c r="W840">
        <v>8.2451687756712966E-2</v>
      </c>
      <c r="X840">
        <v>1.6290852945931859E-2</v>
      </c>
      <c r="Y840">
        <v>3.7017435346069177E-3</v>
      </c>
    </row>
    <row r="841" spans="1:25" x14ac:dyDescent="0.25">
      <c r="A841" s="827"/>
      <c r="B841" s="1066">
        <v>591</v>
      </c>
      <c r="C841" s="831">
        <v>1.0193303399994047</v>
      </c>
      <c r="D841" s="831">
        <v>1.0078494175267252</v>
      </c>
      <c r="E841" s="831">
        <v>0.99701758837402177</v>
      </c>
      <c r="F841" s="831">
        <v>1.0152734693172616</v>
      </c>
      <c r="G841" s="831">
        <v>1.0130626682238857</v>
      </c>
      <c r="H841" s="831">
        <v>0.98811191601135551</v>
      </c>
      <c r="I841" s="831">
        <v>1.0199977152916968</v>
      </c>
      <c r="K841">
        <v>1.7231921088996789</v>
      </c>
      <c r="L841">
        <v>0</v>
      </c>
      <c r="M841">
        <v>1.3467980502868406E-3</v>
      </c>
      <c r="N841">
        <v>0.13440431461818103</v>
      </c>
      <c r="O841">
        <v>1.743609830372982E-2</v>
      </c>
      <c r="P841">
        <v>1.9723475768281516E-2</v>
      </c>
      <c r="Q841">
        <v>2.1086319832162195E-3</v>
      </c>
      <c r="R841">
        <v>1.3383989424919499E-3</v>
      </c>
      <c r="S841">
        <v>0.15149088020499774</v>
      </c>
      <c r="T841">
        <v>1.0716268946628189</v>
      </c>
      <c r="U841">
        <v>2.2880244983502426E-2</v>
      </c>
      <c r="V841">
        <v>0.20343372631878612</v>
      </c>
      <c r="W841">
        <v>8.050380150462301E-2</v>
      </c>
      <c r="X841">
        <v>1.5949758940964544E-2</v>
      </c>
      <c r="Y841">
        <v>3.6426807183702714E-3</v>
      </c>
    </row>
    <row r="842" spans="1:25" x14ac:dyDescent="0.25">
      <c r="A842" s="827"/>
      <c r="B842" s="1066">
        <v>592</v>
      </c>
      <c r="C842" s="831">
        <v>1.0112825348259114</v>
      </c>
      <c r="D842" s="831">
        <v>0.97622049857324733</v>
      </c>
      <c r="E842" s="831">
        <v>1.0244196419456346</v>
      </c>
      <c r="F842" s="831">
        <v>1.0157879558468239</v>
      </c>
      <c r="G842" s="831">
        <v>0.99837431906200813</v>
      </c>
      <c r="H842" s="831">
        <v>0.98953873830057337</v>
      </c>
      <c r="I842" s="831">
        <v>1.0024547179768486</v>
      </c>
      <c r="K842">
        <v>1.7372219445847727</v>
      </c>
      <c r="L842">
        <v>0</v>
      </c>
      <c r="M842">
        <v>1.3017879242284444E-3</v>
      </c>
      <c r="N842">
        <v>0.14146747341027308</v>
      </c>
      <c r="O842">
        <v>1.7830778810032765E-2</v>
      </c>
      <c r="P842">
        <v>2.015777167704989E-2</v>
      </c>
      <c r="Q842">
        <v>2.2104131547882365E-3</v>
      </c>
      <c r="R842">
        <v>1.2937023435374195E-3</v>
      </c>
      <c r="S842">
        <v>0.15217354456323401</v>
      </c>
      <c r="T842">
        <v>1.0692063877316969</v>
      </c>
      <c r="U842">
        <v>2.306232639755619E-2</v>
      </c>
      <c r="V842">
        <v>0.20719696845612226</v>
      </c>
      <c r="W842">
        <v>8.3172044754509025E-2</v>
      </c>
      <c r="X842">
        <v>1.7231289899955999E-2</v>
      </c>
      <c r="Y842">
        <v>3.5210313102459244E-3</v>
      </c>
    </row>
    <row r="843" spans="1:25" x14ac:dyDescent="0.25">
      <c r="A843" s="827"/>
      <c r="B843" s="1066">
        <v>593</v>
      </c>
      <c r="C843" s="831">
        <v>1.0006680711847982</v>
      </c>
      <c r="D843" s="831">
        <v>0.97407519334794057</v>
      </c>
      <c r="E843" s="831">
        <v>1.0122596985186807</v>
      </c>
      <c r="F843" s="831">
        <v>0.99174979599343682</v>
      </c>
      <c r="G843" s="831">
        <v>0.99842937200658077</v>
      </c>
      <c r="H843" s="831">
        <v>1.028147959378066</v>
      </c>
      <c r="I843" s="831">
        <v>1.009214315965913</v>
      </c>
      <c r="K843">
        <v>1.7552570925160871</v>
      </c>
      <c r="L843">
        <v>0</v>
      </c>
      <c r="M843">
        <v>1.4038855173210579E-3</v>
      </c>
      <c r="N843">
        <v>0.14694099134567093</v>
      </c>
      <c r="O843">
        <v>1.8037936225123324E-2</v>
      </c>
      <c r="P843">
        <v>2.0092854657798934E-2</v>
      </c>
      <c r="Q843">
        <v>2.2087966325796422E-3</v>
      </c>
      <c r="R843">
        <v>1.395494763708647E-3</v>
      </c>
      <c r="S843">
        <v>0.1577953084836845</v>
      </c>
      <c r="T843">
        <v>1.0702770073930479</v>
      </c>
      <c r="U843">
        <v>2.3306957191798025E-2</v>
      </c>
      <c r="V843">
        <v>0.20855617903977539</v>
      </c>
      <c r="W843">
        <v>8.7102651248462212E-2</v>
      </c>
      <c r="X843">
        <v>1.7148724329667613E-2</v>
      </c>
      <c r="Y843">
        <v>3.7980767220897153E-3</v>
      </c>
    </row>
    <row r="844" spans="1:25" x14ac:dyDescent="0.25">
      <c r="A844" s="827"/>
      <c r="B844" s="1066">
        <v>594</v>
      </c>
      <c r="C844" s="831">
        <v>1.0060640528261355</v>
      </c>
      <c r="D844" s="831">
        <v>0.96102750562243089</v>
      </c>
      <c r="E844" s="831">
        <v>0.97821287770242593</v>
      </c>
      <c r="F844" s="831">
        <v>0.9954947139391348</v>
      </c>
      <c r="G844" s="831">
        <v>0.99925449556766566</v>
      </c>
      <c r="H844" s="831">
        <v>1.0020441747684738</v>
      </c>
      <c r="I844" s="831">
        <v>1.0274436726294147</v>
      </c>
      <c r="K844">
        <v>1.7464369209525972</v>
      </c>
      <c r="L844">
        <v>0</v>
      </c>
      <c r="M844">
        <v>1.4709683046032194E-3</v>
      </c>
      <c r="N844">
        <v>0.13846222960151128</v>
      </c>
      <c r="O844">
        <v>1.8051550468707378E-2</v>
      </c>
      <c r="P844">
        <v>1.9647331040018479E-2</v>
      </c>
      <c r="Q844">
        <v>2.1334983333063835E-3</v>
      </c>
      <c r="R844">
        <v>1.4619576617910322E-3</v>
      </c>
      <c r="S844">
        <v>0.15873704300536903</v>
      </c>
      <c r="T844">
        <v>1.0733043679989112</v>
      </c>
      <c r="U844">
        <v>2.3181951320880433E-2</v>
      </c>
      <c r="V844">
        <v>0.20923981371208331</v>
      </c>
      <c r="W844">
        <v>8.4017783362468165E-2</v>
      </c>
      <c r="X844">
        <v>1.5691395930972935E-2</v>
      </c>
      <c r="Y844">
        <v>3.9789668211815035E-3</v>
      </c>
    </row>
    <row r="845" spans="1:25" x14ac:dyDescent="0.25">
      <c r="A845" s="827"/>
      <c r="B845" s="1066">
        <v>595</v>
      </c>
      <c r="C845" s="831">
        <v>1.0316016333413049</v>
      </c>
      <c r="D845" s="831">
        <v>1.0204998040989879</v>
      </c>
      <c r="E845" s="831">
        <v>0.99900177194463002</v>
      </c>
      <c r="F845" s="831">
        <v>0.99988358624556095</v>
      </c>
      <c r="G845" s="831">
        <v>1.0239831522780982</v>
      </c>
      <c r="H845" s="831">
        <v>1.014271780963993</v>
      </c>
      <c r="I845" s="831">
        <v>0.95783843782189471</v>
      </c>
      <c r="K845">
        <v>1.7122096332864187</v>
      </c>
      <c r="L845">
        <v>0</v>
      </c>
      <c r="M845">
        <v>1.3526716410531634E-3</v>
      </c>
      <c r="N845">
        <v>0.13584761778272872</v>
      </c>
      <c r="O845">
        <v>1.7131778683420914E-2</v>
      </c>
      <c r="P845">
        <v>1.9579368478823692E-2</v>
      </c>
      <c r="Q845">
        <v>2.0780779516564062E-3</v>
      </c>
      <c r="R845">
        <v>1.3444451827988762E-3</v>
      </c>
      <c r="S845">
        <v>0.14156995250294518</v>
      </c>
      <c r="T845">
        <v>1.0714506726626749</v>
      </c>
      <c r="U845">
        <v>2.260807577704458E-2</v>
      </c>
      <c r="V845">
        <v>0.20108909021135807</v>
      </c>
      <c r="W845">
        <v>8.1257744063451529E-2</v>
      </c>
      <c r="X845">
        <v>1.594634503922588E-2</v>
      </c>
      <c r="Y845">
        <v>3.6591365913431428E-3</v>
      </c>
    </row>
    <row r="846" spans="1:25" x14ac:dyDescent="0.25">
      <c r="A846" s="827"/>
      <c r="B846" s="1066">
        <v>596</v>
      </c>
      <c r="C846" s="831">
        <v>1.0422678843683353</v>
      </c>
      <c r="D846" s="831">
        <v>0.97272418154084506</v>
      </c>
      <c r="E846" s="831">
        <v>0.95475079826786402</v>
      </c>
      <c r="F846" s="831">
        <v>1.0159724267379511</v>
      </c>
      <c r="G846" s="831">
        <v>1.0298107070345761</v>
      </c>
      <c r="H846" s="831">
        <v>0.96835265531622439</v>
      </c>
      <c r="I846" s="831">
        <v>0.98888664284991867</v>
      </c>
      <c r="K846">
        <v>1.7057148036482483</v>
      </c>
      <c r="L846">
        <v>0</v>
      </c>
      <c r="M846">
        <v>1.4333559863964165E-3</v>
      </c>
      <c r="N846">
        <v>0.12537378043889444</v>
      </c>
      <c r="O846">
        <v>1.7328917736394223E-2</v>
      </c>
      <c r="P846">
        <v>1.9058843636517594E-2</v>
      </c>
      <c r="Q846">
        <v>2.00148666755784E-3</v>
      </c>
      <c r="R846">
        <v>1.4242611352613002E-3</v>
      </c>
      <c r="S846">
        <v>0.14440769423503244</v>
      </c>
      <c r="T846">
        <v>1.0754159148675169</v>
      </c>
      <c r="U846">
        <v>2.2376711638234709E-2</v>
      </c>
      <c r="V846">
        <v>0.20429144512247741</v>
      </c>
      <c r="W846">
        <v>7.7336523331446597E-2</v>
      </c>
      <c r="X846">
        <v>1.4256211522685682E-2</v>
      </c>
      <c r="Y846">
        <v>3.8763693026242028E-3</v>
      </c>
    </row>
    <row r="847" spans="1:25" x14ac:dyDescent="0.25">
      <c r="A847" s="827"/>
      <c r="B847" s="1066">
        <v>597</v>
      </c>
      <c r="C847" s="831">
        <v>1.0198912021168609</v>
      </c>
      <c r="D847" s="831">
        <v>0.99828066397085768</v>
      </c>
      <c r="E847" s="831">
        <v>1.0172457201283136</v>
      </c>
      <c r="F847" s="831">
        <v>0.96654235710584935</v>
      </c>
      <c r="G847" s="831">
        <v>1.0045515388488433</v>
      </c>
      <c r="H847" s="831">
        <v>1.039811638207202</v>
      </c>
      <c r="I847" s="831">
        <v>0.97170685441341487</v>
      </c>
      <c r="K847">
        <v>1.7361792818867774</v>
      </c>
      <c r="L847">
        <v>0</v>
      </c>
      <c r="M847">
        <v>1.3632176158574812E-3</v>
      </c>
      <c r="N847">
        <v>0.14492055751557162</v>
      </c>
      <c r="O847">
        <v>1.7501947207833234E-2</v>
      </c>
      <c r="P847">
        <v>1.9964385175146548E-2</v>
      </c>
      <c r="Q847">
        <v>2.1582143207030955E-3</v>
      </c>
      <c r="R847">
        <v>1.355145073069987E-3</v>
      </c>
      <c r="S847">
        <v>0.14834997718162324</v>
      </c>
      <c r="T847">
        <v>1.0698373368901934</v>
      </c>
      <c r="U847">
        <v>2.2867662599594493E-2</v>
      </c>
      <c r="V847">
        <v>0.20423840363997406</v>
      </c>
      <c r="W847">
        <v>8.5615402115776937E-2</v>
      </c>
      <c r="X847">
        <v>1.7045209617702228E-2</v>
      </c>
      <c r="Y847">
        <v>3.6882581654432275E-3</v>
      </c>
    </row>
    <row r="848" spans="1:25" x14ac:dyDescent="0.25">
      <c r="A848" s="827"/>
      <c r="B848" s="1066">
        <v>598</v>
      </c>
      <c r="C848" s="831">
        <v>0.97030969185520111</v>
      </c>
      <c r="D848" s="831">
        <v>1.0254726916402428</v>
      </c>
      <c r="E848" s="831">
        <v>0.98054019749894916</v>
      </c>
      <c r="F848" s="831">
        <v>0.99239748139103001</v>
      </c>
      <c r="G848" s="831">
        <v>0.98570521776219999</v>
      </c>
      <c r="H848" s="831">
        <v>0.96701156698141455</v>
      </c>
      <c r="I848" s="831">
        <v>0.98281617952312017</v>
      </c>
      <c r="K848">
        <v>1.7308184043202983</v>
      </c>
      <c r="L848">
        <v>0</v>
      </c>
      <c r="M848">
        <v>1.4222520950308915E-3</v>
      </c>
      <c r="N848">
        <v>0.1348162306298514</v>
      </c>
      <c r="O848">
        <v>1.8173993506329596E-2</v>
      </c>
      <c r="P848">
        <v>1.9554565442304741E-2</v>
      </c>
      <c r="Q848">
        <v>2.1645896036974446E-3</v>
      </c>
      <c r="R848">
        <v>1.4131761952342404E-3</v>
      </c>
      <c r="S848">
        <v>0.15072922831140168</v>
      </c>
      <c r="T848">
        <v>1.0730960382001282</v>
      </c>
      <c r="U848">
        <v>2.4036169167506956E-2</v>
      </c>
      <c r="V848">
        <v>0.2071170953781433</v>
      </c>
      <c r="W848">
        <v>8.167336098120366E-2</v>
      </c>
      <c r="X848">
        <v>1.5620009249508106E-2</v>
      </c>
      <c r="Y848">
        <v>3.846199750020045E-3</v>
      </c>
    </row>
    <row r="849" spans="1:25" x14ac:dyDescent="0.25">
      <c r="A849" s="827"/>
      <c r="B849" s="1066">
        <v>599</v>
      </c>
      <c r="C849" s="831">
        <v>1.0378348391663721</v>
      </c>
      <c r="D849" s="831">
        <v>1.0253649950461741</v>
      </c>
      <c r="E849" s="831">
        <v>1.0148873474933591</v>
      </c>
      <c r="F849" s="831">
        <v>0.99203447445377446</v>
      </c>
      <c r="G849" s="831">
        <v>1.0030096308309862</v>
      </c>
      <c r="H849" s="831">
        <v>0.99258460606375676</v>
      </c>
      <c r="I849" s="831">
        <v>0.95612403104582622</v>
      </c>
      <c r="K849">
        <v>1.7031367604488143</v>
      </c>
      <c r="L849">
        <v>0</v>
      </c>
      <c r="M849">
        <v>1.2697343640719547E-3</v>
      </c>
      <c r="N849">
        <v>0.13395717740423332</v>
      </c>
      <c r="O849">
        <v>1.6992336212393259E-2</v>
      </c>
      <c r="P849">
        <v>1.9737319756812109E-2</v>
      </c>
      <c r="Q849">
        <v>2.0950189946170096E-3</v>
      </c>
      <c r="R849">
        <v>1.2618405580408039E-3</v>
      </c>
      <c r="S849">
        <v>0.13877316388045449</v>
      </c>
      <c r="T849">
        <v>1.0700451823888593</v>
      </c>
      <c r="U849">
        <v>2.2472292332214164E-2</v>
      </c>
      <c r="V849">
        <v>0.20005586147326693</v>
      </c>
      <c r="W849">
        <v>7.9264899052694418E-2</v>
      </c>
      <c r="X849">
        <v>1.6317088725940326E-2</v>
      </c>
      <c r="Y849">
        <v>3.4343140333589033E-3</v>
      </c>
    </row>
    <row r="850" spans="1:25" x14ac:dyDescent="0.25">
      <c r="A850" s="827"/>
      <c r="B850" s="1066">
        <v>600</v>
      </c>
      <c r="C850" s="831">
        <v>0.98043092615260408</v>
      </c>
      <c r="D850" s="831">
        <v>1.016290549044008</v>
      </c>
      <c r="E850" s="831">
        <v>1.0006986759452396</v>
      </c>
      <c r="F850" s="831">
        <v>0.98676250021953815</v>
      </c>
      <c r="G850" s="831">
        <v>1.0238581242283822</v>
      </c>
      <c r="H850" s="831">
        <v>0.98129164353366494</v>
      </c>
      <c r="I850" s="831">
        <v>1.0299339061242847</v>
      </c>
      <c r="K850">
        <v>1.7418573865100788</v>
      </c>
      <c r="L850">
        <v>0</v>
      </c>
      <c r="M850">
        <v>1.37464219178205E-3</v>
      </c>
      <c r="N850">
        <v>0.13875661103309286</v>
      </c>
      <c r="O850">
        <v>1.8059628986095835E-2</v>
      </c>
      <c r="P850">
        <v>1.992057426910019E-2</v>
      </c>
      <c r="Q850">
        <v>2.1936296805148176E-3</v>
      </c>
      <c r="R850">
        <v>1.3660040247066533E-3</v>
      </c>
      <c r="S850">
        <v>0.1579764255409862</v>
      </c>
      <c r="T850">
        <v>1.0713000827806083</v>
      </c>
      <c r="U850">
        <v>2.3788037766031257E-2</v>
      </c>
      <c r="V850">
        <v>0.20682343772274575</v>
      </c>
      <c r="W850">
        <v>8.2901446770658596E-2</v>
      </c>
      <c r="X850">
        <v>1.6428337475175525E-2</v>
      </c>
      <c r="Y850">
        <v>3.7178126521457879E-3</v>
      </c>
    </row>
    <row r="851" spans="1:25" x14ac:dyDescent="0.25">
      <c r="A851" s="827"/>
      <c r="B851" s="1066">
        <v>601</v>
      </c>
      <c r="C851" s="831">
        <v>0.97859998357201816</v>
      </c>
      <c r="D851" s="831">
        <v>0.98387850364255791</v>
      </c>
      <c r="E851" s="831">
        <v>0.9915015225907059</v>
      </c>
      <c r="F851" s="831">
        <v>1.0159552587909768</v>
      </c>
      <c r="G851" s="831">
        <v>0.98594876219100813</v>
      </c>
      <c r="H851" s="831">
        <v>0.99102814676640283</v>
      </c>
      <c r="I851" s="831">
        <v>1.0359204014995298</v>
      </c>
      <c r="K851">
        <v>1.754820990382576</v>
      </c>
      <c r="L851">
        <v>0</v>
      </c>
      <c r="M851">
        <v>1.4390139045478796E-3</v>
      </c>
      <c r="N851">
        <v>0.14116691972636336</v>
      </c>
      <c r="O851">
        <v>1.8361019441184866E-2</v>
      </c>
      <c r="P851">
        <v>1.9895387344096072E-2</v>
      </c>
      <c r="Q851">
        <v>2.2038078008058057E-3</v>
      </c>
      <c r="R851">
        <v>1.4300836832663035E-3</v>
      </c>
      <c r="S851">
        <v>0.16209219088982291</v>
      </c>
      <c r="T851">
        <v>1.0721175750574168</v>
      </c>
      <c r="U851">
        <v>2.3832544747418524E-2</v>
      </c>
      <c r="V851">
        <v>0.21007210517664912</v>
      </c>
      <c r="W851">
        <v>8.4875407496737068E-2</v>
      </c>
      <c r="X851">
        <v>1.6320746564471678E-2</v>
      </c>
      <c r="Y851">
        <v>3.8922163588913888E-3</v>
      </c>
    </row>
    <row r="852" spans="1:25" x14ac:dyDescent="0.25">
      <c r="A852" s="827"/>
      <c r="B852" s="1066">
        <v>602</v>
      </c>
      <c r="C852" s="831">
        <v>0.97525722472508569</v>
      </c>
      <c r="D852" s="831">
        <v>1.0307768129976838</v>
      </c>
      <c r="E852" s="831">
        <v>1.0200980427448796</v>
      </c>
      <c r="F852" s="831">
        <v>1.0060872262010581</v>
      </c>
      <c r="G852" s="831">
        <v>0.97375418826591076</v>
      </c>
      <c r="H852" s="831">
        <v>0.98571367999723314</v>
      </c>
      <c r="I852" s="831">
        <v>0.99242187308157959</v>
      </c>
      <c r="K852">
        <v>1.7388205498404077</v>
      </c>
      <c r="L852">
        <v>0</v>
      </c>
      <c r="M852">
        <v>1.3240235699193263E-3</v>
      </c>
      <c r="N852">
        <v>0.14195804047847246</v>
      </c>
      <c r="O852">
        <v>1.8039727522677376E-2</v>
      </c>
      <c r="P852">
        <v>2.0099793197206967E-2</v>
      </c>
      <c r="Q852">
        <v>2.2366722014481228E-3</v>
      </c>
      <c r="R852">
        <v>1.3157313737791542E-3</v>
      </c>
      <c r="S852">
        <v>0.15245540736084812</v>
      </c>
      <c r="T852">
        <v>1.069586240528364</v>
      </c>
      <c r="U852">
        <v>2.3914232375850903E-2</v>
      </c>
      <c r="V852">
        <v>0.20609212085516332</v>
      </c>
      <c r="W852">
        <v>8.3703814337143856E-2</v>
      </c>
      <c r="X852">
        <v>1.7161806110678118E-2</v>
      </c>
      <c r="Y852">
        <v>3.5809870686960596E-3</v>
      </c>
    </row>
    <row r="853" spans="1:25" x14ac:dyDescent="0.25">
      <c r="A853" s="827"/>
      <c r="B853" s="1066">
        <v>603</v>
      </c>
      <c r="C853" s="831">
        <v>1.0090132788701358</v>
      </c>
      <c r="D853" s="831">
        <v>1.0000923502445986</v>
      </c>
      <c r="E853" s="831">
        <v>0.96335570594788378</v>
      </c>
      <c r="F853" s="831">
        <v>0.99812915156158311</v>
      </c>
      <c r="G853" s="831">
        <v>0.98186422789645111</v>
      </c>
      <c r="H853" s="831">
        <v>0.97299923965063584</v>
      </c>
      <c r="I853" s="831">
        <v>1.0259998096308647</v>
      </c>
      <c r="K853">
        <v>1.7231639935226535</v>
      </c>
      <c r="L853">
        <v>0</v>
      </c>
      <c r="M853">
        <v>1.442897635240088E-3</v>
      </c>
      <c r="N853">
        <v>0.1296453435773893</v>
      </c>
      <c r="O853">
        <v>1.7676106666926497E-2</v>
      </c>
      <c r="P853">
        <v>1.9316451269258687E-2</v>
      </c>
      <c r="Q853">
        <v>2.0644574651910038E-3</v>
      </c>
      <c r="R853">
        <v>1.433765190773522E-3</v>
      </c>
      <c r="S853">
        <v>0.1533314082459947</v>
      </c>
      <c r="T853">
        <v>1.0746390954305118</v>
      </c>
      <c r="U853">
        <v>2.3114193228873127E-2</v>
      </c>
      <c r="V853">
        <v>0.20520988973261747</v>
      </c>
      <c r="W853">
        <v>7.9488298279912176E-2</v>
      </c>
      <c r="X853">
        <v>1.4785645861727816E-2</v>
      </c>
      <c r="Y853">
        <v>3.902236208717413E-3</v>
      </c>
    </row>
    <row r="854" spans="1:25" x14ac:dyDescent="0.25">
      <c r="A854" s="827"/>
      <c r="B854" s="1066">
        <v>604</v>
      </c>
      <c r="C854" s="831">
        <v>0.9854324884976543</v>
      </c>
      <c r="D854" s="831">
        <v>1.0015580534223834</v>
      </c>
      <c r="E854" s="831">
        <v>0.98895756302658611</v>
      </c>
      <c r="F854" s="831">
        <v>0.95918561962097659</v>
      </c>
      <c r="G854" s="831">
        <v>1.0056551946420598</v>
      </c>
      <c r="H854" s="831">
        <v>0.97458598379782302</v>
      </c>
      <c r="I854" s="831">
        <v>1.0015781616020214</v>
      </c>
      <c r="K854">
        <v>1.7351450746146653</v>
      </c>
      <c r="L854">
        <v>0</v>
      </c>
      <c r="M854">
        <v>1.4015157803176023E-3</v>
      </c>
      <c r="N854">
        <v>0.13638808549388984</v>
      </c>
      <c r="O854">
        <v>1.8087083828297115E-2</v>
      </c>
      <c r="P854">
        <v>1.9705875279960601E-2</v>
      </c>
      <c r="Q854">
        <v>2.168529863135133E-3</v>
      </c>
      <c r="R854">
        <v>1.3926586376020729E-3</v>
      </c>
      <c r="S854">
        <v>0.15328613786003883</v>
      </c>
      <c r="T854">
        <v>1.0723442587488841</v>
      </c>
      <c r="U854">
        <v>2.3667301586392468E-2</v>
      </c>
      <c r="V854">
        <v>0.20762837719211732</v>
      </c>
      <c r="W854">
        <v>8.2146018295759196E-2</v>
      </c>
      <c r="X854">
        <v>1.5941905887146567E-2</v>
      </c>
      <c r="Y854">
        <v>3.7903577217563394E-3</v>
      </c>
    </row>
    <row r="855" spans="1:25" x14ac:dyDescent="0.25">
      <c r="A855" s="827"/>
      <c r="B855" s="1066">
        <v>605</v>
      </c>
      <c r="C855" s="831">
        <v>0.98327354489536112</v>
      </c>
      <c r="D855" s="831">
        <v>0.98917689940895914</v>
      </c>
      <c r="E855" s="831">
        <v>1.0112578502052154</v>
      </c>
      <c r="F855" s="831">
        <v>0.99554836458440898</v>
      </c>
      <c r="G855" s="831">
        <v>0.99689981050808152</v>
      </c>
      <c r="H855" s="831">
        <v>1.0142371145543401</v>
      </c>
      <c r="I855" s="831">
        <v>1.0043683489076487</v>
      </c>
      <c r="K855">
        <v>1.7554941527449608</v>
      </c>
      <c r="L855">
        <v>0</v>
      </c>
      <c r="M855">
        <v>1.4025536319909296E-3</v>
      </c>
      <c r="N855">
        <v>0.14633193688636228</v>
      </c>
      <c r="O855">
        <v>1.8229275509282192E-2</v>
      </c>
      <c r="P855">
        <v>2.0091090116220928E-2</v>
      </c>
      <c r="Q855">
        <v>2.2328363866721567E-3</v>
      </c>
      <c r="R855">
        <v>1.3940451007927691E-3</v>
      </c>
      <c r="S855">
        <v>0.15776968395635937</v>
      </c>
      <c r="T855">
        <v>1.0703654645066747</v>
      </c>
      <c r="U855">
        <v>2.3719267155494488E-2</v>
      </c>
      <c r="V855">
        <v>0.20903267804409384</v>
      </c>
      <c r="W855">
        <v>8.6800616712078352E-2</v>
      </c>
      <c r="X855">
        <v>1.7135680785406376E-2</v>
      </c>
      <c r="Y855">
        <v>3.7941312175139475E-3</v>
      </c>
    </row>
    <row r="856" spans="1:25" x14ac:dyDescent="0.25">
      <c r="A856" s="827"/>
      <c r="B856" s="1066">
        <v>606</v>
      </c>
      <c r="C856" s="831">
        <v>0.95395400419955101</v>
      </c>
      <c r="D856" s="831">
        <v>0.98487159451962991</v>
      </c>
      <c r="E856" s="831">
        <v>0.97826190466803342</v>
      </c>
      <c r="F856" s="831">
        <v>1.0017088545350756</v>
      </c>
      <c r="G856" s="831">
        <v>0.96781032882902973</v>
      </c>
      <c r="H856" s="831">
        <v>1.0050538995661151</v>
      </c>
      <c r="I856" s="831">
        <v>1.0289059400144418</v>
      </c>
      <c r="K856">
        <v>1.7706941525204869</v>
      </c>
      <c r="L856">
        <v>0</v>
      </c>
      <c r="M856">
        <v>1.5386072389260276E-3</v>
      </c>
      <c r="N856">
        <v>0.14485207792130983</v>
      </c>
      <c r="O856">
        <v>1.8826766137385712E-2</v>
      </c>
      <c r="P856">
        <v>1.9813408650548783E-2</v>
      </c>
      <c r="Q856">
        <v>2.2297722937083706E-3</v>
      </c>
      <c r="R856">
        <v>1.5291914301049036E-3</v>
      </c>
      <c r="S856">
        <v>0.16617825572197101</v>
      </c>
      <c r="T856">
        <v>1.0732999772570568</v>
      </c>
      <c r="U856">
        <v>2.4448272972943573E-2</v>
      </c>
      <c r="V856">
        <v>0.21285145225001045</v>
      </c>
      <c r="W856">
        <v>8.7892098886822492E-2</v>
      </c>
      <c r="X856">
        <v>1.6149531262623817E-2</v>
      </c>
      <c r="Y856">
        <v>4.1619549749260928E-3</v>
      </c>
    </row>
    <row r="857" spans="1:25" x14ac:dyDescent="0.25">
      <c r="A857" s="827"/>
      <c r="B857" s="1066">
        <v>607</v>
      </c>
      <c r="C857" s="831">
        <v>0.96953678995963066</v>
      </c>
      <c r="D857" s="831">
        <v>0.99252119223599111</v>
      </c>
      <c r="E857" s="831">
        <v>0.98787921794668299</v>
      </c>
      <c r="F857" s="831">
        <v>1.0242637798883072</v>
      </c>
      <c r="G857" s="831">
        <v>1.0189586078374528</v>
      </c>
      <c r="H857" s="831">
        <v>0.9957072530205312</v>
      </c>
      <c r="I857" s="831">
        <v>0.98469396111597518</v>
      </c>
      <c r="K857">
        <v>1.7503832045595624</v>
      </c>
      <c r="L857">
        <v>0</v>
      </c>
      <c r="M857">
        <v>1.4646646873465281E-3</v>
      </c>
      <c r="N857">
        <v>0.14207543414395732</v>
      </c>
      <c r="O857">
        <v>1.8459281083191052E-2</v>
      </c>
      <c r="P857">
        <v>1.9759356943836209E-2</v>
      </c>
      <c r="Q857">
        <v>2.2090964623491518E-3</v>
      </c>
      <c r="R857">
        <v>1.4556115072507649E-3</v>
      </c>
      <c r="S857">
        <v>0.15529509248471082</v>
      </c>
      <c r="T857">
        <v>1.0724404200046145</v>
      </c>
      <c r="U857">
        <v>2.4055330483409815E-2</v>
      </c>
      <c r="V857">
        <v>0.21027413469635092</v>
      </c>
      <c r="W857">
        <v>8.5635162383706415E-2</v>
      </c>
      <c r="X857">
        <v>1.6227254372996797E-2</v>
      </c>
      <c r="Y857">
        <v>3.9616946805321775E-3</v>
      </c>
    </row>
    <row r="858" spans="1:25" x14ac:dyDescent="0.25">
      <c r="A858" s="827"/>
      <c r="B858" s="1066">
        <v>608</v>
      </c>
      <c r="C858" s="831">
        <v>1.02066391104494</v>
      </c>
      <c r="D858" s="831">
        <v>0.98215821909612322</v>
      </c>
      <c r="E858" s="831">
        <v>0.99388867420416183</v>
      </c>
      <c r="F858" s="831">
        <v>0.98943181493981458</v>
      </c>
      <c r="G858" s="831">
        <v>0.99280492112862273</v>
      </c>
      <c r="H858" s="831">
        <v>0.97986165630124222</v>
      </c>
      <c r="I858" s="831">
        <v>0.97964228407730813</v>
      </c>
      <c r="K858">
        <v>1.7204313808138683</v>
      </c>
      <c r="L858">
        <v>0</v>
      </c>
      <c r="M858">
        <v>1.3584072303680305E-3</v>
      </c>
      <c r="N858">
        <v>0.13424389331034869</v>
      </c>
      <c r="O858">
        <v>1.7618307815987198E-2</v>
      </c>
      <c r="P858">
        <v>1.9640108686256642E-2</v>
      </c>
      <c r="Q858">
        <v>2.119456813392883E-3</v>
      </c>
      <c r="R858">
        <v>1.3498823958430534E-3</v>
      </c>
      <c r="S858">
        <v>0.14630028073087561</v>
      </c>
      <c r="T858">
        <v>1.0719050857374082</v>
      </c>
      <c r="U858">
        <v>2.2850350292513012E-2</v>
      </c>
      <c r="V858">
        <v>0.20563986950732929</v>
      </c>
      <c r="W858">
        <v>8.0580595150167258E-2</v>
      </c>
      <c r="X858">
        <v>1.5868022711238942E-2</v>
      </c>
      <c r="Y858">
        <v>3.6739348928725934E-3</v>
      </c>
    </row>
    <row r="859" spans="1:25" x14ac:dyDescent="0.25">
      <c r="A859" s="827"/>
      <c r="B859" s="1066">
        <v>609</v>
      </c>
      <c r="C859" s="831">
        <v>1.0145300114272648</v>
      </c>
      <c r="D859" s="831">
        <v>1.0144745960578412</v>
      </c>
      <c r="E859" s="831">
        <v>1.0248428730201433</v>
      </c>
      <c r="F859" s="831">
        <v>1.0074016423238839</v>
      </c>
      <c r="G859" s="831">
        <v>0.99115840862538607</v>
      </c>
      <c r="H859" s="831">
        <v>1.0293901427794381</v>
      </c>
      <c r="I859" s="831">
        <v>1.0319305324567964</v>
      </c>
      <c r="K859">
        <v>1.7417942098746506</v>
      </c>
      <c r="L859">
        <v>0</v>
      </c>
      <c r="M859">
        <v>1.3254066896312513E-3</v>
      </c>
      <c r="N859">
        <v>0.14425576717609365</v>
      </c>
      <c r="O859">
        <v>1.7466750590269892E-2</v>
      </c>
      <c r="P859">
        <v>2.0169965709625079E-2</v>
      </c>
      <c r="Q859">
        <v>2.1730487149982537E-3</v>
      </c>
      <c r="R859">
        <v>1.3174682267379956E-3</v>
      </c>
      <c r="S859">
        <v>0.15656531775234403</v>
      </c>
      <c r="T859">
        <v>1.0691692253204899</v>
      </c>
      <c r="U859">
        <v>2.2988504662856148E-2</v>
      </c>
      <c r="V859">
        <v>0.20334521974556286</v>
      </c>
      <c r="W859">
        <v>8.4787208162022315E-2</v>
      </c>
      <c r="X859">
        <v>1.7295426293384021E-2</v>
      </c>
      <c r="Y859">
        <v>3.5857142098966004E-3</v>
      </c>
    </row>
    <row r="860" spans="1:25" x14ac:dyDescent="0.25">
      <c r="A860" s="827"/>
      <c r="B860" s="1066">
        <v>610</v>
      </c>
      <c r="C860" s="831">
        <v>0.98118428983543005</v>
      </c>
      <c r="D860" s="831">
        <v>0.9851856650113141</v>
      </c>
      <c r="E860" s="831">
        <v>1.0298856712626896</v>
      </c>
      <c r="F860" s="831">
        <v>1.0222990017143552</v>
      </c>
      <c r="G860" s="831">
        <v>1.0277947229771374</v>
      </c>
      <c r="H860" s="831">
        <v>1.0015742396248921</v>
      </c>
      <c r="I860" s="831">
        <v>0.98204308943037155</v>
      </c>
      <c r="K860">
        <v>1.7527457961426185</v>
      </c>
      <c r="L860">
        <v>0</v>
      </c>
      <c r="M860">
        <v>1.33687930481753E-3</v>
      </c>
      <c r="N860">
        <v>0.14777796907017537</v>
      </c>
      <c r="O860">
        <v>1.8301628792966745E-2</v>
      </c>
      <c r="P860">
        <v>2.030024472441435E-2</v>
      </c>
      <c r="Q860">
        <v>2.2828239402442252E-3</v>
      </c>
      <c r="R860">
        <v>1.3286693713109796E-3</v>
      </c>
      <c r="S860">
        <v>0.15393548889212638</v>
      </c>
      <c r="T860">
        <v>1.0687269578038427</v>
      </c>
      <c r="U860">
        <v>2.3769773058856209E-2</v>
      </c>
      <c r="V860">
        <v>0.2096538803474895</v>
      </c>
      <c r="W860">
        <v>8.6563850900577971E-2</v>
      </c>
      <c r="X860">
        <v>1.782518851246314E-2</v>
      </c>
      <c r="Y860">
        <v>3.6162000329679491E-3</v>
      </c>
    </row>
    <row r="861" spans="1:25" x14ac:dyDescent="0.25">
      <c r="A861" s="827"/>
      <c r="B861" s="1066">
        <v>611</v>
      </c>
      <c r="C861" s="831">
        <v>0.99199183971407545</v>
      </c>
      <c r="D861" s="831">
        <v>0.9961947730472227</v>
      </c>
      <c r="E861" s="831">
        <v>1.0215636554956251</v>
      </c>
      <c r="F861" s="831">
        <v>0.99571189715198505</v>
      </c>
      <c r="G861" s="831">
        <v>0.98676032704144567</v>
      </c>
      <c r="H861" s="831">
        <v>0.99863282261846975</v>
      </c>
      <c r="I861" s="831">
        <v>0.98983467543514125</v>
      </c>
      <c r="K861">
        <v>1.7427127442634884</v>
      </c>
      <c r="L861">
        <v>0</v>
      </c>
      <c r="M861">
        <v>1.3350956388240409E-3</v>
      </c>
      <c r="N861">
        <v>0.14381252332453229</v>
      </c>
      <c r="O861">
        <v>1.801124455358348E-2</v>
      </c>
      <c r="P861">
        <v>2.0133484757636402E-2</v>
      </c>
      <c r="Q861">
        <v>2.2301919085434413E-3</v>
      </c>
      <c r="R861">
        <v>1.3268650242090878E-3</v>
      </c>
      <c r="S861">
        <v>0.1525481440571663</v>
      </c>
      <c r="T861">
        <v>1.069457339208195</v>
      </c>
      <c r="U861">
        <v>2.3510806202826761E-2</v>
      </c>
      <c r="V861">
        <v>0.20740414530752463</v>
      </c>
      <c r="W861">
        <v>8.471351570330371E-2</v>
      </c>
      <c r="X861">
        <v>1.7288290659829817E-2</v>
      </c>
      <c r="Y861">
        <v>3.6112891949594598E-3</v>
      </c>
    </row>
    <row r="862" spans="1:25" x14ac:dyDescent="0.25">
      <c r="A862" s="827"/>
      <c r="B862" s="1066">
        <v>612</v>
      </c>
      <c r="C862" s="831">
        <v>1.0093012560177068</v>
      </c>
      <c r="D862" s="831">
        <v>1.0144778874389249</v>
      </c>
      <c r="E862" s="831">
        <v>1.0094011643697098</v>
      </c>
      <c r="F862" s="831">
        <v>0.95356210879933923</v>
      </c>
      <c r="G862" s="831">
        <v>1.0179186144974788</v>
      </c>
      <c r="H862" s="831">
        <v>0.99649162296761362</v>
      </c>
      <c r="I862" s="831">
        <v>0.9713946196147083</v>
      </c>
      <c r="K862">
        <v>1.7233187521588305</v>
      </c>
      <c r="L862">
        <v>0</v>
      </c>
      <c r="M862">
        <v>1.3324353067767575E-3</v>
      </c>
      <c r="N862">
        <v>0.13819944401299125</v>
      </c>
      <c r="O862">
        <v>1.7557212548862118E-2</v>
      </c>
      <c r="P862">
        <v>1.9823324127495441E-2</v>
      </c>
      <c r="Q862">
        <v>2.1509754007511799E-3</v>
      </c>
      <c r="R862">
        <v>1.3241912711499137E-3</v>
      </c>
      <c r="S862">
        <v>0.14588582006245285</v>
      </c>
      <c r="T862">
        <v>1.0705294989471412</v>
      </c>
      <c r="U862">
        <v>2.3107598211384757E-2</v>
      </c>
      <c r="V862">
        <v>0.20388672878957081</v>
      </c>
      <c r="W862">
        <v>8.2080078435453591E-2</v>
      </c>
      <c r="X862">
        <v>1.6502303537819635E-2</v>
      </c>
      <c r="Y862">
        <v>3.604012120534847E-3</v>
      </c>
    </row>
    <row r="863" spans="1:25" x14ac:dyDescent="0.25">
      <c r="A863" s="827"/>
      <c r="B863" s="1066">
        <v>613</v>
      </c>
      <c r="C863" s="831">
        <v>0.99841890252362353</v>
      </c>
      <c r="D863" s="831">
        <v>1.0375522734557698</v>
      </c>
      <c r="E863" s="831">
        <v>0.99488648832590254</v>
      </c>
      <c r="F863" s="831">
        <v>1.002680368096196</v>
      </c>
      <c r="G863" s="831">
        <v>1.0308114808373707</v>
      </c>
      <c r="H863" s="831">
        <v>0.98847634467184387</v>
      </c>
      <c r="I863" s="831">
        <v>1.000526768727046</v>
      </c>
      <c r="K863">
        <v>1.7233825446711248</v>
      </c>
      <c r="L863">
        <v>0</v>
      </c>
      <c r="M863">
        <v>1.3637038513348793E-3</v>
      </c>
      <c r="N863">
        <v>0.13519018136549715</v>
      </c>
      <c r="O863">
        <v>1.7569224022322218E-2</v>
      </c>
      <c r="P863">
        <v>1.9674102823385109E-2</v>
      </c>
      <c r="Q863">
        <v>2.125168993911053E-3</v>
      </c>
      <c r="R863">
        <v>1.355182546312802E-3</v>
      </c>
      <c r="S863">
        <v>0.14992438203715008</v>
      </c>
      <c r="T863">
        <v>1.0718163302118802</v>
      </c>
      <c r="U863">
        <v>2.3359461483904866E-2</v>
      </c>
      <c r="V863">
        <v>0.20301408544772054</v>
      </c>
      <c r="W863">
        <v>8.1093006985587648E-2</v>
      </c>
      <c r="X863">
        <v>1.5936762449531593E-2</v>
      </c>
      <c r="Y863">
        <v>3.6883601552571178E-3</v>
      </c>
    </row>
    <row r="864" spans="1:25" x14ac:dyDescent="0.25">
      <c r="A864" s="827"/>
      <c r="B864" s="1066">
        <v>614</v>
      </c>
      <c r="C864" s="831">
        <v>1.0017884389550824</v>
      </c>
      <c r="D864" s="831">
        <v>1.0005462773306282</v>
      </c>
      <c r="E864" s="831">
        <v>0.97825852584541684</v>
      </c>
      <c r="F864" s="831">
        <v>1.0083992112151017</v>
      </c>
      <c r="G864" s="831">
        <v>0.99836566069806865</v>
      </c>
      <c r="H864" s="831">
        <v>1.0260077725940853</v>
      </c>
      <c r="I864" s="831">
        <v>0.97550914892716978</v>
      </c>
      <c r="K864">
        <v>1.7367529112999776</v>
      </c>
      <c r="L864">
        <v>0</v>
      </c>
      <c r="M864">
        <v>1.4850398557400867E-3</v>
      </c>
      <c r="N864">
        <v>0.13982399924783528</v>
      </c>
      <c r="O864">
        <v>1.7799926753157804E-2</v>
      </c>
      <c r="P864">
        <v>1.94945766905955E-2</v>
      </c>
      <c r="Q864">
        <v>2.1108911571076738E-3</v>
      </c>
      <c r="R864">
        <v>1.4761259604049292E-3</v>
      </c>
      <c r="S864">
        <v>0.15051413382728718</v>
      </c>
      <c r="T864">
        <v>1.0733002798537152</v>
      </c>
      <c r="U864">
        <v>2.3280891445133692E-2</v>
      </c>
      <c r="V864">
        <v>0.20593991333315986</v>
      </c>
      <c r="W864">
        <v>8.484140368030231E-2</v>
      </c>
      <c r="X864">
        <v>1.5638280947585372E-2</v>
      </c>
      <c r="Y864">
        <v>4.0175282594301477E-3</v>
      </c>
    </row>
    <row r="865" spans="1:25" x14ac:dyDescent="0.25">
      <c r="A865" s="827"/>
      <c r="B865" s="1066">
        <v>615</v>
      </c>
      <c r="C865" s="831">
        <v>1.0030399424642309</v>
      </c>
      <c r="D865" s="831">
        <v>0.9917495966034271</v>
      </c>
      <c r="E865" s="831">
        <v>0.98923176385720402</v>
      </c>
      <c r="F865" s="831">
        <v>0.9834058184573915</v>
      </c>
      <c r="G865" s="831">
        <v>0.98841577069826714</v>
      </c>
      <c r="H865" s="831">
        <v>0.96173668943737989</v>
      </c>
      <c r="I865" s="831">
        <v>0.9859879970272869</v>
      </c>
      <c r="K865">
        <v>1.7219946971819329</v>
      </c>
      <c r="L865">
        <v>0</v>
      </c>
      <c r="M865">
        <v>1.3640394454073781E-3</v>
      </c>
      <c r="N865">
        <v>0.13284386317478172</v>
      </c>
      <c r="O865">
        <v>1.7849003839584345E-2</v>
      </c>
      <c r="P865">
        <v>1.9618044467339266E-2</v>
      </c>
      <c r="Q865">
        <v>2.1388497648724522E-3</v>
      </c>
      <c r="R865">
        <v>1.3553109832606187E-3</v>
      </c>
      <c r="S865">
        <v>0.14794763746132342</v>
      </c>
      <c r="T865">
        <v>1.0723198139141195</v>
      </c>
      <c r="U865">
        <v>2.3251843631476209E-2</v>
      </c>
      <c r="V865">
        <v>0.20661835659989017</v>
      </c>
      <c r="W865">
        <v>7.9996221677438945E-2</v>
      </c>
      <c r="X865">
        <v>1.5731081394961651E-2</v>
      </c>
      <c r="Y865">
        <v>3.6887097182898465E-3</v>
      </c>
    </row>
    <row r="866" spans="1:25" x14ac:dyDescent="0.25">
      <c r="A866" s="827"/>
      <c r="B866" s="1066">
        <v>616</v>
      </c>
      <c r="C866" s="831">
        <v>1.0093496461664782</v>
      </c>
      <c r="D866" s="831">
        <v>1.0398906585271852</v>
      </c>
      <c r="E866" s="831">
        <v>1.0128495624610061</v>
      </c>
      <c r="F866" s="831">
        <v>0.99465058724293476</v>
      </c>
      <c r="G866" s="831">
        <v>1.0197330335238854</v>
      </c>
      <c r="H866" s="831">
        <v>1.0048522917239517</v>
      </c>
      <c r="I866" s="831">
        <v>1.0125584568733226</v>
      </c>
      <c r="K866">
        <v>1.7259041317001937</v>
      </c>
      <c r="L866">
        <v>0</v>
      </c>
      <c r="M866">
        <v>1.3190099490750305E-3</v>
      </c>
      <c r="N866">
        <v>0.13828683097359898</v>
      </c>
      <c r="O866">
        <v>1.7361324241882119E-2</v>
      </c>
      <c r="P866">
        <v>1.9911204752376115E-2</v>
      </c>
      <c r="Q866">
        <v>2.1385885267766092E-3</v>
      </c>
      <c r="R866">
        <v>1.3109007824872022E-3</v>
      </c>
      <c r="S866">
        <v>0.15110330599460428</v>
      </c>
      <c r="T866">
        <v>1.0702249437537996</v>
      </c>
      <c r="U866">
        <v>2.3106490389016764E-2</v>
      </c>
      <c r="V866">
        <v>0.20168211048334736</v>
      </c>
      <c r="W866">
        <v>8.1939908600538985E-2</v>
      </c>
      <c r="X866">
        <v>1.658969335923579E-2</v>
      </c>
      <c r="Y866">
        <v>3.5678397916033564E-3</v>
      </c>
    </row>
    <row r="867" spans="1:25" x14ac:dyDescent="0.25">
      <c r="A867" s="827"/>
      <c r="B867" s="1066">
        <v>617</v>
      </c>
      <c r="C867" s="831">
        <v>1.018508130229953</v>
      </c>
      <c r="D867" s="831">
        <v>0.9680408914774008</v>
      </c>
      <c r="E867" s="831">
        <v>1.0249614984483539</v>
      </c>
      <c r="F867" s="831">
        <v>0.98287896756560189</v>
      </c>
      <c r="G867" s="831">
        <v>1.0340196803401345</v>
      </c>
      <c r="H867" s="831">
        <v>1.0062537008994885</v>
      </c>
      <c r="I867" s="831">
        <v>0.974341867952631</v>
      </c>
      <c r="K867">
        <v>1.7365523509821925</v>
      </c>
      <c r="L867">
        <v>0</v>
      </c>
      <c r="M867">
        <v>1.3179059062988475E-3</v>
      </c>
      <c r="N867">
        <v>0.14347574597902582</v>
      </c>
      <c r="O867">
        <v>1.7772114339848391E-2</v>
      </c>
      <c r="P867">
        <v>2.01124163171554E-2</v>
      </c>
      <c r="Q867">
        <v>2.202781974122236E-3</v>
      </c>
      <c r="R867">
        <v>1.3098617873044426E-3</v>
      </c>
      <c r="S867">
        <v>0.14853699603295606</v>
      </c>
      <c r="T867">
        <v>1.0691588104631156</v>
      </c>
      <c r="U867">
        <v>2.2898715489917152E-2</v>
      </c>
      <c r="V867">
        <v>0.20720822268859665</v>
      </c>
      <c r="W867">
        <v>8.4322018963588943E-2</v>
      </c>
      <c r="X867">
        <v>1.7307560863639177E-2</v>
      </c>
      <c r="Y867">
        <v>3.5650119892205565E-3</v>
      </c>
    </row>
    <row r="868" spans="1:25" x14ac:dyDescent="0.25">
      <c r="A868" s="827"/>
      <c r="B868" s="1066">
        <v>618</v>
      </c>
      <c r="C868" s="831">
        <v>1.0272246014048871</v>
      </c>
      <c r="D868" s="831">
        <v>0.970052735611589</v>
      </c>
      <c r="E868" s="831">
        <v>1.0081855045699306</v>
      </c>
      <c r="F868" s="831">
        <v>1.0051046042478142</v>
      </c>
      <c r="G868" s="831">
        <v>1.0163432092623228</v>
      </c>
      <c r="H868" s="831">
        <v>0.97866066822510478</v>
      </c>
      <c r="I868" s="831">
        <v>1.0010543929658098</v>
      </c>
      <c r="K868">
        <v>1.7249399124533984</v>
      </c>
      <c r="L868">
        <v>0</v>
      </c>
      <c r="M868">
        <v>1.3154695125372525E-3</v>
      </c>
      <c r="N868">
        <v>0.13591278109580915</v>
      </c>
      <c r="O868">
        <v>1.7604684732109827E-2</v>
      </c>
      <c r="P868">
        <v>1.9877591834158725E-2</v>
      </c>
      <c r="Q868">
        <v>2.1462437575623795E-3</v>
      </c>
      <c r="R868">
        <v>1.3072124624943767E-3</v>
      </c>
      <c r="S868">
        <v>0.14922630135993867</v>
      </c>
      <c r="T868">
        <v>1.0706369706495482</v>
      </c>
      <c r="U868">
        <v>2.2704409402195057E-2</v>
      </c>
      <c r="V868">
        <v>0.2060931682270121</v>
      </c>
      <c r="W868">
        <v>8.0788734566921191E-2</v>
      </c>
      <c r="X868">
        <v>1.6399482477748431E-2</v>
      </c>
      <c r="Y868">
        <v>3.5578014004372456E-3</v>
      </c>
    </row>
    <row r="869" spans="1:25" x14ac:dyDescent="0.25">
      <c r="A869" s="827"/>
      <c r="B869" s="1066">
        <v>619</v>
      </c>
      <c r="C869" s="831">
        <v>0.98815145914329761</v>
      </c>
      <c r="D869" s="831">
        <v>1.0079639636785758</v>
      </c>
      <c r="E869" s="831">
        <v>1.000869091758535</v>
      </c>
      <c r="F869" s="831">
        <v>0.98128940191221981</v>
      </c>
      <c r="G869" s="831">
        <v>1.0202254974399854</v>
      </c>
      <c r="H869" s="831">
        <v>1.0415103445124634</v>
      </c>
      <c r="I869" s="831">
        <v>0.98939329661281228</v>
      </c>
      <c r="K869">
        <v>1.7521299637470962</v>
      </c>
      <c r="L869">
        <v>0</v>
      </c>
      <c r="M869">
        <v>1.4524696496932543E-3</v>
      </c>
      <c r="N869">
        <v>0.14674449069933609</v>
      </c>
      <c r="O869">
        <v>1.7985329867086827E-2</v>
      </c>
      <c r="P869">
        <v>1.988393543428792E-2</v>
      </c>
      <c r="Q869">
        <v>2.1835153594665408E-3</v>
      </c>
      <c r="R869">
        <v>1.4438758684320711E-3</v>
      </c>
      <c r="S869">
        <v>0.15539925183745312</v>
      </c>
      <c r="T869">
        <v>1.0712849654220511</v>
      </c>
      <c r="U869">
        <v>2.3602179283855169E-2</v>
      </c>
      <c r="V869">
        <v>0.20673334250118486</v>
      </c>
      <c r="W869">
        <v>8.7663663796670135E-2</v>
      </c>
      <c r="X869">
        <v>1.6728129186643938E-2</v>
      </c>
      <c r="Y869">
        <v>3.9297541403199906E-3</v>
      </c>
    </row>
    <row r="870" spans="1:25" x14ac:dyDescent="0.25">
      <c r="A870" s="827"/>
      <c r="B870" s="1066">
        <v>620</v>
      </c>
      <c r="C870" s="831">
        <v>0.96705786572007102</v>
      </c>
      <c r="D870" s="831">
        <v>1.0153096000458284</v>
      </c>
      <c r="E870" s="831">
        <v>0.9875694574305367</v>
      </c>
      <c r="F870" s="831">
        <v>1.0059840894361933</v>
      </c>
      <c r="G870" s="831">
        <v>1.0161266709580186</v>
      </c>
      <c r="H870" s="831">
        <v>0.99646587455230318</v>
      </c>
      <c r="I870" s="831">
        <v>1.019295404191553</v>
      </c>
      <c r="K870">
        <v>1.7511803447859458</v>
      </c>
      <c r="L870">
        <v>0</v>
      </c>
      <c r="M870">
        <v>1.4554755151116065E-3</v>
      </c>
      <c r="N870">
        <v>0.1410469972597187</v>
      </c>
      <c r="O870">
        <v>1.8317364402256071E-2</v>
      </c>
      <c r="P870">
        <v>1.9790472309837E-2</v>
      </c>
      <c r="Q870">
        <v>2.1954989374720259E-3</v>
      </c>
      <c r="R870">
        <v>1.4464693766155202E-3</v>
      </c>
      <c r="S870">
        <v>0.15971035109929338</v>
      </c>
      <c r="T870">
        <v>1.0724680509444198</v>
      </c>
      <c r="U870">
        <v>2.4116993124229651E-2</v>
      </c>
      <c r="V870">
        <v>0.20841234351852217</v>
      </c>
      <c r="W870">
        <v>8.503345426402871E-2</v>
      </c>
      <c r="X870">
        <v>1.6161012250019247E-2</v>
      </c>
      <c r="Y870">
        <v>3.9368128146455954E-3</v>
      </c>
    </row>
    <row r="871" spans="1:25" x14ac:dyDescent="0.25">
      <c r="A871" s="827"/>
      <c r="B871" s="1066">
        <v>621</v>
      </c>
      <c r="C871" s="831">
        <v>1.005975085016874</v>
      </c>
      <c r="D871" s="831">
        <v>0.99724399262521202</v>
      </c>
      <c r="E871" s="831">
        <v>0.99302889874953237</v>
      </c>
      <c r="F871" s="831">
        <v>0.98341108883733197</v>
      </c>
      <c r="G871" s="831">
        <v>0.96979541999863694</v>
      </c>
      <c r="H871" s="831">
        <v>1.0191047390070593</v>
      </c>
      <c r="I871" s="831">
        <v>0.99922105981599474</v>
      </c>
      <c r="K871">
        <v>1.7388682359429046</v>
      </c>
      <c r="L871">
        <v>0</v>
      </c>
      <c r="M871">
        <v>1.4261532263976243E-3</v>
      </c>
      <c r="N871">
        <v>0.14059530259456104</v>
      </c>
      <c r="O871">
        <v>1.7752414748848967E-2</v>
      </c>
      <c r="P871">
        <v>1.9729430917381139E-2</v>
      </c>
      <c r="Q871">
        <v>2.1364207062359343E-3</v>
      </c>
      <c r="R871">
        <v>1.417537132896091E-3</v>
      </c>
      <c r="S871">
        <v>0.15324936707968007</v>
      </c>
      <c r="T871">
        <v>1.0719815928310787</v>
      </c>
      <c r="U871">
        <v>2.3184001518200607E-2</v>
      </c>
      <c r="V871">
        <v>0.20579301329429323</v>
      </c>
      <c r="W871">
        <v>8.4442951732248819E-2</v>
      </c>
      <c r="X871">
        <v>1.6154287829123048E-2</v>
      </c>
      <c r="Y871">
        <v>3.8580687847528891E-3</v>
      </c>
    </row>
    <row r="872" spans="1:25" x14ac:dyDescent="0.25">
      <c r="A872" s="827"/>
      <c r="B872" s="1066">
        <v>622</v>
      </c>
      <c r="C872" s="831">
        <v>0.97151372868798591</v>
      </c>
      <c r="D872" s="831">
        <v>0.99187042511985435</v>
      </c>
      <c r="E872" s="831">
        <v>0.97531997628069655</v>
      </c>
      <c r="F872" s="831">
        <v>1.0129400107280271</v>
      </c>
      <c r="G872" s="831">
        <v>1.002419484917372</v>
      </c>
      <c r="H872" s="831">
        <v>0.98731090477786421</v>
      </c>
      <c r="I872" s="831">
        <v>0.99130741448968751</v>
      </c>
      <c r="K872">
        <v>1.7462779134238293</v>
      </c>
      <c r="L872">
        <v>0</v>
      </c>
      <c r="M872">
        <v>1.4885325160303702E-3</v>
      </c>
      <c r="N872">
        <v>0.13884295436260027</v>
      </c>
      <c r="O872">
        <v>1.8427197030767985E-2</v>
      </c>
      <c r="P872">
        <v>1.9586125335827067E-2</v>
      </c>
      <c r="Q872">
        <v>2.1771923215836188E-3</v>
      </c>
      <c r="R872">
        <v>1.4792540601054919E-3</v>
      </c>
      <c r="S872">
        <v>0.15544517737796346</v>
      </c>
      <c r="T872">
        <v>1.0735636093516927</v>
      </c>
      <c r="U872">
        <v>2.4006380156665279E-2</v>
      </c>
      <c r="V872">
        <v>0.21010951433893443</v>
      </c>
      <c r="W872">
        <v>8.4418476708836301E-2</v>
      </c>
      <c r="X872">
        <v>1.5684522979244862E-2</v>
      </c>
      <c r="Y872">
        <v>4.026041915637291E-3</v>
      </c>
    </row>
    <row r="873" spans="1:25" x14ac:dyDescent="0.25">
      <c r="A873" s="827"/>
      <c r="B873" s="1066">
        <v>623</v>
      </c>
      <c r="C873" s="831">
        <v>0.98223179708863917</v>
      </c>
      <c r="D873" s="831">
        <v>0.96069204621563364</v>
      </c>
      <c r="E873" s="831">
        <v>1.0000577312674037</v>
      </c>
      <c r="F873" s="831">
        <v>0.98378852599923372</v>
      </c>
      <c r="G873" s="831">
        <v>0.98880832215033609</v>
      </c>
      <c r="H873" s="831">
        <v>0.96228382700154691</v>
      </c>
      <c r="I873" s="831">
        <v>0.99028963626612654</v>
      </c>
      <c r="K873">
        <v>1.7441975685516518</v>
      </c>
      <c r="L873">
        <v>0</v>
      </c>
      <c r="M873">
        <v>1.3821492024933255E-3</v>
      </c>
      <c r="N873">
        <v>0.1392231963862246</v>
      </c>
      <c r="O873">
        <v>1.8492480012575981E-2</v>
      </c>
      <c r="P873">
        <v>1.9924278221134288E-2</v>
      </c>
      <c r="Q873">
        <v>2.2343653310628558E-3</v>
      </c>
      <c r="R873">
        <v>1.3733330630461024E-3</v>
      </c>
      <c r="S873">
        <v>0.1538013990267188</v>
      </c>
      <c r="T873">
        <v>1.0713569499397106</v>
      </c>
      <c r="U873">
        <v>2.3744423635471554E-2</v>
      </c>
      <c r="V873">
        <v>0.21195438423253821</v>
      </c>
      <c r="W873">
        <v>8.3216690521451975E-2</v>
      </c>
      <c r="X873">
        <v>1.652045750572094E-2</v>
      </c>
      <c r="Y873">
        <v>3.7377598784889298E-3</v>
      </c>
    </row>
    <row r="874" spans="1:25" x14ac:dyDescent="0.25">
      <c r="A874" s="827"/>
      <c r="B874" s="1066">
        <v>624</v>
      </c>
      <c r="C874" s="831">
        <v>0.99910419692721075</v>
      </c>
      <c r="D874" s="831">
        <v>1.0008267165918197</v>
      </c>
      <c r="E874" s="831">
        <v>0.97914049581021978</v>
      </c>
      <c r="F874" s="831">
        <v>1.0088639921567015</v>
      </c>
      <c r="G874" s="831">
        <v>1.0174166428267104</v>
      </c>
      <c r="H874" s="831">
        <v>0.951135994848893</v>
      </c>
      <c r="I874" s="831">
        <v>1.0297831392801344</v>
      </c>
      <c r="K874">
        <v>1.7239379289060426</v>
      </c>
      <c r="L874">
        <v>0</v>
      </c>
      <c r="M874">
        <v>1.3776417468677031E-3</v>
      </c>
      <c r="N874">
        <v>0.1300070468221155</v>
      </c>
      <c r="O874">
        <v>1.7845483602504493E-2</v>
      </c>
      <c r="P874">
        <v>1.955455670272083E-2</v>
      </c>
      <c r="Q874">
        <v>2.1182417210891943E-3</v>
      </c>
      <c r="R874">
        <v>1.3687213605919687E-3</v>
      </c>
      <c r="S874">
        <v>0.15375877493283055</v>
      </c>
      <c r="T874">
        <v>1.0732213079683637</v>
      </c>
      <c r="U874">
        <v>2.3343439022709175E-2</v>
      </c>
      <c r="V874">
        <v>0.20620196785890088</v>
      </c>
      <c r="W874">
        <v>7.8836437660642411E-2</v>
      </c>
      <c r="X874">
        <v>1.5334384655785443E-2</v>
      </c>
      <c r="Y874">
        <v>3.7252083446560821E-3</v>
      </c>
    </row>
    <row r="875" spans="1:25" x14ac:dyDescent="0.25">
      <c r="A875" s="827"/>
      <c r="B875" s="1066">
        <v>625</v>
      </c>
      <c r="C875" s="831">
        <v>0.97917647396046126</v>
      </c>
      <c r="D875" s="831">
        <v>0.99857045827709878</v>
      </c>
      <c r="E875" s="831">
        <v>0.95808159665608594</v>
      </c>
      <c r="F875" s="831">
        <v>1.0062190407198428</v>
      </c>
      <c r="G875" s="831">
        <v>1.0045672177120755</v>
      </c>
      <c r="H875" s="831">
        <v>0.9869316841989958</v>
      </c>
      <c r="I875" s="831">
        <v>0.95611125979005995</v>
      </c>
      <c r="K875">
        <v>1.7323331985251913</v>
      </c>
      <c r="L875">
        <v>0</v>
      </c>
      <c r="M875">
        <v>1.5259450495136058E-3</v>
      </c>
      <c r="N875">
        <v>0.13488163966761202</v>
      </c>
      <c r="O875">
        <v>1.8227291357036678E-2</v>
      </c>
      <c r="P875">
        <v>1.9231907811219317E-2</v>
      </c>
      <c r="Q875">
        <v>2.1170639327274506E-3</v>
      </c>
      <c r="R875">
        <v>1.516424502082615E-3</v>
      </c>
      <c r="S875">
        <v>0.14831106691264867</v>
      </c>
      <c r="T875">
        <v>1.0751148945069853</v>
      </c>
      <c r="U875">
        <v>2.3818513330871701E-2</v>
      </c>
      <c r="V875">
        <v>0.20860399579657712</v>
      </c>
      <c r="W875">
        <v>8.3006136722475171E-2</v>
      </c>
      <c r="X875">
        <v>1.4903001429000697E-2</v>
      </c>
      <c r="Y875">
        <v>4.1272076054661147E-3</v>
      </c>
    </row>
    <row r="876" spans="1:25" x14ac:dyDescent="0.25">
      <c r="A876" s="827"/>
      <c r="B876" s="1066">
        <v>626</v>
      </c>
      <c r="C876" s="831">
        <v>1.0190219668860305</v>
      </c>
      <c r="D876" s="831">
        <v>1.0028277278649449</v>
      </c>
      <c r="E876" s="831">
        <v>1.0086171463310012</v>
      </c>
      <c r="F876" s="831">
        <v>0.97317213991367713</v>
      </c>
      <c r="G876" s="831">
        <v>0.98488062461780501</v>
      </c>
      <c r="H876" s="831">
        <v>0.99076609647266778</v>
      </c>
      <c r="I876" s="831">
        <v>1.0038386775389361</v>
      </c>
      <c r="K876">
        <v>1.7244198119031235</v>
      </c>
      <c r="L876">
        <v>0</v>
      </c>
      <c r="M876">
        <v>1.3211931152217159E-3</v>
      </c>
      <c r="N876">
        <v>0.13669567572837457</v>
      </c>
      <c r="O876">
        <v>1.748085707182272E-2</v>
      </c>
      <c r="P876">
        <v>1.9861610122140185E-2</v>
      </c>
      <c r="Q876">
        <v>2.1379262607786366E-3</v>
      </c>
      <c r="R876">
        <v>1.3129790953622838E-3</v>
      </c>
      <c r="S876">
        <v>0.14963273970223584</v>
      </c>
      <c r="T876">
        <v>1.0705988045014636</v>
      </c>
      <c r="U876">
        <v>2.2887168928824104E-2</v>
      </c>
      <c r="V876">
        <v>0.20391580239047563</v>
      </c>
      <c r="W876">
        <v>8.1230245233330223E-2</v>
      </c>
      <c r="X876">
        <v>1.6413699709402187E-2</v>
      </c>
      <c r="Y876">
        <v>3.5734962741336748E-3</v>
      </c>
    </row>
    <row r="877" spans="1:25" x14ac:dyDescent="0.25">
      <c r="A877" s="827"/>
      <c r="B877" s="1066">
        <v>627</v>
      </c>
      <c r="C877" s="831">
        <v>0.98530848638592372</v>
      </c>
      <c r="D877" s="831">
        <v>1.0209730530812049</v>
      </c>
      <c r="E877" s="831">
        <v>1.0320263378416721</v>
      </c>
      <c r="F877" s="831">
        <v>1.0013419393516587</v>
      </c>
      <c r="G877" s="831">
        <v>1.031225794002341</v>
      </c>
      <c r="H877" s="831">
        <v>1.0047806306893394</v>
      </c>
      <c r="I877" s="831">
        <v>1.0105002437496489</v>
      </c>
      <c r="K877">
        <v>1.7461693305682007</v>
      </c>
      <c r="L877">
        <v>0</v>
      </c>
      <c r="M877">
        <v>1.308225507758414E-3</v>
      </c>
      <c r="N877">
        <v>0.14557493813726549</v>
      </c>
      <c r="O877">
        <v>1.7932930545178881E-2</v>
      </c>
      <c r="P877">
        <v>2.0298856335253513E-2</v>
      </c>
      <c r="Q877">
        <v>2.2481274993952261E-3</v>
      </c>
      <c r="R877">
        <v>1.3001939009429616E-3</v>
      </c>
      <c r="S877">
        <v>0.15564830292213344</v>
      </c>
      <c r="T877">
        <v>1.0685395070172479</v>
      </c>
      <c r="U877">
        <v>2.3670280141247328E-2</v>
      </c>
      <c r="V877">
        <v>0.20586863103117276</v>
      </c>
      <c r="W877">
        <v>8.5151226543531119E-2</v>
      </c>
      <c r="X877">
        <v>1.7705862813025601E-2</v>
      </c>
      <c r="Y877">
        <v>3.538699189562487E-3</v>
      </c>
    </row>
    <row r="878" spans="1:25" x14ac:dyDescent="0.25">
      <c r="A878" s="827"/>
      <c r="B878" s="1066">
        <v>628</v>
      </c>
      <c r="C878" s="831">
        <v>0.9950752082637796</v>
      </c>
      <c r="D878" s="831">
        <v>1.0181463743700847</v>
      </c>
      <c r="E878" s="831">
        <v>1.0061351599610471</v>
      </c>
      <c r="F878" s="831">
        <v>0.99849069517519418</v>
      </c>
      <c r="G878" s="831">
        <v>0.95532644105555897</v>
      </c>
      <c r="H878" s="831">
        <v>0.99870419940950839</v>
      </c>
      <c r="I878" s="831">
        <v>1.0043224297511935</v>
      </c>
      <c r="K878">
        <v>1.7353316006893358</v>
      </c>
      <c r="L878">
        <v>0</v>
      </c>
      <c r="M878">
        <v>1.3616232477984328E-3</v>
      </c>
      <c r="N878">
        <v>0.13980156682284955</v>
      </c>
      <c r="O878">
        <v>1.7779180566811093E-2</v>
      </c>
      <c r="P878">
        <v>1.989644432118624E-2</v>
      </c>
      <c r="Q878">
        <v>2.1716977195863204E-3</v>
      </c>
      <c r="R878">
        <v>1.3532148339706581E-3</v>
      </c>
      <c r="S878">
        <v>0.15291771884624028</v>
      </c>
      <c r="T878">
        <v>1.0708183601232579</v>
      </c>
      <c r="U878">
        <v>2.3437954945130863E-2</v>
      </c>
      <c r="V878">
        <v>0.20506467947304563</v>
      </c>
      <c r="W878">
        <v>8.3216375137969312E-2</v>
      </c>
      <c r="X878">
        <v>1.655302645616814E-2</v>
      </c>
      <c r="Y878">
        <v>3.6830046909180031E-3</v>
      </c>
    </row>
    <row r="879" spans="1:25" x14ac:dyDescent="0.25">
      <c r="A879" s="827"/>
      <c r="B879" s="1066">
        <v>629</v>
      </c>
      <c r="C879" s="831">
        <v>1.0045389027843428</v>
      </c>
      <c r="D879" s="831">
        <v>0.99969126868280034</v>
      </c>
      <c r="E879" s="831">
        <v>0.99073097514711528</v>
      </c>
      <c r="F879" s="831">
        <v>1.0107704296016213</v>
      </c>
      <c r="G879" s="831">
        <v>1.0009468926776466</v>
      </c>
      <c r="H879" s="831">
        <v>0.96530715023658675</v>
      </c>
      <c r="I879" s="831">
        <v>1.0282258609679602</v>
      </c>
      <c r="K879">
        <v>1.7267632848139738</v>
      </c>
      <c r="L879">
        <v>0</v>
      </c>
      <c r="M879">
        <v>1.3578464205057771E-3</v>
      </c>
      <c r="N879">
        <v>0.13286203345648082</v>
      </c>
      <c r="O879">
        <v>1.7758065166402347E-2</v>
      </c>
      <c r="P879">
        <v>1.9705220478235405E-2</v>
      </c>
      <c r="Q879">
        <v>2.1325766450188224E-3</v>
      </c>
      <c r="R879">
        <v>1.3491840859122305E-3</v>
      </c>
      <c r="S879">
        <v>0.15380891330628138</v>
      </c>
      <c r="T879">
        <v>1.0721862102164759</v>
      </c>
      <c r="U879">
        <v>2.3217147522767628E-2</v>
      </c>
      <c r="V879">
        <v>0.20572211683495964</v>
      </c>
      <c r="W879">
        <v>7.9924556118339513E-2</v>
      </c>
      <c r="X879">
        <v>1.5783073080165199E-2</v>
      </c>
      <c r="Y879">
        <v>3.6720343234387027E-3</v>
      </c>
    </row>
    <row r="880" spans="1:25" x14ac:dyDescent="0.25">
      <c r="A880" s="827"/>
      <c r="B880" s="1066">
        <v>630</v>
      </c>
      <c r="C880" s="831">
        <v>0.96869278466097997</v>
      </c>
      <c r="D880" s="831">
        <v>1.0104044623962141</v>
      </c>
      <c r="E880" s="831">
        <v>1.0158226542648074</v>
      </c>
      <c r="F880" s="831">
        <v>1.0222471380693725</v>
      </c>
      <c r="G880" s="831">
        <v>0.99753635551450115</v>
      </c>
      <c r="H880" s="831">
        <v>1.0225533371732738</v>
      </c>
      <c r="I880" s="831">
        <v>1.0351797463301196</v>
      </c>
      <c r="K880">
        <v>1.7661642958809647</v>
      </c>
      <c r="L880">
        <v>0</v>
      </c>
      <c r="M880">
        <v>1.4079856373414191E-3</v>
      </c>
      <c r="N880">
        <v>0.14900346768088196</v>
      </c>
      <c r="O880">
        <v>1.8326546968628229E-2</v>
      </c>
      <c r="P880">
        <v>2.0242711829147924E-2</v>
      </c>
      <c r="Q880">
        <v>2.2589261064791355E-3</v>
      </c>
      <c r="R880">
        <v>1.3994989497154026E-3</v>
      </c>
      <c r="S880">
        <v>0.16424274544386155</v>
      </c>
      <c r="T880">
        <v>1.0699627277692236</v>
      </c>
      <c r="U880">
        <v>2.4076289477541132E-2</v>
      </c>
      <c r="V880">
        <v>0.20867995484799581</v>
      </c>
      <c r="W880">
        <v>8.8112255516536814E-2</v>
      </c>
      <c r="X880">
        <v>1.745818213187374E-2</v>
      </c>
      <c r="Y880">
        <v>3.8089747964205416E-3</v>
      </c>
    </row>
    <row r="881" spans="1:25" x14ac:dyDescent="0.25">
      <c r="A881" s="827"/>
      <c r="B881" s="1066">
        <v>631</v>
      </c>
      <c r="C881" s="831">
        <v>0.9664084826119107</v>
      </c>
      <c r="D881" s="831">
        <v>1.0248854180326219</v>
      </c>
      <c r="E881" s="831">
        <v>1.0303125981275534</v>
      </c>
      <c r="F881" s="831">
        <v>1.0401479966783429</v>
      </c>
      <c r="G881" s="831">
        <v>0.98833711004989622</v>
      </c>
      <c r="H881" s="831">
        <v>0.99725391429840027</v>
      </c>
      <c r="I881" s="831">
        <v>1.0146325426865959</v>
      </c>
      <c r="K881">
        <v>1.7539883508845586</v>
      </c>
      <c r="L881">
        <v>0</v>
      </c>
      <c r="M881">
        <v>1.3263368099955409E-3</v>
      </c>
      <c r="N881">
        <v>0.14680017659978439</v>
      </c>
      <c r="O881">
        <v>1.8252080143734147E-2</v>
      </c>
      <c r="P881">
        <v>2.0346626938554001E-2</v>
      </c>
      <c r="Q881">
        <v>2.2849735847881698E-3</v>
      </c>
      <c r="R881">
        <v>1.3181300288675056E-3</v>
      </c>
      <c r="S881">
        <v>0.15852805650990739</v>
      </c>
      <c r="T881">
        <v>1.0686895594106218</v>
      </c>
      <c r="U881">
        <v>2.4133198660745789E-2</v>
      </c>
      <c r="V881">
        <v>0.20760753152410055</v>
      </c>
      <c r="W881">
        <v>8.5966493720467385E-2</v>
      </c>
      <c r="X881">
        <v>1.7800345155852722E-2</v>
      </c>
      <c r="Y881">
        <v>3.5875154171301142E-3</v>
      </c>
    </row>
    <row r="882" spans="1:25" x14ac:dyDescent="0.25">
      <c r="A882" s="827"/>
      <c r="B882" s="1066">
        <v>632</v>
      </c>
      <c r="C882" s="831">
        <v>1.0083276860848618</v>
      </c>
      <c r="D882" s="831">
        <v>0.97831620185965484</v>
      </c>
      <c r="E882" s="831">
        <v>0.96302300209601521</v>
      </c>
      <c r="F882" s="831">
        <v>1.0243955579766262</v>
      </c>
      <c r="G882" s="831">
        <v>0.99478594243932816</v>
      </c>
      <c r="H882" s="831">
        <v>0.99025940573717053</v>
      </c>
      <c r="I882" s="831">
        <v>1.0085773286737882</v>
      </c>
      <c r="K882">
        <v>1.7319199798289049</v>
      </c>
      <c r="L882">
        <v>0</v>
      </c>
      <c r="M882">
        <v>1.485255501322709E-3</v>
      </c>
      <c r="N882">
        <v>0.13332909285281758</v>
      </c>
      <c r="O882">
        <v>1.7865621243701894E-2</v>
      </c>
      <c r="P882">
        <v>1.9341812248130905E-2</v>
      </c>
      <c r="Q882">
        <v>2.0820968045408635E-3</v>
      </c>
      <c r="R882">
        <v>1.4760354619361693E-3</v>
      </c>
      <c r="S882">
        <v>0.15346693164096248</v>
      </c>
      <c r="T882">
        <v>1.0746690792796549</v>
      </c>
      <c r="U882">
        <v>2.3129909274692211E-2</v>
      </c>
      <c r="V882">
        <v>0.20731339570032006</v>
      </c>
      <c r="W882">
        <v>8.1765981655654865E-2</v>
      </c>
      <c r="X882">
        <v>1.4947997215383526E-2</v>
      </c>
      <c r="Y882">
        <v>4.0172819524309953E-3</v>
      </c>
    </row>
    <row r="883" spans="1:25" x14ac:dyDescent="0.25">
      <c r="A883" s="827"/>
      <c r="B883" s="1066">
        <v>633</v>
      </c>
      <c r="C883" s="831">
        <v>0.97616154964283475</v>
      </c>
      <c r="D883" s="831">
        <v>1.0207103139176332</v>
      </c>
      <c r="E883" s="831">
        <v>0.97901777710456339</v>
      </c>
      <c r="F883" s="831">
        <v>0.9644784587129509</v>
      </c>
      <c r="G883" s="831">
        <v>1.0147067507624283</v>
      </c>
      <c r="H883" s="831">
        <v>0.99287280092376573</v>
      </c>
      <c r="I883" s="831">
        <v>1.0275544975901714</v>
      </c>
      <c r="K883">
        <v>1.7436291042384617</v>
      </c>
      <c r="L883">
        <v>0</v>
      </c>
      <c r="M883">
        <v>1.4592423734405132E-3</v>
      </c>
      <c r="N883">
        <v>0.13769133318621643</v>
      </c>
      <c r="O883">
        <v>1.8103072929383252E-2</v>
      </c>
      <c r="P883">
        <v>1.9638446131147742E-2</v>
      </c>
      <c r="Q883">
        <v>2.1519971049277498E-3</v>
      </c>
      <c r="R883">
        <v>1.4501763697145136E-3</v>
      </c>
      <c r="S883">
        <v>0.15888377450625996</v>
      </c>
      <c r="T883">
        <v>1.0732322944923391</v>
      </c>
      <c r="U883">
        <v>2.3892078013968705E-2</v>
      </c>
      <c r="V883">
        <v>0.20689766566189424</v>
      </c>
      <c r="W883">
        <v>8.3503313513283217E-2</v>
      </c>
      <c r="X883">
        <v>1.5697292674916038E-2</v>
      </c>
      <c r="Y883">
        <v>3.946902027851109E-3</v>
      </c>
    </row>
    <row r="884" spans="1:25" x14ac:dyDescent="0.25">
      <c r="A884" s="827"/>
      <c r="B884" s="1066">
        <v>634</v>
      </c>
      <c r="C884" s="831">
        <v>0.99656665195454408</v>
      </c>
      <c r="D884" s="831">
        <v>1.036022741332268</v>
      </c>
      <c r="E884" s="831">
        <v>0.99999582017390876</v>
      </c>
      <c r="F884" s="831">
        <v>1.0184652212908301</v>
      </c>
      <c r="G884" s="831">
        <v>1.025596590629529</v>
      </c>
      <c r="H884" s="831">
        <v>1.0391045755353563</v>
      </c>
      <c r="I884" s="831">
        <v>0.99413679027095025</v>
      </c>
      <c r="K884">
        <v>1.7397204150144132</v>
      </c>
      <c r="L884">
        <v>0</v>
      </c>
      <c r="M884">
        <v>1.4217952004981246E-3</v>
      </c>
      <c r="N884">
        <v>0.14325183372710557</v>
      </c>
      <c r="O884">
        <v>1.7613595233587659E-2</v>
      </c>
      <c r="P884">
        <v>1.9788940263241975E-2</v>
      </c>
      <c r="Q884">
        <v>2.141267837430909E-3</v>
      </c>
      <c r="R884">
        <v>1.4133447685077821E-3</v>
      </c>
      <c r="S884">
        <v>0.15290285359130959</v>
      </c>
      <c r="T884">
        <v>1.0713624437592193</v>
      </c>
      <c r="U884">
        <v>2.3402878124168837E-2</v>
      </c>
      <c r="V884">
        <v>0.20334001600419305</v>
      </c>
      <c r="W884">
        <v>8.5628320717086814E-2</v>
      </c>
      <c r="X884">
        <v>1.6450057638158756E-2</v>
      </c>
      <c r="Y884">
        <v>3.8466585509004617E-3</v>
      </c>
    </row>
    <row r="885" spans="1:25" x14ac:dyDescent="0.25">
      <c r="A885" s="827"/>
      <c r="B885" s="1066">
        <v>635</v>
      </c>
      <c r="C885" s="831">
        <v>1.0246110489631053</v>
      </c>
      <c r="D885" s="831">
        <v>0.98354690514407916</v>
      </c>
      <c r="E885" s="831">
        <v>0.98286486701822462</v>
      </c>
      <c r="F885" s="831">
        <v>1.026096070897945</v>
      </c>
      <c r="G885" s="831">
        <v>0.99928349576681319</v>
      </c>
      <c r="H885" s="831">
        <v>1.0321281029524645</v>
      </c>
      <c r="I885" s="831">
        <v>1.0207175482120572</v>
      </c>
      <c r="K885">
        <v>1.7386493280610951</v>
      </c>
      <c r="L885">
        <v>0</v>
      </c>
      <c r="M885">
        <v>1.4578350121202085E-3</v>
      </c>
      <c r="N885">
        <v>0.1392528103809019</v>
      </c>
      <c r="O885">
        <v>1.7539184664002335E-2</v>
      </c>
      <c r="P885">
        <v>1.9606548898479324E-2</v>
      </c>
      <c r="Q885">
        <v>2.0867818480034923E-3</v>
      </c>
      <c r="R885">
        <v>1.4491484893723739E-3</v>
      </c>
      <c r="S885">
        <v>0.15552407595911291</v>
      </c>
      <c r="T885">
        <v>1.0728881488352524</v>
      </c>
      <c r="U885">
        <v>2.2762323246372708E-2</v>
      </c>
      <c r="V885">
        <v>0.20509984817675822</v>
      </c>
      <c r="W885">
        <v>8.4225288520722252E-2</v>
      </c>
      <c r="X885">
        <v>1.5728899577834819E-2</v>
      </c>
      <c r="Y885">
        <v>3.944104476400468E-3</v>
      </c>
    </row>
    <row r="886" spans="1:25" x14ac:dyDescent="0.25">
      <c r="A886" s="827"/>
      <c r="B886" s="1066">
        <v>636</v>
      </c>
      <c r="C886" s="831">
        <v>1.0059006478761023</v>
      </c>
      <c r="D886" s="831">
        <v>0.99553510734578088</v>
      </c>
      <c r="E886" s="831">
        <v>0.99300980288983354</v>
      </c>
      <c r="F886" s="831">
        <v>0.96791069633765237</v>
      </c>
      <c r="G886" s="831">
        <v>1.0267083881481198</v>
      </c>
      <c r="H886" s="831">
        <v>0.97632465922774037</v>
      </c>
      <c r="I886" s="831">
        <v>0.99955183994584618</v>
      </c>
      <c r="K886">
        <v>1.726410369057809</v>
      </c>
      <c r="L886">
        <v>0</v>
      </c>
      <c r="M886">
        <v>1.3675032482532363E-3</v>
      </c>
      <c r="N886">
        <v>0.13476958095986136</v>
      </c>
      <c r="O886">
        <v>1.7767532020234393E-2</v>
      </c>
      <c r="P886">
        <v>1.9692278636075606E-2</v>
      </c>
      <c r="Q886">
        <v>2.1378976335950533E-3</v>
      </c>
      <c r="R886">
        <v>1.3588806858561766E-3</v>
      </c>
      <c r="S886">
        <v>0.15036293044449328</v>
      </c>
      <c r="T886">
        <v>1.0719832923918704</v>
      </c>
      <c r="U886">
        <v>2.3185717145671685E-2</v>
      </c>
      <c r="V886">
        <v>0.20596042059237521</v>
      </c>
      <c r="W886">
        <v>8.0945027576753981E-2</v>
      </c>
      <c r="X886">
        <v>1.5915888947269724E-2</v>
      </c>
      <c r="Y886">
        <v>3.6984252720028109E-3</v>
      </c>
    </row>
    <row r="887" spans="1:25" x14ac:dyDescent="0.25">
      <c r="A887" s="827"/>
      <c r="B887" s="1066">
        <v>637</v>
      </c>
      <c r="C887" s="831">
        <v>0.98177059575995551</v>
      </c>
      <c r="D887" s="831">
        <v>1.013511045597957</v>
      </c>
      <c r="E887" s="831">
        <v>0.99246092212923975</v>
      </c>
      <c r="F887" s="831">
        <v>1.03314610977655</v>
      </c>
      <c r="G887" s="831">
        <v>1.0356275058922229</v>
      </c>
      <c r="H887" s="831">
        <v>1.0401701376029591</v>
      </c>
      <c r="I887" s="831">
        <v>0.99190225573996282</v>
      </c>
      <c r="K887">
        <v>1.7530846794687358</v>
      </c>
      <c r="L887">
        <v>0</v>
      </c>
      <c r="M887">
        <v>1.4824169094640751E-3</v>
      </c>
      <c r="N887">
        <v>0.14590064421553339</v>
      </c>
      <c r="O887">
        <v>1.8057333774525772E-2</v>
      </c>
      <c r="P887">
        <v>1.9786964293977721E-2</v>
      </c>
      <c r="Q887">
        <v>2.1747453925078323E-3</v>
      </c>
      <c r="R887">
        <v>1.4736307340053791E-3</v>
      </c>
      <c r="S887">
        <v>0.15635222830264631</v>
      </c>
      <c r="T887">
        <v>1.0720321494955456</v>
      </c>
      <c r="U887">
        <v>2.3755577931370012E-2</v>
      </c>
      <c r="V887">
        <v>0.20692756363097276</v>
      </c>
      <c r="W887">
        <v>8.766362871157736E-2</v>
      </c>
      <c r="X887">
        <v>1.6431892819813866E-2</v>
      </c>
      <c r="Y887">
        <v>4.0107370757217339E-3</v>
      </c>
    </row>
    <row r="888" spans="1:25" x14ac:dyDescent="0.25">
      <c r="A888" s="827"/>
      <c r="B888" s="1066">
        <v>638</v>
      </c>
      <c r="C888" s="831">
        <v>0.97989664581666447</v>
      </c>
      <c r="D888" s="831">
        <v>0.98459214290998265</v>
      </c>
      <c r="E888" s="831">
        <v>1.0233154815330761</v>
      </c>
      <c r="F888" s="831">
        <v>1.0043972581372653</v>
      </c>
      <c r="G888" s="831">
        <v>1.029305310098668</v>
      </c>
      <c r="H888" s="831">
        <v>0.97509127291741404</v>
      </c>
      <c r="I888" s="831">
        <v>1.0108817858181367</v>
      </c>
      <c r="K888">
        <v>1.7488867723897914</v>
      </c>
      <c r="L888">
        <v>0</v>
      </c>
      <c r="M888">
        <v>1.3218331358565497E-3</v>
      </c>
      <c r="N888">
        <v>0.14314019239130424</v>
      </c>
      <c r="O888">
        <v>1.8330690289801312E-2</v>
      </c>
      <c r="P888">
        <v>2.0253273723012437E-2</v>
      </c>
      <c r="Q888">
        <v>2.2715037390004808E-3</v>
      </c>
      <c r="R888">
        <v>1.313495547378606E-3</v>
      </c>
      <c r="S888">
        <v>0.15672887458638896</v>
      </c>
      <c r="T888">
        <v>1.0693033720845593</v>
      </c>
      <c r="U888">
        <v>2.3801007991884466E-2</v>
      </c>
      <c r="V888">
        <v>0.20985506094448761</v>
      </c>
      <c r="W888">
        <v>8.4218031802099941E-2</v>
      </c>
      <c r="X888">
        <v>1.7418200539454521E-2</v>
      </c>
      <c r="Y888">
        <v>3.574901886273742E-3</v>
      </c>
    </row>
    <row r="889" spans="1:25" x14ac:dyDescent="0.25">
      <c r="A889" s="827"/>
      <c r="B889" s="1066">
        <v>639</v>
      </c>
      <c r="C889" s="831">
        <v>1.0125444516305067</v>
      </c>
      <c r="D889" s="831">
        <v>0.98699446305315908</v>
      </c>
      <c r="E889" s="831">
        <v>1.0012741201710755</v>
      </c>
      <c r="F889" s="831">
        <v>1.0266582645519737</v>
      </c>
      <c r="G889" s="831">
        <v>0.99814171064511525</v>
      </c>
      <c r="H889" s="831">
        <v>1.0048718681706952</v>
      </c>
      <c r="I889" s="831">
        <v>1.0071946967690562</v>
      </c>
      <c r="K889">
        <v>1.7360891820369613</v>
      </c>
      <c r="L889">
        <v>0</v>
      </c>
      <c r="M889">
        <v>1.3795118417208227E-3</v>
      </c>
      <c r="N889">
        <v>0.13952040008268735</v>
      </c>
      <c r="O889">
        <v>1.772004361086026E-2</v>
      </c>
      <c r="P889">
        <v>1.9841017198247015E-2</v>
      </c>
      <c r="Q889">
        <v>2.1484728833672268E-3</v>
      </c>
      <c r="R889">
        <v>1.3710666266358001E-3</v>
      </c>
      <c r="S889">
        <v>0.15310848271523556</v>
      </c>
      <c r="T889">
        <v>1.0712490402933603</v>
      </c>
      <c r="U889">
        <v>2.3033584215237952E-2</v>
      </c>
      <c r="V889">
        <v>0.20604729796299945</v>
      </c>
      <c r="W889">
        <v>8.3324987292503233E-2</v>
      </c>
      <c r="X889">
        <v>1.6372709611835127E-2</v>
      </c>
      <c r="Y889">
        <v>3.7315913857106481E-3</v>
      </c>
    </row>
    <row r="890" spans="1:25" x14ac:dyDescent="0.25">
      <c r="A890" s="827"/>
      <c r="B890" s="1066">
        <v>640</v>
      </c>
      <c r="C890" s="831">
        <v>1.0418958439571553</v>
      </c>
      <c r="D890" s="831">
        <v>0.99942708713139383</v>
      </c>
      <c r="E890" s="831">
        <v>0.97725190434518117</v>
      </c>
      <c r="F890" s="831">
        <v>1.0111528744621641</v>
      </c>
      <c r="G890" s="831">
        <v>1.0161787014339683</v>
      </c>
      <c r="H890" s="831">
        <v>0.98183391549405563</v>
      </c>
      <c r="I890" s="831">
        <v>1.0153352928923194</v>
      </c>
      <c r="K890">
        <v>1.70913236584469</v>
      </c>
      <c r="L890">
        <v>0</v>
      </c>
      <c r="M890">
        <v>1.3699810466039164E-3</v>
      </c>
      <c r="N890">
        <v>0.12855177580217272</v>
      </c>
      <c r="O890">
        <v>1.7123403692042936E-2</v>
      </c>
      <c r="P890">
        <v>1.9375646509770698E-2</v>
      </c>
      <c r="Q890">
        <v>2.0283971063570281E-3</v>
      </c>
      <c r="R890">
        <v>1.3613885968358206E-3</v>
      </c>
      <c r="S890">
        <v>0.14760751306890879</v>
      </c>
      <c r="T890">
        <v>1.0733904487789845</v>
      </c>
      <c r="U890">
        <v>2.2384701919650109E-2</v>
      </c>
      <c r="V890">
        <v>0.20190133394238929</v>
      </c>
      <c r="W890">
        <v>7.8056312845514647E-2</v>
      </c>
      <c r="X890">
        <v>1.5016173649708487E-2</v>
      </c>
      <c r="Y890">
        <v>3.7052509789567696E-3</v>
      </c>
    </row>
    <row r="891" spans="1:25" x14ac:dyDescent="0.25">
      <c r="A891" s="827"/>
      <c r="B891" s="1066">
        <v>641</v>
      </c>
      <c r="C891" s="831">
        <v>0.99812711709969681</v>
      </c>
      <c r="D891" s="831">
        <v>1.0253538731128498</v>
      </c>
      <c r="E891" s="831">
        <v>1.0165404287446862</v>
      </c>
      <c r="F891" s="831">
        <v>0.98621583693564085</v>
      </c>
      <c r="G891" s="831">
        <v>0.99524305722147743</v>
      </c>
      <c r="H891" s="831">
        <v>0.99157223548285256</v>
      </c>
      <c r="I891" s="831">
        <v>0.99366829222429132</v>
      </c>
      <c r="K891">
        <v>1.7292124307590182</v>
      </c>
      <c r="L891">
        <v>0</v>
      </c>
      <c r="M891">
        <v>1.3143126073193307E-3</v>
      </c>
      <c r="N891">
        <v>0.13937342145114043</v>
      </c>
      <c r="O891">
        <v>1.7668415785933721E-2</v>
      </c>
      <c r="P891">
        <v>1.9981143584838573E-2</v>
      </c>
      <c r="Q891">
        <v>2.1819636381905792E-3</v>
      </c>
      <c r="R891">
        <v>1.3061333278032727E-3</v>
      </c>
      <c r="S891">
        <v>0.14988901482313943</v>
      </c>
      <c r="T891">
        <v>1.0698994727837541</v>
      </c>
      <c r="U891">
        <v>2.3366290223706721E-2</v>
      </c>
      <c r="V891">
        <v>0.20410067219039643</v>
      </c>
      <c r="W891">
        <v>8.2377574426935954E-2</v>
      </c>
      <c r="X891">
        <v>1.6827776778950795E-2</v>
      </c>
      <c r="Y891">
        <v>3.5548643515447139E-3</v>
      </c>
    </row>
    <row r="892" spans="1:25" x14ac:dyDescent="0.25">
      <c r="A892" s="827"/>
      <c r="B892" s="1066">
        <v>642</v>
      </c>
      <c r="C892" s="831">
        <v>1.0252088316305359</v>
      </c>
      <c r="D892" s="831">
        <v>0.97565866171843463</v>
      </c>
      <c r="E892" s="831">
        <v>0.98846105498660564</v>
      </c>
      <c r="F892" s="831">
        <v>1.0062381354952274</v>
      </c>
      <c r="G892" s="831">
        <v>1.0025339132631375</v>
      </c>
      <c r="H892" s="831">
        <v>0.99494007989076516</v>
      </c>
      <c r="I892" s="831">
        <v>1.0263158406635315</v>
      </c>
      <c r="K892">
        <v>1.7308723457491493</v>
      </c>
      <c r="L892">
        <v>0</v>
      </c>
      <c r="M892">
        <v>1.3931497234935253E-3</v>
      </c>
      <c r="N892">
        <v>0.13538393295155965</v>
      </c>
      <c r="O892">
        <v>1.7593168282503152E-2</v>
      </c>
      <c r="P892">
        <v>1.9672696270694415E-2</v>
      </c>
      <c r="Q892">
        <v>2.1037026930943925E-3</v>
      </c>
      <c r="R892">
        <v>1.384544066917352E-3</v>
      </c>
      <c r="S892">
        <v>0.15410872298073922</v>
      </c>
      <c r="T892">
        <v>1.0723885293383633</v>
      </c>
      <c r="U892">
        <v>2.274905090430213E-2</v>
      </c>
      <c r="V892">
        <v>0.20577271902354499</v>
      </c>
      <c r="W892">
        <v>8.1569147566370848E-2</v>
      </c>
      <c r="X892">
        <v>1.5771008859232726E-2</v>
      </c>
      <c r="Y892">
        <v>3.7682725353200375E-3</v>
      </c>
    </row>
    <row r="893" spans="1:25" x14ac:dyDescent="0.25">
      <c r="A893" s="827"/>
      <c r="B893" s="1066">
        <v>643</v>
      </c>
      <c r="C893" s="831">
        <v>1.0087596524778391</v>
      </c>
      <c r="D893" s="831">
        <v>1.0351401151038497</v>
      </c>
      <c r="E893" s="831">
        <v>0.98860236196417062</v>
      </c>
      <c r="F893" s="831">
        <v>1.0176479585673419</v>
      </c>
      <c r="G893" s="831">
        <v>0.99197734232120238</v>
      </c>
      <c r="H893" s="831">
        <v>1.0059895684591991</v>
      </c>
      <c r="I893" s="831">
        <v>1.0016576513367075</v>
      </c>
      <c r="K893">
        <v>1.723193553205242</v>
      </c>
      <c r="L893">
        <v>0</v>
      </c>
      <c r="M893">
        <v>1.3933745148850482E-3</v>
      </c>
      <c r="N893">
        <v>0.13547060295810162</v>
      </c>
      <c r="O893">
        <v>1.740738911868266E-2</v>
      </c>
      <c r="P893">
        <v>1.95739678351553E-2</v>
      </c>
      <c r="Q893">
        <v>2.0918828094007263E-3</v>
      </c>
      <c r="R893">
        <v>1.384820974478925E-3</v>
      </c>
      <c r="S893">
        <v>0.14992723202230138</v>
      </c>
      <c r="T893">
        <v>1.0723759289133059</v>
      </c>
      <c r="U893">
        <v>2.312000469191601E-2</v>
      </c>
      <c r="V893">
        <v>0.20214495881431505</v>
      </c>
      <c r="W893">
        <v>8.1613411483779458E-2</v>
      </c>
      <c r="X893">
        <v>1.5707701912267925E-2</v>
      </c>
      <c r="Y893">
        <v>3.7690261864200855E-3</v>
      </c>
    </row>
    <row r="894" spans="1:25" x14ac:dyDescent="0.25">
      <c r="A894" s="827"/>
      <c r="B894" s="1066">
        <v>644</v>
      </c>
      <c r="C894" s="831">
        <v>1.0047318572688273</v>
      </c>
      <c r="D894" s="831">
        <v>0.99325025437143655</v>
      </c>
      <c r="E894" s="831">
        <v>0.96544810221928357</v>
      </c>
      <c r="F894" s="831">
        <v>0.98381559651343775</v>
      </c>
      <c r="G894" s="831">
        <v>0.96990716320157777</v>
      </c>
      <c r="H894" s="831">
        <v>0.95743791556790536</v>
      </c>
      <c r="I894" s="831">
        <v>0.97665053465534446</v>
      </c>
      <c r="K894">
        <v>1.7153000033086567</v>
      </c>
      <c r="L894">
        <v>0</v>
      </c>
      <c r="M894">
        <v>1.4240556079981096E-3</v>
      </c>
      <c r="N894">
        <v>0.12877737059812241</v>
      </c>
      <c r="O894">
        <v>1.7806736537828594E-2</v>
      </c>
      <c r="P894">
        <v>1.9262198755898411E-2</v>
      </c>
      <c r="Q894">
        <v>2.0830059734563739E-3</v>
      </c>
      <c r="R894">
        <v>1.4149010575023556E-3</v>
      </c>
      <c r="S894">
        <v>0.14590714554284315</v>
      </c>
      <c r="T894">
        <v>1.0744506199669734</v>
      </c>
      <c r="U894">
        <v>2.3212688768226266E-2</v>
      </c>
      <c r="V894">
        <v>0.20629824858553567</v>
      </c>
      <c r="W894">
        <v>7.8840309811860007E-2</v>
      </c>
      <c r="X894">
        <v>1.4819939061891675E-2</v>
      </c>
      <c r="Y894">
        <v>3.8508942565131611E-3</v>
      </c>
    </row>
    <row r="895" spans="1:25" x14ac:dyDescent="0.25">
      <c r="A895" s="827"/>
      <c r="B895" s="1066">
        <v>645</v>
      </c>
      <c r="C895" s="831">
        <v>0.97182599979578876</v>
      </c>
      <c r="D895" s="831">
        <v>1.0125113866585034</v>
      </c>
      <c r="E895" s="831">
        <v>1.0085320540287039</v>
      </c>
      <c r="F895" s="831">
        <v>1.0069495117741993</v>
      </c>
      <c r="G895" s="831">
        <v>1.0047724094744805</v>
      </c>
      <c r="H895" s="831">
        <v>1.0144566209017252</v>
      </c>
      <c r="I895" s="831">
        <v>1.0015176135446244</v>
      </c>
      <c r="K895">
        <v>1.754748395185842</v>
      </c>
      <c r="L895">
        <v>0</v>
      </c>
      <c r="M895">
        <v>1.4125860604357395E-3</v>
      </c>
      <c r="N895">
        <v>0.14613352712338473</v>
      </c>
      <c r="O895">
        <v>1.8250256172658182E-2</v>
      </c>
      <c r="P895">
        <v>2.0043828469877754E-2</v>
      </c>
      <c r="Q895">
        <v>2.2335862531937286E-3</v>
      </c>
      <c r="R895">
        <v>1.4040022394244697E-3</v>
      </c>
      <c r="S895">
        <v>0.15765706836397067</v>
      </c>
      <c r="T895">
        <v>1.0706063278810236</v>
      </c>
      <c r="U895">
        <v>2.3998666328338567E-2</v>
      </c>
      <c r="V895">
        <v>0.20813067953409989</v>
      </c>
      <c r="W895">
        <v>8.6843634390005142E-2</v>
      </c>
      <c r="X895">
        <v>1.7038173223801887E-2</v>
      </c>
      <c r="Y895">
        <v>3.8212312664995677E-3</v>
      </c>
    </row>
    <row r="896" spans="1:25" x14ac:dyDescent="0.25">
      <c r="A896" s="827"/>
      <c r="B896" s="1066">
        <v>646</v>
      </c>
      <c r="C896" s="831">
        <v>1.0310283540573575</v>
      </c>
      <c r="D896" s="831">
        <v>0.96677158170210153</v>
      </c>
      <c r="E896" s="831">
        <v>1.0144557868575439</v>
      </c>
      <c r="F896" s="831">
        <v>1.0205155421318868</v>
      </c>
      <c r="G896" s="831">
        <v>1.0006469788181007</v>
      </c>
      <c r="H896" s="831">
        <v>0.98795249147235387</v>
      </c>
      <c r="I896" s="831">
        <v>0.99769985067430522</v>
      </c>
      <c r="K896">
        <v>1.7269584310521555</v>
      </c>
      <c r="L896">
        <v>0</v>
      </c>
      <c r="M896">
        <v>1.307684834711058E-3</v>
      </c>
      <c r="N896">
        <v>0.13777616202122467</v>
      </c>
      <c r="O896">
        <v>1.7566778128755584E-2</v>
      </c>
      <c r="P896">
        <v>1.9957445354323748E-2</v>
      </c>
      <c r="Q896">
        <v>2.1544697557026576E-3</v>
      </c>
      <c r="R896">
        <v>1.2995561298999136E-3</v>
      </c>
      <c r="S896">
        <v>0.14904216217251845</v>
      </c>
      <c r="T896">
        <v>1.0700832390038184</v>
      </c>
      <c r="U896">
        <v>2.2620646470606853E-2</v>
      </c>
      <c r="V896">
        <v>0.20601245151287398</v>
      </c>
      <c r="W896">
        <v>8.1548493888231557E-2</v>
      </c>
      <c r="X896">
        <v>1.6667748061886423E-2</v>
      </c>
      <c r="Y896">
        <v>3.5369633870244777E-3</v>
      </c>
    </row>
    <row r="897" spans="1:25" x14ac:dyDescent="0.25">
      <c r="A897" s="827"/>
      <c r="B897" s="1066">
        <v>647</v>
      </c>
      <c r="C897" s="831">
        <v>1.0000691380813111</v>
      </c>
      <c r="D897" s="831">
        <v>1.0194628481017229</v>
      </c>
      <c r="E897" s="831">
        <v>1.0129509859617816</v>
      </c>
      <c r="F897" s="831">
        <v>1.0285962658894998</v>
      </c>
      <c r="G897" s="831">
        <v>1.0331624208899433</v>
      </c>
      <c r="H897" s="831">
        <v>1.0037600308465733</v>
      </c>
      <c r="I897" s="831">
        <v>1.0047096717434614</v>
      </c>
      <c r="K897">
        <v>1.7347187257793355</v>
      </c>
      <c r="L897">
        <v>0</v>
      </c>
      <c r="M897">
        <v>1.3414658999423713E-3</v>
      </c>
      <c r="N897">
        <v>0.14068592479156575</v>
      </c>
      <c r="O897">
        <v>1.7680070023499892E-2</v>
      </c>
      <c r="P897">
        <v>1.9972339205997388E-2</v>
      </c>
      <c r="Q897">
        <v>2.1745876575936869E-3</v>
      </c>
      <c r="R897">
        <v>1.333222829672129E-3</v>
      </c>
      <c r="S897">
        <v>0.15249279059368989</v>
      </c>
      <c r="T897">
        <v>1.0702159930555062</v>
      </c>
      <c r="U897">
        <v>2.3320915534948701E-2</v>
      </c>
      <c r="V897">
        <v>0.20441565017650734</v>
      </c>
      <c r="W897">
        <v>8.3355724611906934E-2</v>
      </c>
      <c r="X897">
        <v>1.6784380152807563E-2</v>
      </c>
      <c r="Y897">
        <v>3.6285930455798518E-3</v>
      </c>
    </row>
    <row r="898" spans="1:25" x14ac:dyDescent="0.25">
      <c r="A898" s="827"/>
      <c r="B898" s="1066">
        <v>648</v>
      </c>
      <c r="C898" s="831">
        <v>0.96955858403771422</v>
      </c>
      <c r="D898" s="831">
        <v>0.98188412684510984</v>
      </c>
      <c r="E898" s="831">
        <v>0.99787985696276671</v>
      </c>
      <c r="F898" s="831">
        <v>1.0219435167482203</v>
      </c>
      <c r="G898" s="831">
        <v>1.0059330786613869</v>
      </c>
      <c r="H898" s="831">
        <v>1.0018269251592777</v>
      </c>
      <c r="I898" s="831">
        <v>1.0357942186701417</v>
      </c>
      <c r="K898">
        <v>1.7649279608487782</v>
      </c>
      <c r="L898">
        <v>0</v>
      </c>
      <c r="M898">
        <v>1.4500187039074622E-3</v>
      </c>
      <c r="N898">
        <v>0.14510842713335315</v>
      </c>
      <c r="O898">
        <v>1.8549316915830765E-2</v>
      </c>
      <c r="P898">
        <v>2.0036476592891803E-2</v>
      </c>
      <c r="Q898">
        <v>2.2403948675983102E-3</v>
      </c>
      <c r="R898">
        <v>1.4411186698150614E-3</v>
      </c>
      <c r="S898">
        <v>0.16455696147354307</v>
      </c>
      <c r="T898">
        <v>1.0715502954475831</v>
      </c>
      <c r="U898">
        <v>2.4054789759249809E-2</v>
      </c>
      <c r="V898">
        <v>0.21130601020467643</v>
      </c>
      <c r="W898">
        <v>8.6863859617708233E-2</v>
      </c>
      <c r="X898">
        <v>1.674807891584245E-2</v>
      </c>
      <c r="Y898">
        <v>3.9222499545947687E-3</v>
      </c>
    </row>
    <row r="899" spans="1:25" x14ac:dyDescent="0.25">
      <c r="A899" s="827"/>
      <c r="B899" s="1066">
        <v>649</v>
      </c>
      <c r="C899" s="831">
        <v>0.98005941580489819</v>
      </c>
      <c r="D899" s="831">
        <v>1.0337299796080959</v>
      </c>
      <c r="E899" s="831">
        <v>1.0063114995124722</v>
      </c>
      <c r="F899" s="831">
        <v>0.99249907031460205</v>
      </c>
      <c r="G899" s="831">
        <v>1.0420166485136064</v>
      </c>
      <c r="H899" s="831">
        <v>0.97075471275266523</v>
      </c>
      <c r="I899" s="831">
        <v>0.9783115952663034</v>
      </c>
      <c r="K899">
        <v>1.7268311901514328</v>
      </c>
      <c r="L899">
        <v>0</v>
      </c>
      <c r="M899">
        <v>1.3341226186788166E-3</v>
      </c>
      <c r="N899">
        <v>0.1370275470317065</v>
      </c>
      <c r="O899">
        <v>1.79281732554488E-2</v>
      </c>
      <c r="P899">
        <v>1.9844027658734217E-2</v>
      </c>
      <c r="Q899">
        <v>2.1929758223998763E-3</v>
      </c>
      <c r="R899">
        <v>1.3256364746844222E-3</v>
      </c>
      <c r="S899">
        <v>0.14831864275061538</v>
      </c>
      <c r="T899">
        <v>1.0708027535065006</v>
      </c>
      <c r="U899">
        <v>2.3797055078695371E-2</v>
      </c>
      <c r="V899">
        <v>0.20530767157078203</v>
      </c>
      <c r="W899">
        <v>8.155535160434263E-2</v>
      </c>
      <c r="X899">
        <v>1.6457532528057258E-2</v>
      </c>
      <c r="Y899">
        <v>3.6079454881445621E-3</v>
      </c>
    </row>
    <row r="900" spans="1:25" x14ac:dyDescent="0.25">
      <c r="A900" s="827"/>
      <c r="B900" s="1066">
        <v>650</v>
      </c>
      <c r="C900" s="831">
        <v>1.016985345449406</v>
      </c>
      <c r="D900" s="831">
        <v>1.0098958492268508</v>
      </c>
      <c r="E900" s="831">
        <v>1.0233798866764463</v>
      </c>
      <c r="F900" s="831">
        <v>1.0224206397112487</v>
      </c>
      <c r="G900" s="831">
        <v>0.98556814211993882</v>
      </c>
      <c r="H900" s="831">
        <v>1.0172822160592625</v>
      </c>
      <c r="I900" s="831">
        <v>1.0268938071008682</v>
      </c>
      <c r="K900">
        <v>1.7370250201646247</v>
      </c>
      <c r="L900">
        <v>0</v>
      </c>
      <c r="M900">
        <v>1.3133830265931264E-3</v>
      </c>
      <c r="N900">
        <v>0.14228924499546786</v>
      </c>
      <c r="O900">
        <v>1.7460269617897008E-2</v>
      </c>
      <c r="P900">
        <v>2.0127630373803686E-2</v>
      </c>
      <c r="Q900">
        <v>2.1682934681575999E-3</v>
      </c>
      <c r="R900">
        <v>1.3054258647547824E-3</v>
      </c>
      <c r="S900">
        <v>0.15484333659493851</v>
      </c>
      <c r="T900">
        <v>1.0692977137649682</v>
      </c>
      <c r="U900">
        <v>2.2933002921489413E-2</v>
      </c>
      <c r="V900">
        <v>0.20349688375705086</v>
      </c>
      <c r="W900">
        <v>8.3713738220281955E-2</v>
      </c>
      <c r="X900">
        <v>1.71499247420672E-2</v>
      </c>
      <c r="Y900">
        <v>3.5529388703418562E-3</v>
      </c>
    </row>
    <row r="901" spans="1:25" x14ac:dyDescent="0.25">
      <c r="A901" s="827"/>
      <c r="B901" s="1066">
        <v>651</v>
      </c>
      <c r="C901" s="831">
        <v>1.0213329911758273</v>
      </c>
      <c r="D901" s="831">
        <v>1.021578962195097</v>
      </c>
      <c r="E901" s="831">
        <v>1.0117145000017609</v>
      </c>
      <c r="F901" s="831">
        <v>0.99160011625757372</v>
      </c>
      <c r="G901" s="831">
        <v>1.0050160031652808</v>
      </c>
      <c r="H901" s="831">
        <v>0.99635583093932056</v>
      </c>
      <c r="I901" s="831">
        <v>0.99336561121472189</v>
      </c>
      <c r="K901">
        <v>1.7187494144578905</v>
      </c>
      <c r="L901">
        <v>0</v>
      </c>
      <c r="M901">
        <v>1.3060307603442517E-3</v>
      </c>
      <c r="N901">
        <v>0.13643785170174766</v>
      </c>
      <c r="O901">
        <v>1.7295762219512446E-2</v>
      </c>
      <c r="P901">
        <v>1.984031890055753E-2</v>
      </c>
      <c r="Q901">
        <v>2.1250519681929206E-3</v>
      </c>
      <c r="R901">
        <v>1.2979444430680862E-3</v>
      </c>
      <c r="S901">
        <v>0.14699324601710437</v>
      </c>
      <c r="T901">
        <v>1.0703251403976144</v>
      </c>
      <c r="U901">
        <v>2.2835380918668581E-2</v>
      </c>
      <c r="V901">
        <v>0.2020254573718232</v>
      </c>
      <c r="W901">
        <v>8.0906599013537597E-2</v>
      </c>
      <c r="X901">
        <v>1.6440115359646477E-2</v>
      </c>
      <c r="Y901">
        <v>3.5325769067606652E-3</v>
      </c>
    </row>
    <row r="902" spans="1:25" x14ac:dyDescent="0.25">
      <c r="A902" s="827"/>
      <c r="B902" s="1066">
        <v>652</v>
      </c>
      <c r="C902" s="831">
        <v>1.0139159033521012</v>
      </c>
      <c r="D902" s="831">
        <v>0.99702835820332436</v>
      </c>
      <c r="E902" s="831">
        <v>1.0283221575541586</v>
      </c>
      <c r="F902" s="831">
        <v>0.98367633652561504</v>
      </c>
      <c r="G902" s="831">
        <v>1.005963797104416</v>
      </c>
      <c r="H902" s="831">
        <v>1.0001339247073937</v>
      </c>
      <c r="I902" s="831">
        <v>1.0147266455338328</v>
      </c>
      <c r="K902">
        <v>1.7356652641213282</v>
      </c>
      <c r="L902">
        <v>0</v>
      </c>
      <c r="M902">
        <v>1.2891447436135196E-3</v>
      </c>
      <c r="N902">
        <v>0.14180929633978492</v>
      </c>
      <c r="O902">
        <v>1.7615106823334472E-2</v>
      </c>
      <c r="P902">
        <v>2.0190962493553129E-2</v>
      </c>
      <c r="Q902">
        <v>2.1959563122619145E-3</v>
      </c>
      <c r="R902">
        <v>1.2812087941056662E-3</v>
      </c>
      <c r="S902">
        <v>0.15305769259228275</v>
      </c>
      <c r="T902">
        <v>1.068863979171089</v>
      </c>
      <c r="U902">
        <v>2.3002428328815737E-2</v>
      </c>
      <c r="V902">
        <v>0.20497546881055095</v>
      </c>
      <c r="W902">
        <v>8.3154716003949178E-2</v>
      </c>
      <c r="X902">
        <v>1.7320565208021797E-2</v>
      </c>
      <c r="Y902">
        <v>3.4870279871901571E-3</v>
      </c>
    </row>
    <row r="903" spans="1:25" x14ac:dyDescent="0.25">
      <c r="A903" s="827"/>
      <c r="B903" s="1066">
        <v>653</v>
      </c>
      <c r="C903" s="831">
        <v>1.0040765509073379</v>
      </c>
      <c r="D903" s="831">
        <v>1.0165868025683544</v>
      </c>
      <c r="E903" s="831">
        <v>1.0125290152630233</v>
      </c>
      <c r="F903" s="831">
        <v>0.98324398641006494</v>
      </c>
      <c r="G903" s="831">
        <v>1.0041353126665946</v>
      </c>
      <c r="H903" s="831">
        <v>1.0086455142928956</v>
      </c>
      <c r="I903" s="831">
        <v>1.0077456327252641</v>
      </c>
      <c r="K903">
        <v>1.7352242332824557</v>
      </c>
      <c r="L903">
        <v>0</v>
      </c>
      <c r="M903">
        <v>1.3455262241487413E-3</v>
      </c>
      <c r="N903">
        <v>0.14093121314933074</v>
      </c>
      <c r="O903">
        <v>1.7632008011919668E-2</v>
      </c>
      <c r="P903">
        <v>1.9968224034527474E-2</v>
      </c>
      <c r="Q903">
        <v>2.1672657722040193E-3</v>
      </c>
      <c r="R903">
        <v>1.3373001265323768E-3</v>
      </c>
      <c r="S903">
        <v>0.15287094715729579</v>
      </c>
      <c r="T903">
        <v>1.0702532348378642</v>
      </c>
      <c r="U903">
        <v>2.3227838432465824E-2</v>
      </c>
      <c r="V903">
        <v>0.20424597451746765</v>
      </c>
      <c r="W903">
        <v>8.3524956275438086E-2</v>
      </c>
      <c r="X903">
        <v>1.6771107088003633E-2</v>
      </c>
      <c r="Y903">
        <v>3.6396901035528964E-3</v>
      </c>
    </row>
    <row r="904" spans="1:25" x14ac:dyDescent="0.25">
      <c r="A904" s="827"/>
      <c r="B904" s="1066">
        <v>654</v>
      </c>
      <c r="C904" s="831">
        <v>1.0405210774507589</v>
      </c>
      <c r="D904" s="831">
        <v>0.98050122520718774</v>
      </c>
      <c r="E904" s="831">
        <v>0.97602715441830501</v>
      </c>
      <c r="F904" s="831">
        <v>0.99967768510069666</v>
      </c>
      <c r="G904" s="831">
        <v>0.98679559727849986</v>
      </c>
      <c r="H904" s="831">
        <v>0.97633260705283897</v>
      </c>
      <c r="I904" s="831">
        <v>0.97488387703621948</v>
      </c>
      <c r="K904">
        <v>1.7070411116735205</v>
      </c>
      <c r="L904">
        <v>0</v>
      </c>
      <c r="M904">
        <v>1.3795105691237959E-3</v>
      </c>
      <c r="N904">
        <v>0.12894952497086964</v>
      </c>
      <c r="O904">
        <v>1.7295334934392607E-2</v>
      </c>
      <c r="P904">
        <v>1.9318029582305565E-2</v>
      </c>
      <c r="Q904">
        <v>2.0429885723453859E-3</v>
      </c>
      <c r="R904">
        <v>1.3708232128602906E-3</v>
      </c>
      <c r="S904">
        <v>0.14267204212340492</v>
      </c>
      <c r="T904">
        <v>1.0735002080382094</v>
      </c>
      <c r="U904">
        <v>2.2414277234481979E-2</v>
      </c>
      <c r="V904">
        <v>0.20374788154161369</v>
      </c>
      <c r="W904">
        <v>7.8364551593124249E-2</v>
      </c>
      <c r="X904">
        <v>1.5014031545378871E-2</v>
      </c>
      <c r="Y904">
        <v>3.7309288936550403E-3</v>
      </c>
    </row>
    <row r="905" spans="1:25" x14ac:dyDescent="0.25">
      <c r="A905" s="827"/>
      <c r="B905" s="1066">
        <v>655</v>
      </c>
      <c r="C905" s="831">
        <v>0.97505579096438932</v>
      </c>
      <c r="D905" s="831">
        <v>0.98422480444167415</v>
      </c>
      <c r="E905" s="831">
        <v>1.0067166116631523</v>
      </c>
      <c r="F905" s="831">
        <v>1.0188101843293567</v>
      </c>
      <c r="G905" s="831">
        <v>0.98836665578392224</v>
      </c>
      <c r="H905" s="831">
        <v>1.0125392483932709</v>
      </c>
      <c r="I905" s="831">
        <v>0.9878935180703079</v>
      </c>
      <c r="K905">
        <v>1.7578794948408583</v>
      </c>
      <c r="L905">
        <v>0</v>
      </c>
      <c r="M905">
        <v>1.4288401053337853E-3</v>
      </c>
      <c r="N905">
        <v>0.1469833576904325</v>
      </c>
      <c r="O905">
        <v>1.8424816389047086E-2</v>
      </c>
      <c r="P905">
        <v>2.0036470695789184E-2</v>
      </c>
      <c r="Q905">
        <v>2.2456294125704165E-3</v>
      </c>
      <c r="R905">
        <v>1.4201611482187986E-3</v>
      </c>
      <c r="S905">
        <v>0.15669236443394688</v>
      </c>
      <c r="T905">
        <v>1.0707669042307482</v>
      </c>
      <c r="U905">
        <v>2.3919172743167627E-2</v>
      </c>
      <c r="V905">
        <v>0.2104430963499169</v>
      </c>
      <c r="W905">
        <v>8.7456663950201741E-2</v>
      </c>
      <c r="X905">
        <v>1.7054487412696759E-2</v>
      </c>
      <c r="Y905">
        <v>3.8652104894548803E-3</v>
      </c>
    </row>
    <row r="906" spans="1:25" x14ac:dyDescent="0.25">
      <c r="A906" s="827"/>
      <c r="B906" s="1066">
        <v>656</v>
      </c>
      <c r="C906" s="831">
        <v>1.0111715790989135</v>
      </c>
      <c r="D906" s="831">
        <v>0.99934334889271226</v>
      </c>
      <c r="E906" s="831">
        <v>1.0111355484831375</v>
      </c>
      <c r="F906" s="831">
        <v>1.0135555462239385</v>
      </c>
      <c r="G906" s="831">
        <v>1.0236886476780187</v>
      </c>
      <c r="H906" s="831">
        <v>1.0247025827552732</v>
      </c>
      <c r="I906" s="831">
        <v>1.0136243704367496</v>
      </c>
      <c r="K906">
        <v>1.7417242475148316</v>
      </c>
      <c r="L906">
        <v>0</v>
      </c>
      <c r="M906">
        <v>1.3719198121910276E-3</v>
      </c>
      <c r="N906">
        <v>0.14308962333191222</v>
      </c>
      <c r="O906">
        <v>1.764436491120553E-2</v>
      </c>
      <c r="P906">
        <v>1.9986538190884588E-2</v>
      </c>
      <c r="Q906">
        <v>2.1627464115094534E-3</v>
      </c>
      <c r="R906">
        <v>1.3636752346972024E-3</v>
      </c>
      <c r="S906">
        <v>0.15492731561811915</v>
      </c>
      <c r="T906">
        <v>1.070376265605351</v>
      </c>
      <c r="U906">
        <v>2.3064857023658243E-2</v>
      </c>
      <c r="V906">
        <v>0.20505291657381472</v>
      </c>
      <c r="W906">
        <v>8.4884401528786499E-2</v>
      </c>
      <c r="X906">
        <v>1.6831988443658373E-2</v>
      </c>
      <c r="Y906">
        <v>3.7114744534254814E-3</v>
      </c>
    </row>
    <row r="907" spans="1:25" x14ac:dyDescent="0.25">
      <c r="A907" s="827"/>
      <c r="B907" s="1066">
        <v>657</v>
      </c>
      <c r="C907" s="831">
        <v>0.98471826317612743</v>
      </c>
      <c r="D907" s="831">
        <v>1.0088024989160906</v>
      </c>
      <c r="E907" s="831">
        <v>0.99751911454464282</v>
      </c>
      <c r="F907" s="831">
        <v>1.0014434899514624</v>
      </c>
      <c r="G907" s="831">
        <v>1.0008241040748753</v>
      </c>
      <c r="H907" s="831">
        <v>1.0279253097851271</v>
      </c>
      <c r="I907" s="831">
        <v>1.0477519959014356</v>
      </c>
      <c r="K907">
        <v>1.758506660379465</v>
      </c>
      <c r="L907">
        <v>0</v>
      </c>
      <c r="M907">
        <v>1.4481608650237319E-3</v>
      </c>
      <c r="N907">
        <v>0.14478069375466121</v>
      </c>
      <c r="O907">
        <v>1.8041245090665275E-2</v>
      </c>
      <c r="P907">
        <v>1.9961366064499064E-2</v>
      </c>
      <c r="Q907">
        <v>2.1830855662675628E-3</v>
      </c>
      <c r="R907">
        <v>1.4394787535945764E-3</v>
      </c>
      <c r="S907">
        <v>0.16404853470632011</v>
      </c>
      <c r="T907">
        <v>1.0715823384141965</v>
      </c>
      <c r="U907">
        <v>2.3684467700515979E-2</v>
      </c>
      <c r="V907">
        <v>0.20703583728635955</v>
      </c>
      <c r="W907">
        <v>8.6689103645193583E-2</v>
      </c>
      <c r="X907">
        <v>1.6590883618972457E-2</v>
      </c>
      <c r="Y907">
        <v>3.9177866432408455E-3</v>
      </c>
    </row>
    <row r="908" spans="1:25" x14ac:dyDescent="0.25">
      <c r="A908" s="827"/>
      <c r="B908" s="1066">
        <v>658</v>
      </c>
      <c r="C908" s="831">
        <v>0.99732623489647299</v>
      </c>
      <c r="D908" s="831">
        <v>1.0024018441343594</v>
      </c>
      <c r="E908" s="831">
        <v>1.0033360094031902</v>
      </c>
      <c r="F908" s="831">
        <v>0.99813569168109406</v>
      </c>
      <c r="G908" s="831">
        <v>1.0152880841716736</v>
      </c>
      <c r="H908" s="831">
        <v>0.99912668984279851</v>
      </c>
      <c r="I908" s="831">
        <v>1.0249459737627518</v>
      </c>
      <c r="K908">
        <v>1.7413600469737764</v>
      </c>
      <c r="L908">
        <v>0</v>
      </c>
      <c r="M908">
        <v>1.3768290443038232E-3</v>
      </c>
      <c r="N908">
        <v>0.14013897334006292</v>
      </c>
      <c r="O908">
        <v>1.7864569717347518E-2</v>
      </c>
      <c r="P908">
        <v>1.9926363291834469E-2</v>
      </c>
      <c r="Q908">
        <v>2.1732496473818581E-3</v>
      </c>
      <c r="R908">
        <v>1.3683410508913646E-3</v>
      </c>
      <c r="S908">
        <v>0.15674618732238182</v>
      </c>
      <c r="T908">
        <v>1.0710662512841389</v>
      </c>
      <c r="U908">
        <v>2.3385054039738729E-2</v>
      </c>
      <c r="V908">
        <v>0.20625007023317471</v>
      </c>
      <c r="W908">
        <v>8.3576608634706229E-2</v>
      </c>
      <c r="X908">
        <v>1.6517034189400908E-2</v>
      </c>
      <c r="Y908">
        <v>3.7241732670200973E-3</v>
      </c>
    </row>
    <row r="909" spans="1:25" x14ac:dyDescent="0.25">
      <c r="A909" s="827"/>
      <c r="B909" s="1066">
        <v>659</v>
      </c>
      <c r="C909" s="831">
        <v>0.99812444480266871</v>
      </c>
      <c r="D909" s="831">
        <v>1.0250615942759651</v>
      </c>
      <c r="E909" s="831">
        <v>1.0102076515787122</v>
      </c>
      <c r="F909" s="831">
        <v>1.0257526356817672</v>
      </c>
      <c r="G909" s="831">
        <v>1.0038011808777771</v>
      </c>
      <c r="H909" s="831">
        <v>1.0311908133448988</v>
      </c>
      <c r="I909" s="831">
        <v>1.0117443755034214</v>
      </c>
      <c r="K909">
        <v>1.7434486078165408</v>
      </c>
      <c r="L909">
        <v>0</v>
      </c>
      <c r="M909">
        <v>1.3853967878442439E-3</v>
      </c>
      <c r="N909">
        <v>0.14408275714985974</v>
      </c>
      <c r="O909">
        <v>1.7670738224738282E-2</v>
      </c>
      <c r="P909">
        <v>1.9973035130343507E-2</v>
      </c>
      <c r="Q909">
        <v>2.1684548785346506E-3</v>
      </c>
      <c r="R909">
        <v>1.3771065704165585E-3</v>
      </c>
      <c r="S909">
        <v>0.1554849375450652</v>
      </c>
      <c r="T909">
        <v>1.070458231416747</v>
      </c>
      <c r="U909">
        <v>2.3366352782707475E-2</v>
      </c>
      <c r="V909">
        <v>0.20412653413542051</v>
      </c>
      <c r="W909">
        <v>8.5527436046454949E-2</v>
      </c>
      <c r="X909">
        <v>1.6850390602480447E-2</v>
      </c>
      <c r="Y909">
        <v>3.7480301216149393E-3</v>
      </c>
    </row>
    <row r="910" spans="1:25" x14ac:dyDescent="0.25">
      <c r="A910" s="827"/>
      <c r="B910" s="1066">
        <v>660</v>
      </c>
      <c r="C910" s="831">
        <v>1.0162183561144225</v>
      </c>
      <c r="D910" s="831">
        <v>0.98178395990420464</v>
      </c>
      <c r="E910" s="831">
        <v>1.0437096038271658</v>
      </c>
      <c r="F910" s="831">
        <v>1.0064249823416929</v>
      </c>
      <c r="G910" s="831">
        <v>1.0438317896666944</v>
      </c>
      <c r="H910" s="831">
        <v>1.026375800625432</v>
      </c>
      <c r="I910" s="831">
        <v>0.99595770689393603</v>
      </c>
      <c r="K910">
        <v>1.745954331018071</v>
      </c>
      <c r="L910">
        <v>0</v>
      </c>
      <c r="M910">
        <v>1.2866086063017639E-3</v>
      </c>
      <c r="N910">
        <v>0.14847618654315292</v>
      </c>
      <c r="O910">
        <v>1.7698442717423931E-2</v>
      </c>
      <c r="P910">
        <v>2.0408738571696707E-2</v>
      </c>
      <c r="Q910">
        <v>2.2372124211010474E-3</v>
      </c>
      <c r="R910">
        <v>1.2789005093430017E-3</v>
      </c>
      <c r="S910">
        <v>0.15271106112777066</v>
      </c>
      <c r="T910">
        <v>1.0675195096965664</v>
      </c>
      <c r="U910">
        <v>2.2950311572286896E-2</v>
      </c>
      <c r="V910">
        <v>0.20614529140654661</v>
      </c>
      <c r="W910">
        <v>8.6174621652345518E-2</v>
      </c>
      <c r="X910">
        <v>1.815991780914529E-2</v>
      </c>
      <c r="Y910">
        <v>3.4807455969920499E-3</v>
      </c>
    </row>
    <row r="911" spans="1:25" x14ac:dyDescent="0.25">
      <c r="A911" s="827"/>
      <c r="B911" s="1066">
        <v>661</v>
      </c>
      <c r="C911" s="831">
        <v>0.97729676220576345</v>
      </c>
      <c r="D911" s="831">
        <v>0.99309153355572743</v>
      </c>
      <c r="E911" s="831">
        <v>1.0030374598572769</v>
      </c>
      <c r="F911" s="831">
        <v>0.98895073807187628</v>
      </c>
      <c r="G911" s="831">
        <v>1.0424127054726264</v>
      </c>
      <c r="H911" s="831">
        <v>1.0086579749601829</v>
      </c>
      <c r="I911" s="831">
        <v>0.99740961309512832</v>
      </c>
      <c r="K911">
        <v>1.7538460712044133</v>
      </c>
      <c r="L911">
        <v>0</v>
      </c>
      <c r="M911">
        <v>1.4253498440596993E-3</v>
      </c>
      <c r="N911">
        <v>0.14495212443124814</v>
      </c>
      <c r="O911">
        <v>1.8307941227483717E-2</v>
      </c>
      <c r="P911">
        <v>1.9974055314364643E-2</v>
      </c>
      <c r="Q911">
        <v>2.2248148086125678E-3</v>
      </c>
      <c r="R911">
        <v>1.4166523814751967E-3</v>
      </c>
      <c r="S911">
        <v>0.1569660287409326</v>
      </c>
      <c r="T911">
        <v>1.0710927081274639</v>
      </c>
      <c r="U911">
        <v>2.3864325351558635E-2</v>
      </c>
      <c r="V911">
        <v>0.20933469779510078</v>
      </c>
      <c r="W911">
        <v>8.6464715766335465E-2</v>
      </c>
      <c r="X911">
        <v>1.6817696320853615E-2</v>
      </c>
      <c r="Y911">
        <v>3.8556607830434412E-3</v>
      </c>
    </row>
    <row r="912" spans="1:25" x14ac:dyDescent="0.25">
      <c r="A912" s="827"/>
      <c r="B912" s="1066">
        <v>662</v>
      </c>
      <c r="C912" s="831">
        <v>0.98579488230958112</v>
      </c>
      <c r="D912" s="831">
        <v>1.0301229905616969</v>
      </c>
      <c r="E912" s="831">
        <v>1.0433897702502013</v>
      </c>
      <c r="F912" s="831">
        <v>0.97758268110939617</v>
      </c>
      <c r="G912" s="831">
        <v>0.99239216502374172</v>
      </c>
      <c r="H912" s="831">
        <v>1.0177640148077842</v>
      </c>
      <c r="I912" s="831">
        <v>0.98224986236530276</v>
      </c>
      <c r="K912">
        <v>1.7445748314685543</v>
      </c>
      <c r="L912">
        <v>0</v>
      </c>
      <c r="M912">
        <v>1.2877868932773726E-3</v>
      </c>
      <c r="N912">
        <v>0.14845373499431119</v>
      </c>
      <c r="O912">
        <v>1.7852003830181463E-2</v>
      </c>
      <c r="P912">
        <v>2.0382390822151118E-2</v>
      </c>
      <c r="Q912">
        <v>2.2647942442646225E-3</v>
      </c>
      <c r="R912">
        <v>1.2799760225605048E-3</v>
      </c>
      <c r="S912">
        <v>0.15158097520614325</v>
      </c>
      <c r="T912">
        <v>1.0675473634543733</v>
      </c>
      <c r="U912">
        <v>2.3658601111482498E-2</v>
      </c>
      <c r="V912">
        <v>0.20500168593131329</v>
      </c>
      <c r="W912">
        <v>8.6179887380770953E-2</v>
      </c>
      <c r="X912">
        <v>1.8177532574849969E-2</v>
      </c>
      <c r="Y912">
        <v>3.4836727894272572E-3</v>
      </c>
    </row>
    <row r="913" spans="1:25" x14ac:dyDescent="0.25">
      <c r="A913" s="827"/>
      <c r="B913" s="1066">
        <v>663</v>
      </c>
      <c r="C913" s="831">
        <v>1.0060236107674192</v>
      </c>
      <c r="D913" s="831">
        <v>0.9738120557111466</v>
      </c>
      <c r="E913" s="831">
        <v>1.0410088582782366</v>
      </c>
      <c r="F913" s="831">
        <v>1.0011215002357434</v>
      </c>
      <c r="G913" s="831">
        <v>1.0174963717408627</v>
      </c>
      <c r="H913" s="831">
        <v>1.0278910073030652</v>
      </c>
      <c r="I913" s="831">
        <v>0.97920305116569728</v>
      </c>
      <c r="K913">
        <v>1.7513744632845609</v>
      </c>
      <c r="L913">
        <v>0</v>
      </c>
      <c r="M913">
        <v>1.3138873209608969E-3</v>
      </c>
      <c r="N913">
        <v>0.15036142118251497</v>
      </c>
      <c r="O913">
        <v>1.7944114507505028E-2</v>
      </c>
      <c r="P913">
        <v>2.0395760787374893E-2</v>
      </c>
      <c r="Q913">
        <v>2.2607296987880591E-3</v>
      </c>
      <c r="R913">
        <v>1.3060326815261447E-3</v>
      </c>
      <c r="S913">
        <v>0.15228685450318319</v>
      </c>
      <c r="T913">
        <v>1.0677548351781716</v>
      </c>
      <c r="U913">
        <v>2.3182883233239651E-2</v>
      </c>
      <c r="V913">
        <v>0.20799369918585631</v>
      </c>
      <c r="W913">
        <v>8.7425536990773697E-2</v>
      </c>
      <c r="X913">
        <v>1.8221892231029654E-2</v>
      </c>
      <c r="Y913">
        <v>3.5545904255564085E-3</v>
      </c>
    </row>
    <row r="914" spans="1:25" x14ac:dyDescent="0.25">
      <c r="A914" s="827"/>
      <c r="B914" s="1066">
        <v>664</v>
      </c>
      <c r="C914" s="831">
        <v>1.0329331256360113</v>
      </c>
      <c r="D914" s="831">
        <v>1.0481536231532371</v>
      </c>
      <c r="E914" s="831">
        <v>0.9863882077855407</v>
      </c>
      <c r="F914" s="831">
        <v>1.0082364611137697</v>
      </c>
      <c r="G914" s="831">
        <v>1.0187536407257378</v>
      </c>
      <c r="H914" s="831">
        <v>1.0109948055142171</v>
      </c>
      <c r="I914" s="831">
        <v>1.0191676203136379</v>
      </c>
      <c r="K914">
        <v>1.7113319184949676</v>
      </c>
      <c r="L914">
        <v>0</v>
      </c>
      <c r="M914">
        <v>1.3662073488520663E-3</v>
      </c>
      <c r="N914">
        <v>0.13191981580995121</v>
      </c>
      <c r="O914">
        <v>1.6904532042476373E-2</v>
      </c>
      <c r="P914">
        <v>1.9470848946657637E-2</v>
      </c>
      <c r="Q914">
        <v>2.028938001346224E-3</v>
      </c>
      <c r="R914">
        <v>1.3578537861064295E-3</v>
      </c>
      <c r="S914">
        <v>0.14855791229551618</v>
      </c>
      <c r="T914">
        <v>1.0725734527097619</v>
      </c>
      <c r="U914">
        <v>2.2578933059139435E-2</v>
      </c>
      <c r="V914">
        <v>0.19864422122629172</v>
      </c>
      <c r="W914">
        <v>7.9595817458430904E-2</v>
      </c>
      <c r="X914">
        <v>1.5370170118740468E-2</v>
      </c>
      <c r="Y914">
        <v>3.6956303894014114E-3</v>
      </c>
    </row>
    <row r="915" spans="1:25" x14ac:dyDescent="0.25">
      <c r="A915" s="827"/>
      <c r="B915" s="1066">
        <v>665</v>
      </c>
      <c r="C915" s="831">
        <v>1.0243019834883067</v>
      </c>
      <c r="D915" s="831">
        <v>1.0283856821904587</v>
      </c>
      <c r="E915" s="831">
        <v>0.99029031682591151</v>
      </c>
      <c r="F915" s="831">
        <v>1.0416226731478542</v>
      </c>
      <c r="G915" s="831">
        <v>0.97004736303796157</v>
      </c>
      <c r="H915" s="831">
        <v>0.98533691716999761</v>
      </c>
      <c r="I915" s="831">
        <v>0.99578074750285483</v>
      </c>
      <c r="K915">
        <v>1.7100930480524368</v>
      </c>
      <c r="L915">
        <v>0</v>
      </c>
      <c r="M915">
        <v>1.3432575076918003E-3</v>
      </c>
      <c r="N915">
        <v>0.13126959044572026</v>
      </c>
      <c r="O915">
        <v>1.7193981093037731E-2</v>
      </c>
      <c r="P915">
        <v>1.9522034465258246E-2</v>
      </c>
      <c r="Q915">
        <v>2.0686743847885126E-3</v>
      </c>
      <c r="R915">
        <v>1.334843202652347E-3</v>
      </c>
      <c r="S915">
        <v>0.14576091796638987</v>
      </c>
      <c r="T915">
        <v>1.0722254711345656</v>
      </c>
      <c r="U915">
        <v>2.2769191385217491E-2</v>
      </c>
      <c r="V915">
        <v>0.20114099054358581</v>
      </c>
      <c r="W915">
        <v>7.8990577111921631E-2</v>
      </c>
      <c r="X915">
        <v>1.5527030660316327E-2</v>
      </c>
      <c r="Y915">
        <v>3.6330031666761959E-3</v>
      </c>
    </row>
    <row r="916" spans="1:25" x14ac:dyDescent="0.25">
      <c r="A916" s="827"/>
      <c r="B916" s="1066">
        <v>666</v>
      </c>
      <c r="C916" s="831">
        <v>0.99100597593867878</v>
      </c>
      <c r="D916" s="831">
        <v>1.0184263524054959</v>
      </c>
      <c r="E916" s="831">
        <v>1.0204930213372168</v>
      </c>
      <c r="F916" s="831">
        <v>0.98732629166540531</v>
      </c>
      <c r="G916" s="831">
        <v>0.99319518997893264</v>
      </c>
      <c r="H916" s="831">
        <v>1.012756364884023</v>
      </c>
      <c r="I916" s="831">
        <v>0.97862512656376421</v>
      </c>
      <c r="K916">
        <v>1.7396521152592808</v>
      </c>
      <c r="L916">
        <v>0</v>
      </c>
      <c r="M916">
        <v>1.3449073338673765E-3</v>
      </c>
      <c r="N916">
        <v>0.14439932768123903</v>
      </c>
      <c r="O916">
        <v>1.7849966292711319E-2</v>
      </c>
      <c r="P916">
        <v>2.0065436394312432E-2</v>
      </c>
      <c r="Q916">
        <v>2.211855008711701E-3</v>
      </c>
      <c r="R916">
        <v>1.3367171997965919E-3</v>
      </c>
      <c r="S916">
        <v>0.15058782699640824</v>
      </c>
      <c r="T916">
        <v>1.0695514939675745</v>
      </c>
      <c r="U916">
        <v>2.3534195014527682E-2</v>
      </c>
      <c r="V916">
        <v>0.20547488962589791</v>
      </c>
      <c r="W916">
        <v>8.5120604380001158E-2</v>
      </c>
      <c r="X916">
        <v>1.7226606462826307E-2</v>
      </c>
      <c r="Y916">
        <v>3.6381035691398374E-3</v>
      </c>
    </row>
    <row r="917" spans="1:25" x14ac:dyDescent="0.25">
      <c r="A917" s="827"/>
      <c r="B917" s="1066">
        <v>667</v>
      </c>
      <c r="C917" s="831">
        <v>1.009824851317948</v>
      </c>
      <c r="D917" s="831">
        <v>0.99450522795307505</v>
      </c>
      <c r="E917" s="831">
        <v>1.0139219213007178</v>
      </c>
      <c r="F917" s="831">
        <v>1.0005668893579576</v>
      </c>
      <c r="G917" s="831">
        <v>0.97130177503577264</v>
      </c>
      <c r="H917" s="831">
        <v>0.98106324439006509</v>
      </c>
      <c r="I917" s="831">
        <v>0.98588893350167606</v>
      </c>
      <c r="K917">
        <v>1.7264629925976185</v>
      </c>
      <c r="L917">
        <v>0</v>
      </c>
      <c r="M917">
        <v>1.3104105355021317E-3</v>
      </c>
      <c r="N917">
        <v>0.1378263798314045</v>
      </c>
      <c r="O917">
        <v>1.7706791451236145E-2</v>
      </c>
      <c r="P917">
        <v>1.9939004028477807E-2</v>
      </c>
      <c r="Q917">
        <v>2.1755765606274922E-3</v>
      </c>
      <c r="R917">
        <v>1.3021885654439691E-3</v>
      </c>
      <c r="S917">
        <v>0.14812768913201391</v>
      </c>
      <c r="T917">
        <v>1.0701303269987725</v>
      </c>
      <c r="U917">
        <v>2.3095616896201723E-2</v>
      </c>
      <c r="V917">
        <v>0.20563681536308778</v>
      </c>
      <c r="W917">
        <v>8.1607729423926828E-2</v>
      </c>
      <c r="X917">
        <v>1.6681156873133752E-2</v>
      </c>
      <c r="Y917">
        <v>3.5441280087932518E-3</v>
      </c>
    </row>
    <row r="918" spans="1:25" x14ac:dyDescent="0.25">
      <c r="A918" s="827"/>
      <c r="B918" s="1066">
        <v>668</v>
      </c>
      <c r="C918" s="831">
        <v>0.9835491242746186</v>
      </c>
      <c r="D918" s="831">
        <v>1.0315204929013952</v>
      </c>
      <c r="E918" s="831">
        <v>0.96284554725750593</v>
      </c>
      <c r="F918" s="831">
        <v>0.97611788937286903</v>
      </c>
      <c r="G918" s="831">
        <v>0.96124986752611663</v>
      </c>
      <c r="H918" s="831">
        <v>0.99569084760752935</v>
      </c>
      <c r="I918" s="831">
        <v>0.98871323215539675</v>
      </c>
      <c r="K918">
        <v>1.7294971845150899</v>
      </c>
      <c r="L918">
        <v>0</v>
      </c>
      <c r="M918">
        <v>1.4953513391064537E-3</v>
      </c>
      <c r="N918">
        <v>0.13416206482762208</v>
      </c>
      <c r="O918">
        <v>1.7881820288177433E-2</v>
      </c>
      <c r="P918">
        <v>1.9288882778598332E-2</v>
      </c>
      <c r="Q918">
        <v>2.0926479931609229E-3</v>
      </c>
      <c r="R918">
        <v>1.4860794449324595E-3</v>
      </c>
      <c r="S918">
        <v>0.15127027193353848</v>
      </c>
      <c r="T918">
        <v>1.0746850735111102</v>
      </c>
      <c r="U918">
        <v>2.3712621284172144E-2</v>
      </c>
      <c r="V918">
        <v>0.20512207010647748</v>
      </c>
      <c r="W918">
        <v>8.2287067819304588E-2</v>
      </c>
      <c r="X918">
        <v>1.4959317503951363E-2</v>
      </c>
      <c r="Y918">
        <v>4.044618363148793E-3</v>
      </c>
    </row>
    <row r="919" spans="1:25" x14ac:dyDescent="0.25">
      <c r="A919" s="827"/>
      <c r="B919" s="1066">
        <v>669</v>
      </c>
      <c r="C919" s="831">
        <v>1.0026699682252262</v>
      </c>
      <c r="D919" s="831">
        <v>0.99676602921958712</v>
      </c>
      <c r="E919" s="831">
        <v>0.99012502616773612</v>
      </c>
      <c r="F919" s="831">
        <v>1.0099349453013999</v>
      </c>
      <c r="G919" s="831">
        <v>1.0286578061299696</v>
      </c>
      <c r="H919" s="831">
        <v>1.0028426976561626</v>
      </c>
      <c r="I919" s="831">
        <v>0.99135971888668362</v>
      </c>
      <c r="K919">
        <v>1.7342628711284542</v>
      </c>
      <c r="L919">
        <v>0</v>
      </c>
      <c r="M919">
        <v>1.4169548838552355E-3</v>
      </c>
      <c r="N919">
        <v>0.13841780507010248</v>
      </c>
      <c r="O919">
        <v>1.7814801762083752E-2</v>
      </c>
      <c r="P919">
        <v>1.9671568940722521E-2</v>
      </c>
      <c r="Q919">
        <v>2.137566550845957E-3</v>
      </c>
      <c r="R919">
        <v>1.4082558854159166E-3</v>
      </c>
      <c r="S919">
        <v>0.15141934066747109</v>
      </c>
      <c r="T919">
        <v>1.0722401997664353</v>
      </c>
      <c r="U919">
        <v>2.326042330716771E-2</v>
      </c>
      <c r="V919">
        <v>0.20619380211143742</v>
      </c>
      <c r="W919">
        <v>8.3301451778560853E-2</v>
      </c>
      <c r="X919">
        <v>1.5981801883392394E-2</v>
      </c>
      <c r="Y919">
        <v>3.8328082886742625E-3</v>
      </c>
    </row>
    <row r="920" spans="1:25" x14ac:dyDescent="0.25">
      <c r="A920" s="827"/>
      <c r="B920" s="1066">
        <v>670</v>
      </c>
      <c r="C920" s="831">
        <v>1.0433821128505745</v>
      </c>
      <c r="D920" s="831">
        <v>1.0071006929530364</v>
      </c>
      <c r="E920" s="831">
        <v>0.9817237230223238</v>
      </c>
      <c r="F920" s="831">
        <v>0.99809070261820887</v>
      </c>
      <c r="G920" s="831">
        <v>1.0168105407553707</v>
      </c>
      <c r="H920" s="831">
        <v>0.99933418278088648</v>
      </c>
      <c r="I920" s="831">
        <v>1.037181944818389</v>
      </c>
      <c r="K920">
        <v>1.7152437421867892</v>
      </c>
      <c r="L920">
        <v>0</v>
      </c>
      <c r="M920">
        <v>1.3746402222259849E-3</v>
      </c>
      <c r="N920">
        <v>0.13081276703576111</v>
      </c>
      <c r="O920">
        <v>1.7039896047349595E-2</v>
      </c>
      <c r="P920">
        <v>1.9474981991892265E-2</v>
      </c>
      <c r="Q920">
        <v>2.0289724391753189E-3</v>
      </c>
      <c r="R920">
        <v>1.3661642616691525E-3</v>
      </c>
      <c r="S920">
        <v>0.15133677381749716</v>
      </c>
      <c r="T920">
        <v>1.0729901730971179</v>
      </c>
      <c r="U920">
        <v>2.2352815532350665E-2</v>
      </c>
      <c r="V920">
        <v>0.20108119920544212</v>
      </c>
      <c r="W920">
        <v>7.9183009574606861E-2</v>
      </c>
      <c r="X920">
        <v>1.523338064181679E-2</v>
      </c>
      <c r="Y920">
        <v>3.7182487643356104E-3</v>
      </c>
    </row>
    <row r="921" spans="1:25" x14ac:dyDescent="0.25">
      <c r="A921" s="827"/>
      <c r="B921" s="1066">
        <v>671</v>
      </c>
      <c r="C921" s="831">
        <v>1.0072906862941897</v>
      </c>
      <c r="D921" s="831">
        <v>1.0223438934327003</v>
      </c>
      <c r="E921" s="831">
        <v>1.0033936850568363</v>
      </c>
      <c r="F921" s="831">
        <v>0.9899077691594339</v>
      </c>
      <c r="G921" s="831">
        <v>0.99209702992852089</v>
      </c>
      <c r="H921" s="831">
        <v>0.99608678149077656</v>
      </c>
      <c r="I921" s="831">
        <v>0.96872136330035763</v>
      </c>
      <c r="K921">
        <v>1.7210570594432453</v>
      </c>
      <c r="L921">
        <v>0</v>
      </c>
      <c r="M921">
        <v>1.3468554024135351E-3</v>
      </c>
      <c r="N921">
        <v>0.13710877794503276</v>
      </c>
      <c r="O921">
        <v>1.7530947130298045E-2</v>
      </c>
      <c r="P921">
        <v>1.9728137852679604E-2</v>
      </c>
      <c r="Q921">
        <v>2.1362117731974742E-3</v>
      </c>
      <c r="R921">
        <v>1.3385135632541074E-3</v>
      </c>
      <c r="S921">
        <v>0.14528143436657284</v>
      </c>
      <c r="T921">
        <v>1.0710611405749795</v>
      </c>
      <c r="U921">
        <v>2.3153721379184512E-2</v>
      </c>
      <c r="V921">
        <v>0.20340115157448641</v>
      </c>
      <c r="W921">
        <v>8.1766229973956342E-2</v>
      </c>
      <c r="X921">
        <v>1.6254656033715561E-2</v>
      </c>
      <c r="Y921">
        <v>3.6429926783001399E-3</v>
      </c>
    </row>
    <row r="922" spans="1:25" x14ac:dyDescent="0.25">
      <c r="A922" s="827"/>
      <c r="B922" s="1066">
        <v>672</v>
      </c>
      <c r="C922" s="831">
        <v>1.0035697455322317</v>
      </c>
      <c r="D922" s="831">
        <v>1.0028852663679881</v>
      </c>
      <c r="E922" s="831">
        <v>0.98118762873842225</v>
      </c>
      <c r="F922" s="831">
        <v>1.0041515651339119</v>
      </c>
      <c r="G922" s="831">
        <v>0.98969246183707771</v>
      </c>
      <c r="H922" s="831">
        <v>1.0048345455452692</v>
      </c>
      <c r="I922" s="831">
        <v>1.0144569903514078</v>
      </c>
      <c r="K922">
        <v>1.735205835648888</v>
      </c>
      <c r="L922">
        <v>0</v>
      </c>
      <c r="M922">
        <v>1.4413893636260817E-3</v>
      </c>
      <c r="N922">
        <v>0.13694075752925236</v>
      </c>
      <c r="O922">
        <v>1.77495531833873E-2</v>
      </c>
      <c r="P922">
        <v>1.9582951934442237E-2</v>
      </c>
      <c r="Q922">
        <v>2.1115980521660528E-3</v>
      </c>
      <c r="R922">
        <v>1.4325534926428441E-3</v>
      </c>
      <c r="S922">
        <v>0.15455971572301222</v>
      </c>
      <c r="T922">
        <v>1.0730381196398386</v>
      </c>
      <c r="U922">
        <v>2.3239568552292627E-2</v>
      </c>
      <c r="V922">
        <v>0.20553602834392209</v>
      </c>
      <c r="W922">
        <v>8.2923187282161123E-2</v>
      </c>
      <c r="X922">
        <v>1.5634252913555555E-2</v>
      </c>
      <c r="Y922">
        <v>3.8989383658418887E-3</v>
      </c>
    </row>
    <row r="923" spans="1:25" x14ac:dyDescent="0.25">
      <c r="A923" s="827"/>
      <c r="B923" s="1066">
        <v>673</v>
      </c>
      <c r="C923" s="831">
        <v>1.0084382931895339</v>
      </c>
      <c r="D923" s="831">
        <v>0.99332459735441392</v>
      </c>
      <c r="E923" s="831">
        <v>0.98690335945209196</v>
      </c>
      <c r="F923" s="831">
        <v>0.98053391715502347</v>
      </c>
      <c r="G923" s="831">
        <v>0.95851800204491966</v>
      </c>
      <c r="H923" s="831">
        <v>0.99053853581904172</v>
      </c>
      <c r="I923" s="831">
        <v>1.0090263087367553</v>
      </c>
      <c r="K923">
        <v>1.7307089631081518</v>
      </c>
      <c r="L923">
        <v>0</v>
      </c>
      <c r="M923">
        <v>1.4032159491463418E-3</v>
      </c>
      <c r="N923">
        <v>0.13569731865369664</v>
      </c>
      <c r="O923">
        <v>1.774068733434522E-2</v>
      </c>
      <c r="P923">
        <v>1.9637418370405543E-2</v>
      </c>
      <c r="Q923">
        <v>2.1211445226392797E-3</v>
      </c>
      <c r="R923">
        <v>1.3944967521071748E-3</v>
      </c>
      <c r="S923">
        <v>0.15257002069832362</v>
      </c>
      <c r="T923">
        <v>1.0725274797666073</v>
      </c>
      <c r="U923">
        <v>2.3127372349712818E-2</v>
      </c>
      <c r="V923">
        <v>0.20589402492726608</v>
      </c>
      <c r="W923">
        <v>8.184590532821634E-2</v>
      </c>
      <c r="X923">
        <v>1.5760949890470843E-2</v>
      </c>
      <c r="Y923">
        <v>3.7953604635049452E-3</v>
      </c>
    </row>
    <row r="924" spans="1:25" x14ac:dyDescent="0.25">
      <c r="A924" s="827"/>
      <c r="B924" s="1066">
        <v>674</v>
      </c>
      <c r="C924" s="831">
        <v>1.0332117878493359</v>
      </c>
      <c r="D924" s="831">
        <v>0.99509965299780812</v>
      </c>
      <c r="E924" s="831">
        <v>0.97515714658475816</v>
      </c>
      <c r="F924" s="831">
        <v>0.98235699849167124</v>
      </c>
      <c r="G924" s="831">
        <v>1.0317163143552617</v>
      </c>
      <c r="H924" s="831">
        <v>0.97001417248289801</v>
      </c>
      <c r="I924" s="831">
        <v>0.97814889563029805</v>
      </c>
      <c r="K924">
        <v>1.7053699082975891</v>
      </c>
      <c r="L924">
        <v>0</v>
      </c>
      <c r="M924">
        <v>1.3735712934805409E-3</v>
      </c>
      <c r="N924">
        <v>0.12804039426950539</v>
      </c>
      <c r="O924">
        <v>1.7301308717603318E-2</v>
      </c>
      <c r="P924">
        <v>1.930287651279064E-2</v>
      </c>
      <c r="Q924">
        <v>2.0443748105566104E-3</v>
      </c>
      <c r="R924">
        <v>1.3648544379943294E-3</v>
      </c>
      <c r="S924">
        <v>0.14284999206985735</v>
      </c>
      <c r="T924">
        <v>1.0735782103355176</v>
      </c>
      <c r="U924">
        <v>2.2572843411755663E-2</v>
      </c>
      <c r="V924">
        <v>0.2031591984801504</v>
      </c>
      <c r="W924">
        <v>7.7859193611775054E-2</v>
      </c>
      <c r="X924">
        <v>1.4955549077487208E-2</v>
      </c>
      <c r="Y924">
        <v>3.7146838560760003E-3</v>
      </c>
    </row>
    <row r="925" spans="1:25" x14ac:dyDescent="0.25">
      <c r="A925" s="827"/>
      <c r="B925" s="1066">
        <v>675</v>
      </c>
      <c r="C925" s="831">
        <v>1.0001962773114583</v>
      </c>
      <c r="D925" s="831">
        <v>0.97867700250040679</v>
      </c>
      <c r="E925" s="831">
        <v>0.98067351124039315</v>
      </c>
      <c r="F925" s="831">
        <v>0.96830647852821072</v>
      </c>
      <c r="G925" s="831">
        <v>0.97669772610424155</v>
      </c>
      <c r="H925" s="831">
        <v>0.98327883337743094</v>
      </c>
      <c r="I925" s="831">
        <v>1.0195566676544303</v>
      </c>
      <c r="K925">
        <v>1.7378789619274526</v>
      </c>
      <c r="L925">
        <v>0</v>
      </c>
      <c r="M925">
        <v>1.4325220101232699E-3</v>
      </c>
      <c r="N925">
        <v>0.13586382416427784</v>
      </c>
      <c r="O925">
        <v>1.800784971597964E-2</v>
      </c>
      <c r="P925">
        <v>1.9629800618745297E-2</v>
      </c>
      <c r="Q925">
        <v>2.1369022369184961E-3</v>
      </c>
      <c r="R925">
        <v>1.4235659212739149E-3</v>
      </c>
      <c r="S925">
        <v>0.15585899063166422</v>
      </c>
      <c r="T925">
        <v>1.0730841107963871</v>
      </c>
      <c r="U925">
        <v>2.3317951113549926E-2</v>
      </c>
      <c r="V925">
        <v>0.20816350339442247</v>
      </c>
      <c r="W925">
        <v>8.2300395948614782E-2</v>
      </c>
      <c r="X925">
        <v>1.5650112236411641E-2</v>
      </c>
      <c r="Y925">
        <v>3.87447715932777E-3</v>
      </c>
    </row>
    <row r="926" spans="1:25" x14ac:dyDescent="0.25">
      <c r="A926" s="827"/>
      <c r="B926" s="1066">
        <v>676</v>
      </c>
      <c r="C926" s="831">
        <v>1.0312706855838871</v>
      </c>
      <c r="D926" s="831">
        <v>1.000768251689242</v>
      </c>
      <c r="E926" s="831">
        <v>1.0302381576400461</v>
      </c>
      <c r="F926" s="831">
        <v>1.0143928016804902</v>
      </c>
      <c r="G926" s="831">
        <v>1.017315900850521</v>
      </c>
      <c r="H926" s="831">
        <v>1.0303296534195918</v>
      </c>
      <c r="I926" s="831">
        <v>1.0358351539696662</v>
      </c>
      <c r="K926">
        <v>1.7381092291153468</v>
      </c>
      <c r="L926">
        <v>0</v>
      </c>
      <c r="M926">
        <v>1.2982341618524263E-3</v>
      </c>
      <c r="N926">
        <v>0.14368692971062502</v>
      </c>
      <c r="O926">
        <v>1.7289320416844896E-2</v>
      </c>
      <c r="P926">
        <v>2.0216426171415218E-2</v>
      </c>
      <c r="Q926">
        <v>2.1600943932485205E-3</v>
      </c>
      <c r="R926">
        <v>1.2904741077116239E-3</v>
      </c>
      <c r="S926">
        <v>0.15555018018103134</v>
      </c>
      <c r="T926">
        <v>1.0686960798297913</v>
      </c>
      <c r="U926">
        <v>2.2615330993432034E-2</v>
      </c>
      <c r="V926">
        <v>0.20284535620201757</v>
      </c>
      <c r="W926">
        <v>8.4147566451439906E-2</v>
      </c>
      <c r="X926">
        <v>1.7397459703125676E-2</v>
      </c>
      <c r="Y926">
        <v>3.512245116515763E-3</v>
      </c>
    </row>
    <row r="927" spans="1:25" x14ac:dyDescent="0.25">
      <c r="A927" s="827"/>
      <c r="B927" s="1066">
        <v>677</v>
      </c>
      <c r="C927" s="831">
        <v>1.0178007109023806</v>
      </c>
      <c r="D927" s="831">
        <v>0.97261485215089971</v>
      </c>
      <c r="E927" s="831">
        <v>0.96810326250837253</v>
      </c>
      <c r="F927" s="831">
        <v>0.97344315096762579</v>
      </c>
      <c r="G927" s="831">
        <v>1.0075152076033629</v>
      </c>
      <c r="H927" s="831">
        <v>0.97633940055577784</v>
      </c>
      <c r="I927" s="831">
        <v>1.0188750445761208</v>
      </c>
      <c r="K927">
        <v>1.7264859521428384</v>
      </c>
      <c r="L927">
        <v>0</v>
      </c>
      <c r="M927">
        <v>1.4392053428155384E-3</v>
      </c>
      <c r="N927">
        <v>0.1312474440467096</v>
      </c>
      <c r="O927">
        <v>1.7746398535058248E-2</v>
      </c>
      <c r="P927">
        <v>1.9395584330133539E-2</v>
      </c>
      <c r="Q927">
        <v>2.0779869685967826E-3</v>
      </c>
      <c r="R927">
        <v>1.4301481630205196E-3</v>
      </c>
      <c r="S927">
        <v>0.15295198493260748</v>
      </c>
      <c r="T927">
        <v>1.0742116886849786</v>
      </c>
      <c r="U927">
        <v>2.2914631173351678E-2</v>
      </c>
      <c r="V927">
        <v>0.20684623472272223</v>
      </c>
      <c r="W927">
        <v>8.0203257215764392E-2</v>
      </c>
      <c r="X927">
        <v>1.5007406861183566E-2</v>
      </c>
      <c r="Y927">
        <v>3.8923918515266194E-3</v>
      </c>
    </row>
    <row r="928" spans="1:25" x14ac:dyDescent="0.25">
      <c r="A928" s="827"/>
      <c r="B928" s="1066">
        <v>678</v>
      </c>
      <c r="C928" s="831">
        <v>0.95343520328575992</v>
      </c>
      <c r="D928" s="831">
        <v>1.0119062763568449</v>
      </c>
      <c r="E928" s="831">
        <v>0.99068654081661078</v>
      </c>
      <c r="F928" s="831">
        <v>1.0298244430877121</v>
      </c>
      <c r="G928" s="831">
        <v>1.0178199441068656</v>
      </c>
      <c r="H928" s="831">
        <v>1.0346270831256539</v>
      </c>
      <c r="I928" s="831">
        <v>0.99578824657139198</v>
      </c>
      <c r="K928">
        <v>1.7688518954027974</v>
      </c>
      <c r="L928">
        <v>0</v>
      </c>
      <c r="M928">
        <v>1.5251069195945813E-3</v>
      </c>
      <c r="N928">
        <v>0.14927073445263297</v>
      </c>
      <c r="O928">
        <v>1.8607315838464571E-2</v>
      </c>
      <c r="P928">
        <v>1.9885355549341871E-2</v>
      </c>
      <c r="Q928">
        <v>2.2366821269423475E-3</v>
      </c>
      <c r="R928">
        <v>1.5160204610020485E-3</v>
      </c>
      <c r="S928">
        <v>0.16132265909837429</v>
      </c>
      <c r="T928">
        <v>1.0721901688084492</v>
      </c>
      <c r="U928">
        <v>2.4461576222409576E-2</v>
      </c>
      <c r="V928">
        <v>0.21029963002568472</v>
      </c>
      <c r="W928">
        <v>8.9798131046312013E-2</v>
      </c>
      <c r="X928">
        <v>1.6662620753939723E-2</v>
      </c>
      <c r="Y928">
        <v>4.1261079388369183E-3</v>
      </c>
    </row>
    <row r="929" spans="1:25" x14ac:dyDescent="0.25">
      <c r="A929" s="827"/>
      <c r="B929" s="1066">
        <v>679</v>
      </c>
      <c r="C929" s="831">
        <v>1.0279127957276846</v>
      </c>
      <c r="D929" s="831">
        <v>1.0200956567670516</v>
      </c>
      <c r="E929" s="831">
        <v>0.99952603489292369</v>
      </c>
      <c r="F929" s="831">
        <v>0.98529029788051292</v>
      </c>
      <c r="G929" s="831">
        <v>0.99037158999918951</v>
      </c>
      <c r="H929" s="831">
        <v>1.0111348339112038</v>
      </c>
      <c r="I929" s="831">
        <v>0.95723453823437676</v>
      </c>
      <c r="K929">
        <v>1.7132352571637985</v>
      </c>
      <c r="L929">
        <v>0</v>
      </c>
      <c r="M929">
        <v>1.3520759329267219E-3</v>
      </c>
      <c r="N929">
        <v>0.13600690427802031</v>
      </c>
      <c r="O929">
        <v>1.7196336807215558E-2</v>
      </c>
      <c r="P929">
        <v>1.9596195944092523E-2</v>
      </c>
      <c r="Q929">
        <v>2.0869417496230383E-3</v>
      </c>
      <c r="R929">
        <v>1.3438278503456792E-3</v>
      </c>
      <c r="S929">
        <v>0.1418039026660895</v>
      </c>
      <c r="T929">
        <v>1.0714041359217739</v>
      </c>
      <c r="U929">
        <v>2.268920865197771E-2</v>
      </c>
      <c r="V929">
        <v>0.20149192107559494</v>
      </c>
      <c r="W929">
        <v>8.132382895768632E-2</v>
      </c>
      <c r="X929">
        <v>1.5986672778396015E-2</v>
      </c>
      <c r="Y929">
        <v>3.6574564159091304E-3</v>
      </c>
    </row>
    <row r="930" spans="1:25" x14ac:dyDescent="0.25">
      <c r="A930" s="827"/>
      <c r="B930" s="1066">
        <v>680</v>
      </c>
      <c r="C930" s="831">
        <v>1.0284526844324944</v>
      </c>
      <c r="D930" s="831">
        <v>0.96314636512960694</v>
      </c>
      <c r="E930" s="831">
        <v>0.98238065848687561</v>
      </c>
      <c r="F930" s="831">
        <v>1.0180104383590749</v>
      </c>
      <c r="G930" s="831">
        <v>1.0012464652069311</v>
      </c>
      <c r="H930" s="831">
        <v>0.98979375736236463</v>
      </c>
      <c r="I930" s="831">
        <v>0.99568483067211211</v>
      </c>
      <c r="K930">
        <v>1.7257294308487203</v>
      </c>
      <c r="L930">
        <v>0</v>
      </c>
      <c r="M930">
        <v>1.4075624427481361E-3</v>
      </c>
      <c r="N930">
        <v>0.13421514611091825</v>
      </c>
      <c r="O930">
        <v>1.7640893931421247E-2</v>
      </c>
      <c r="P930">
        <v>1.95379134681395E-2</v>
      </c>
      <c r="Q930">
        <v>2.0941984636040855E-3</v>
      </c>
      <c r="R930">
        <v>1.3988318883322737E-3</v>
      </c>
      <c r="S930">
        <v>0.14947743710491307</v>
      </c>
      <c r="T930">
        <v>1.0729314336396487</v>
      </c>
      <c r="U930">
        <v>2.2677297897445509E-2</v>
      </c>
      <c r="V930">
        <v>0.20662654452473281</v>
      </c>
      <c r="W930">
        <v>8.1205550770799828E-2</v>
      </c>
      <c r="X930">
        <v>1.552458621627972E-2</v>
      </c>
      <c r="Y930">
        <v>3.8071592752323886E-3</v>
      </c>
    </row>
    <row r="931" spans="1:25" x14ac:dyDescent="0.25">
      <c r="A931" s="827"/>
      <c r="B931" s="1066">
        <v>681</v>
      </c>
      <c r="C931" s="831">
        <v>1.0105281917999258</v>
      </c>
      <c r="D931" s="831">
        <v>1.0247048267154335</v>
      </c>
      <c r="E931" s="831">
        <v>0.99039737549666373</v>
      </c>
      <c r="F931" s="831">
        <v>1.0148075951935474</v>
      </c>
      <c r="G931" s="831">
        <v>0.9846782413166203</v>
      </c>
      <c r="H931" s="831">
        <v>0.99846460711763629</v>
      </c>
      <c r="I931" s="831">
        <v>1.0062826523748885</v>
      </c>
      <c r="K931">
        <v>1.7236276822964764</v>
      </c>
      <c r="L931">
        <v>0</v>
      </c>
      <c r="M931">
        <v>1.3816289997982502E-3</v>
      </c>
      <c r="N931">
        <v>0.13507588417411975</v>
      </c>
      <c r="O931">
        <v>1.7456582819129124E-2</v>
      </c>
      <c r="P931">
        <v>1.9614602458885612E-2</v>
      </c>
      <c r="Q931">
        <v>2.0998875006993391E-3</v>
      </c>
      <c r="R931">
        <v>1.3730905822454374E-3</v>
      </c>
      <c r="S931">
        <v>0.15045563606308671</v>
      </c>
      <c r="T931">
        <v>1.0722159319567037</v>
      </c>
      <c r="U931">
        <v>2.3079542052915628E-2</v>
      </c>
      <c r="V931">
        <v>0.20286082003737452</v>
      </c>
      <c r="W931">
        <v>8.1274994031549724E-2</v>
      </c>
      <c r="X931">
        <v>1.5765239693880568E-2</v>
      </c>
      <c r="Y931">
        <v>3.7370999256832928E-3</v>
      </c>
    </row>
    <row r="932" spans="1:25" x14ac:dyDescent="0.25">
      <c r="A932" s="827"/>
      <c r="B932" s="1066">
        <v>682</v>
      </c>
      <c r="C932" s="831">
        <v>0.99643953823489007</v>
      </c>
      <c r="D932" s="831">
        <v>0.98403251643759493</v>
      </c>
      <c r="E932" s="831">
        <v>0.96107752394788115</v>
      </c>
      <c r="F932" s="831">
        <v>1.002811625136049</v>
      </c>
      <c r="G932" s="831">
        <v>0.98999421765415196</v>
      </c>
      <c r="H932" s="831">
        <v>0.98910056623482112</v>
      </c>
      <c r="I932" s="831">
        <v>1.0033224880259861</v>
      </c>
      <c r="K932">
        <v>1.7353332813959559</v>
      </c>
      <c r="L932">
        <v>0</v>
      </c>
      <c r="M932">
        <v>1.5033656283577341E-3</v>
      </c>
      <c r="N932">
        <v>0.13413677795084336</v>
      </c>
      <c r="O932">
        <v>1.803101573849087E-2</v>
      </c>
      <c r="P932">
        <v>1.9336164808208201E-2</v>
      </c>
      <c r="Q932">
        <v>2.0981913504343253E-3</v>
      </c>
      <c r="R932">
        <v>1.4940177517440486E-3</v>
      </c>
      <c r="S932">
        <v>0.15403049057442983</v>
      </c>
      <c r="T932">
        <v>1.0748444920273352</v>
      </c>
      <c r="U932">
        <v>2.3405863580661525E-2</v>
      </c>
      <c r="V932">
        <v>0.20806456764804357</v>
      </c>
      <c r="W932">
        <v>8.2373843402041694E-2</v>
      </c>
      <c r="X932">
        <v>1.4954998374651519E-2</v>
      </c>
      <c r="Y932">
        <v>4.0662238174278007E-3</v>
      </c>
    </row>
    <row r="933" spans="1:25" x14ac:dyDescent="0.25">
      <c r="A933" s="827"/>
      <c r="B933" s="1066">
        <v>683</v>
      </c>
      <c r="C933" s="831">
        <v>0.98317493117595012</v>
      </c>
      <c r="D933" s="831">
        <v>1.0307824758411468</v>
      </c>
      <c r="E933" s="831">
        <v>1.0061861403712749</v>
      </c>
      <c r="F933" s="831">
        <v>1.010350560443418</v>
      </c>
      <c r="G933" s="831">
        <v>1.007828351649056</v>
      </c>
      <c r="H933" s="831">
        <v>1.0456760224863604</v>
      </c>
      <c r="I933" s="831">
        <v>1.0079162222376519</v>
      </c>
      <c r="K933">
        <v>1.7536465984713292</v>
      </c>
      <c r="L933">
        <v>0</v>
      </c>
      <c r="M933">
        <v>1.4347583845535465E-3</v>
      </c>
      <c r="N933">
        <v>0.14737416167440917</v>
      </c>
      <c r="O933">
        <v>1.7894405578832429E-2</v>
      </c>
      <c r="P933">
        <v>1.9972108636029849E-2</v>
      </c>
      <c r="Q933">
        <v>2.1880668896794679E-3</v>
      </c>
      <c r="R933">
        <v>1.4262879352675911E-3</v>
      </c>
      <c r="S933">
        <v>0.15794118051582887</v>
      </c>
      <c r="T933">
        <v>1.0708138480724332</v>
      </c>
      <c r="U933">
        <v>2.372164622872118E-2</v>
      </c>
      <c r="V933">
        <v>0.20522572485446616</v>
      </c>
      <c r="W933">
        <v>8.7720887846052739E-2</v>
      </c>
      <c r="X933">
        <v>1.6921153040054794E-2</v>
      </c>
      <c r="Y933">
        <v>3.8818855841068829E-3</v>
      </c>
    </row>
    <row r="934" spans="1:25" x14ac:dyDescent="0.25">
      <c r="A934" s="827"/>
      <c r="B934" s="1066">
        <v>684</v>
      </c>
      <c r="C934" s="831">
        <v>1.0131458223166796</v>
      </c>
      <c r="D934" s="831">
        <v>0.99235264117713018</v>
      </c>
      <c r="E934" s="831">
        <v>1.015681934633289</v>
      </c>
      <c r="F934" s="831">
        <v>1.0130271657428878</v>
      </c>
      <c r="G934" s="831">
        <v>1.0058036275749884</v>
      </c>
      <c r="H934" s="831">
        <v>1.0059410836803195</v>
      </c>
      <c r="I934" s="831">
        <v>0.9831706332139335</v>
      </c>
      <c r="K934">
        <v>1.7326964413852763</v>
      </c>
      <c r="L934">
        <v>0</v>
      </c>
      <c r="M934">
        <v>1.3355795971670269E-3</v>
      </c>
      <c r="N934">
        <v>0.14126626065761308</v>
      </c>
      <c r="O934">
        <v>1.7666094872675914E-2</v>
      </c>
      <c r="P934">
        <v>1.9973101018060994E-2</v>
      </c>
      <c r="Q934">
        <v>2.1740008729664059E-3</v>
      </c>
      <c r="R934">
        <v>1.3274083976130501E-3</v>
      </c>
      <c r="S934">
        <v>0.14910666366308295</v>
      </c>
      <c r="T934">
        <v>1.0699751311909509</v>
      </c>
      <c r="U934">
        <v>2.3019912222480902E-2</v>
      </c>
      <c r="V934">
        <v>0.20548497761498288</v>
      </c>
      <c r="W934">
        <v>8.3544863249540996E-2</v>
      </c>
      <c r="X934">
        <v>1.6880839144231961E-2</v>
      </c>
      <c r="Y934">
        <v>3.6127680782420519E-3</v>
      </c>
    </row>
    <row r="935" spans="1:25" x14ac:dyDescent="0.25">
      <c r="A935" s="827"/>
      <c r="B935" s="1066">
        <v>685</v>
      </c>
      <c r="C935" s="831">
        <v>0.99465490327734396</v>
      </c>
      <c r="D935" s="831">
        <v>1.0326745890780014</v>
      </c>
      <c r="E935" s="831">
        <v>1.0143751829502228</v>
      </c>
      <c r="F935" s="831">
        <v>1.000509481862367</v>
      </c>
      <c r="G935" s="831">
        <v>0.96476778195516766</v>
      </c>
      <c r="H935" s="831">
        <v>1.016187776547202</v>
      </c>
      <c r="I935" s="831">
        <v>1.0094176938882542</v>
      </c>
      <c r="K935">
        <v>1.7389002829602807</v>
      </c>
      <c r="L935">
        <v>0</v>
      </c>
      <c r="M935">
        <v>1.353484907430405E-3</v>
      </c>
      <c r="N935">
        <v>0.14258599264184502</v>
      </c>
      <c r="O935">
        <v>1.767324078611732E-2</v>
      </c>
      <c r="P935">
        <v>2.0007647950037375E-2</v>
      </c>
      <c r="Q935">
        <v>2.1791059622733359E-3</v>
      </c>
      <c r="R935">
        <v>1.3452611916802365E-3</v>
      </c>
      <c r="S935">
        <v>0.15411474255001281</v>
      </c>
      <c r="T935">
        <v>1.0700903477360675</v>
      </c>
      <c r="U935">
        <v>2.3447858972450098E-2</v>
      </c>
      <c r="V935">
        <v>0.20383094519775227</v>
      </c>
      <c r="W935">
        <v>8.4399998385405406E-2</v>
      </c>
      <c r="X935">
        <v>1.6917268995549819E-2</v>
      </c>
      <c r="Y935">
        <v>3.6613574985209498E-3</v>
      </c>
    </row>
    <row r="936" spans="1:25" x14ac:dyDescent="0.25">
      <c r="A936" s="827"/>
      <c r="B936" s="1066">
        <v>686</v>
      </c>
      <c r="C936" s="831">
        <v>0.99057587714175954</v>
      </c>
      <c r="D936" s="831">
        <v>1.0057054420344347</v>
      </c>
      <c r="E936" s="831">
        <v>0.9629074017664675</v>
      </c>
      <c r="F936" s="831">
        <v>1.024457576329298</v>
      </c>
      <c r="G936" s="831">
        <v>0.99561005564880201</v>
      </c>
      <c r="H936" s="831">
        <v>0.95824841769812741</v>
      </c>
      <c r="I936" s="831">
        <v>1.0006901096776213</v>
      </c>
      <c r="K936">
        <v>1.7230785162480176</v>
      </c>
      <c r="L936">
        <v>0</v>
      </c>
      <c r="M936">
        <v>1.4451684356489233E-3</v>
      </c>
      <c r="N936">
        <v>0.1296548076624997</v>
      </c>
      <c r="O936">
        <v>1.7959535635302577E-2</v>
      </c>
      <c r="P936">
        <v>1.9303414853072045E-2</v>
      </c>
      <c r="Q936">
        <v>2.0975562402719269E-3</v>
      </c>
      <c r="R936">
        <v>1.4358765876994683E-3</v>
      </c>
      <c r="S936">
        <v>0.15091250848047252</v>
      </c>
      <c r="T936">
        <v>1.074679498351421</v>
      </c>
      <c r="U936">
        <v>2.3544413342265921E-2</v>
      </c>
      <c r="V936">
        <v>0.20667933769978564</v>
      </c>
      <c r="W936">
        <v>7.9519128683238058E-2</v>
      </c>
      <c r="X936">
        <v>1.4829624412507061E-2</v>
      </c>
      <c r="Y936">
        <v>3.9079827351280304E-3</v>
      </c>
    </row>
    <row r="937" spans="1:25" x14ac:dyDescent="0.25">
      <c r="A937" s="827"/>
      <c r="B937" s="1066">
        <v>687</v>
      </c>
      <c r="C937" s="831">
        <v>0.96618684613702255</v>
      </c>
      <c r="D937" s="831">
        <v>0.98259697791518097</v>
      </c>
      <c r="E937" s="831">
        <v>1.0113482252180641</v>
      </c>
      <c r="F937" s="831">
        <v>1.0077122815916932</v>
      </c>
      <c r="G937" s="831">
        <v>1.0415184049507906</v>
      </c>
      <c r="H937" s="831">
        <v>0.97890876769645641</v>
      </c>
      <c r="I937" s="831">
        <v>0.99771715859475063</v>
      </c>
      <c r="K937">
        <v>1.7549581174871702</v>
      </c>
      <c r="L937">
        <v>0</v>
      </c>
      <c r="M937">
        <v>1.3815490274634156E-3</v>
      </c>
      <c r="N937">
        <v>0.14414971349529571</v>
      </c>
      <c r="O937">
        <v>1.8607918112592405E-2</v>
      </c>
      <c r="P937">
        <v>2.0127380763948832E-2</v>
      </c>
      <c r="Q937">
        <v>2.2781645207075605E-3</v>
      </c>
      <c r="R937">
        <v>1.3728702056518007E-3</v>
      </c>
      <c r="S937">
        <v>0.15730030083768703</v>
      </c>
      <c r="T937">
        <v>1.0703574833846066</v>
      </c>
      <c r="U937">
        <v>2.4138734646979122E-2</v>
      </c>
      <c r="V937">
        <v>0.21162988653869955</v>
      </c>
      <c r="W937">
        <v>8.5500927924065079E-2</v>
      </c>
      <c r="X937">
        <v>1.7139785951154656E-2</v>
      </c>
      <c r="Y937">
        <v>3.7365001332425392E-3</v>
      </c>
    </row>
    <row r="938" spans="1:25" x14ac:dyDescent="0.25">
      <c r="A938" s="827"/>
      <c r="B938" s="1066">
        <v>688</v>
      </c>
      <c r="C938" s="831">
        <v>1.0109995870106456</v>
      </c>
      <c r="D938" s="831">
        <v>0.97933425071289759</v>
      </c>
      <c r="E938" s="831">
        <v>1.004083332571992</v>
      </c>
      <c r="F938" s="831">
        <v>1.0028077020002695</v>
      </c>
      <c r="G938" s="831">
        <v>1.0164732723520042</v>
      </c>
      <c r="H938" s="831">
        <v>0.98815568018122413</v>
      </c>
      <c r="I938" s="831">
        <v>0.99899539623439393</v>
      </c>
      <c r="K938">
        <v>1.7330078470503667</v>
      </c>
      <c r="L938">
        <v>0</v>
      </c>
      <c r="M938">
        <v>1.355398404209264E-3</v>
      </c>
      <c r="N938">
        <v>0.13827084547619153</v>
      </c>
      <c r="O938">
        <v>1.7809991615564593E-2</v>
      </c>
      <c r="P938">
        <v>1.9868197824296125E-2</v>
      </c>
      <c r="Q938">
        <v>2.1640806633362705E-3</v>
      </c>
      <c r="R938">
        <v>1.3469658449687886E-3</v>
      </c>
      <c r="S938">
        <v>0.15139096150529988</v>
      </c>
      <c r="T938">
        <v>1.071000039811097</v>
      </c>
      <c r="U938">
        <v>2.3068780836265155E-2</v>
      </c>
      <c r="V938">
        <v>0.20692943479723222</v>
      </c>
      <c r="W938">
        <v>8.2420440135298284E-2</v>
      </c>
      <c r="X938">
        <v>1.6427509942192851E-2</v>
      </c>
      <c r="Y938">
        <v>3.6659970028335848E-3</v>
      </c>
    </row>
    <row r="939" spans="1:25" x14ac:dyDescent="0.25">
      <c r="A939" s="827"/>
      <c r="B939" s="1066">
        <v>689</v>
      </c>
      <c r="C939" s="831">
        <v>0.97618757064530093</v>
      </c>
      <c r="D939" s="831">
        <v>0.99377013802349567</v>
      </c>
      <c r="E939" s="831">
        <v>1.0108815800232283</v>
      </c>
      <c r="F939" s="831">
        <v>1.0190221773612231</v>
      </c>
      <c r="G939" s="831">
        <v>0.99936480494057056</v>
      </c>
      <c r="H939" s="831">
        <v>0.99661405176674611</v>
      </c>
      <c r="I939" s="831">
        <v>0.97508598563724902</v>
      </c>
      <c r="K939">
        <v>1.7479491964380602</v>
      </c>
      <c r="L939">
        <v>0</v>
      </c>
      <c r="M939">
        <v>1.3863775870507436E-3</v>
      </c>
      <c r="N939">
        <v>0.14445923083402823</v>
      </c>
      <c r="O939">
        <v>1.8323068847999467E-2</v>
      </c>
      <c r="P939">
        <v>2.0023810311950923E-2</v>
      </c>
      <c r="Q939">
        <v>2.2443373018105916E-3</v>
      </c>
      <c r="R939">
        <v>1.377815220832225E-3</v>
      </c>
      <c r="S939">
        <v>0.15271756177802431</v>
      </c>
      <c r="T939">
        <v>1.0703986966830192</v>
      </c>
      <c r="U939">
        <v>2.389144115293949E-2</v>
      </c>
      <c r="V939">
        <v>0.20939531668042993</v>
      </c>
      <c r="W939">
        <v>8.5711666956178267E-2</v>
      </c>
      <c r="X939">
        <v>1.7042669423458844E-2</v>
      </c>
      <c r="Y939">
        <v>3.7499588344398378E-3</v>
      </c>
    </row>
    <row r="940" spans="1:25" x14ac:dyDescent="0.25">
      <c r="A940" s="827"/>
      <c r="B940" s="1066">
        <v>690</v>
      </c>
      <c r="C940" s="831">
        <v>0.99802197201492848</v>
      </c>
      <c r="D940" s="831">
        <v>0.97520157330695445</v>
      </c>
      <c r="E940" s="831">
        <v>0.99853922969603337</v>
      </c>
      <c r="F940" s="831">
        <v>0.99903604367771393</v>
      </c>
      <c r="G940" s="831">
        <v>0.97816007422646134</v>
      </c>
      <c r="H940" s="831">
        <v>1.0052494897906097</v>
      </c>
      <c r="I940" s="831">
        <v>1.030655612309737</v>
      </c>
      <c r="K940">
        <v>1.7508442791379542</v>
      </c>
      <c r="L940">
        <v>0</v>
      </c>
      <c r="M940">
        <v>1.415895460640713E-3</v>
      </c>
      <c r="N940">
        <v>0.14198807699287455</v>
      </c>
      <c r="O940">
        <v>1.8076267016229216E-2</v>
      </c>
      <c r="P940">
        <v>1.9936045233101989E-2</v>
      </c>
      <c r="Q940">
        <v>2.1834718272455301E-3</v>
      </c>
      <c r="R940">
        <v>1.4072393325995473E-3</v>
      </c>
      <c r="S940">
        <v>0.15978019824851647</v>
      </c>
      <c r="T940">
        <v>1.0714917393141838</v>
      </c>
      <c r="U940">
        <v>2.3368751943623891E-2</v>
      </c>
      <c r="V940">
        <v>0.20873601268085712</v>
      </c>
      <c r="W940">
        <v>8.4957589048375803E-2</v>
      </c>
      <c r="X940">
        <v>1.6504741393970002E-2</v>
      </c>
      <c r="Y940">
        <v>3.8300415670146503E-3</v>
      </c>
    </row>
    <row r="941" spans="1:25" x14ac:dyDescent="0.25">
      <c r="A941" s="827"/>
      <c r="B941" s="1066">
        <v>691</v>
      </c>
      <c r="C941" s="831">
        <v>1.0233056906605167</v>
      </c>
      <c r="D941" s="831">
        <v>0.98959084899148964</v>
      </c>
      <c r="E941" s="831">
        <v>0.98518626046111191</v>
      </c>
      <c r="F941" s="831">
        <v>1.0099469540840089</v>
      </c>
      <c r="G941" s="831">
        <v>0.98783474984783015</v>
      </c>
      <c r="H941" s="831">
        <v>1.0237475105456086</v>
      </c>
      <c r="I941" s="831">
        <v>0.98645202836750567</v>
      </c>
      <c r="K941">
        <v>1.7301461974263719</v>
      </c>
      <c r="L941">
        <v>0</v>
      </c>
      <c r="M941">
        <v>1.4368046202054021E-3</v>
      </c>
      <c r="N941">
        <v>0.13823274013790482</v>
      </c>
      <c r="O941">
        <v>1.7512815175946085E-2</v>
      </c>
      <c r="P941">
        <v>1.9551974974394027E-2</v>
      </c>
      <c r="Q941">
        <v>2.0896121772617637E-3</v>
      </c>
      <c r="R941">
        <v>1.4281689835358065E-3</v>
      </c>
      <c r="S941">
        <v>0.14952875852738173</v>
      </c>
      <c r="T941">
        <v>1.0726807552063158</v>
      </c>
      <c r="U941">
        <v>2.2791359523515492E-2</v>
      </c>
      <c r="V941">
        <v>0.20467451352183225</v>
      </c>
      <c r="W941">
        <v>8.3474124078024819E-2</v>
      </c>
      <c r="X941">
        <v>1.5731174563058919E-2</v>
      </c>
      <c r="Y941">
        <v>3.8870051774055714E-3</v>
      </c>
    </row>
    <row r="942" spans="1:25" x14ac:dyDescent="0.25">
      <c r="A942" s="827"/>
      <c r="B942" s="1066">
        <v>692</v>
      </c>
      <c r="C942" s="831">
        <v>0.9684865702593346</v>
      </c>
      <c r="D942" s="831">
        <v>1.0130767800142799</v>
      </c>
      <c r="E942" s="831">
        <v>0.96265191069412026</v>
      </c>
      <c r="F942" s="831">
        <v>1.0183298031158101</v>
      </c>
      <c r="G942" s="831">
        <v>1.0099030070473991</v>
      </c>
      <c r="H942" s="831">
        <v>1.0136358092330018</v>
      </c>
      <c r="I942" s="831">
        <v>0.9961091397168288</v>
      </c>
      <c r="K942">
        <v>1.7494350429509629</v>
      </c>
      <c r="L942">
        <v>0</v>
      </c>
      <c r="M942">
        <v>1.5592483929900162E-3</v>
      </c>
      <c r="N942">
        <v>0.13982707471963607</v>
      </c>
      <c r="O942">
        <v>1.8308561394753519E-2</v>
      </c>
      <c r="P942">
        <v>1.9414656238721874E-2</v>
      </c>
      <c r="Q942">
        <v>2.1390333608864017E-3</v>
      </c>
      <c r="R942">
        <v>1.5497652522385482E-3</v>
      </c>
      <c r="S942">
        <v>0.15724967705014326</v>
      </c>
      <c r="T942">
        <v>1.0747025275659083</v>
      </c>
      <c r="U942">
        <v>2.4081415906529343E-2</v>
      </c>
      <c r="V942">
        <v>0.20845390144838563</v>
      </c>
      <c r="W942">
        <v>8.5773314200331977E-2</v>
      </c>
      <c r="X942">
        <v>1.5276414069801828E-2</v>
      </c>
      <c r="Y942">
        <v>4.2179501366152311E-3</v>
      </c>
    </row>
    <row r="943" spans="1:25" x14ac:dyDescent="0.25">
      <c r="A943" s="827"/>
      <c r="B943" s="1066">
        <v>693</v>
      </c>
      <c r="C943" s="831">
        <v>1.020629412877001</v>
      </c>
      <c r="D943" s="831">
        <v>1.0098259913333525</v>
      </c>
      <c r="E943" s="831">
        <v>1.0194795530600818</v>
      </c>
      <c r="F943" s="831">
        <v>1.0074287479824025</v>
      </c>
      <c r="G943" s="831">
        <v>0.98898352993020411</v>
      </c>
      <c r="H943" s="831">
        <v>0.96498381278740986</v>
      </c>
      <c r="I943" s="831">
        <v>0.99778476041590314</v>
      </c>
      <c r="K943">
        <v>1.7142983323314958</v>
      </c>
      <c r="L943">
        <v>0</v>
      </c>
      <c r="M943">
        <v>1.2517253751216048E-3</v>
      </c>
      <c r="N943">
        <v>0.13393211166022811</v>
      </c>
      <c r="O943">
        <v>1.7398473792315183E-2</v>
      </c>
      <c r="P943">
        <v>1.9949973467095632E-2</v>
      </c>
      <c r="Q943">
        <v>2.1522522442448807E-3</v>
      </c>
      <c r="R943">
        <v>1.2437308101314469E-3</v>
      </c>
      <c r="S943">
        <v>0.14626705247576374</v>
      </c>
      <c r="T943">
        <v>1.0696406613990166</v>
      </c>
      <c r="U943">
        <v>2.2851122654363357E-2</v>
      </c>
      <c r="V943">
        <v>0.20312674772451297</v>
      </c>
      <c r="W943">
        <v>7.9004393935236103E-2</v>
      </c>
      <c r="X943">
        <v>1.6598512274280781E-2</v>
      </c>
      <c r="Y943">
        <v>3.3850252694264285E-3</v>
      </c>
    </row>
    <row r="944" spans="1:25" x14ac:dyDescent="0.25">
      <c r="A944" s="827"/>
      <c r="B944" s="1066">
        <v>694</v>
      </c>
      <c r="C944" s="831">
        <v>1.0399115810443451</v>
      </c>
      <c r="D944" s="831">
        <v>1.0433108501095887</v>
      </c>
      <c r="E944" s="831">
        <v>1.0227988645400961</v>
      </c>
      <c r="F944" s="831">
        <v>1.0103232705755665</v>
      </c>
      <c r="G944" s="831">
        <v>0.99998138220968913</v>
      </c>
      <c r="H944" s="831">
        <v>0.9940216045169602</v>
      </c>
      <c r="I944" s="831">
        <v>1.0162818093608221</v>
      </c>
      <c r="K944">
        <v>1.7078287731877715</v>
      </c>
      <c r="L944">
        <v>0</v>
      </c>
      <c r="M944">
        <v>1.2382842362828332E-3</v>
      </c>
      <c r="N944">
        <v>0.13389004035994126</v>
      </c>
      <c r="O944">
        <v>1.6826167051444609E-2</v>
      </c>
      <c r="P944">
        <v>1.9922401015772084E-2</v>
      </c>
      <c r="Q944">
        <v>2.0938460537707803E-3</v>
      </c>
      <c r="R944">
        <v>1.2305864016300091E-3</v>
      </c>
      <c r="S944">
        <v>0.1462567927669283</v>
      </c>
      <c r="T944">
        <v>1.0693487652046534</v>
      </c>
      <c r="U944">
        <v>2.2427414333515965E-2</v>
      </c>
      <c r="V944">
        <v>0.19836722989370889</v>
      </c>
      <c r="W944">
        <v>7.8803015829208956E-2</v>
      </c>
      <c r="X944">
        <v>1.6551547990940746E-2</v>
      </c>
      <c r="Y944">
        <v>3.3492505225386111E-3</v>
      </c>
    </row>
    <row r="945" spans="1:25" x14ac:dyDescent="0.25">
      <c r="A945" s="827"/>
      <c r="B945" s="1066">
        <v>695</v>
      </c>
      <c r="C945" s="831">
        <v>1.0019225258762794</v>
      </c>
      <c r="D945" s="831">
        <v>0.97492785466934651</v>
      </c>
      <c r="E945" s="831">
        <v>1.0191725140977459</v>
      </c>
      <c r="F945" s="831">
        <v>0.98849312298200587</v>
      </c>
      <c r="G945" s="831">
        <v>0.99001938876642792</v>
      </c>
      <c r="H945" s="831">
        <v>1.047689736100863</v>
      </c>
      <c r="I945" s="831">
        <v>0.98086595229549156</v>
      </c>
      <c r="K945">
        <v>1.7568224517676529</v>
      </c>
      <c r="L945">
        <v>0</v>
      </c>
      <c r="M945">
        <v>1.4075199842079646E-3</v>
      </c>
      <c r="N945">
        <v>0.15053714324587181</v>
      </c>
      <c r="O945">
        <v>1.8008191398917545E-2</v>
      </c>
      <c r="P945">
        <v>2.0137885535780716E-2</v>
      </c>
      <c r="Q945">
        <v>2.2205585610853545E-3</v>
      </c>
      <c r="R945">
        <v>1.3992638231180284E-3</v>
      </c>
      <c r="S945">
        <v>0.15450428058872581</v>
      </c>
      <c r="T945">
        <v>1.0696676831212613</v>
      </c>
      <c r="U945">
        <v>2.3277775772039176E-2</v>
      </c>
      <c r="V945">
        <v>0.20833536257568494</v>
      </c>
      <c r="W945">
        <v>8.8817842695718671E-2</v>
      </c>
      <c r="X945">
        <v>1.7515649574326615E-2</v>
      </c>
      <c r="Y945">
        <v>3.8083348593319511E-3</v>
      </c>
    </row>
    <row r="946" spans="1:25" x14ac:dyDescent="0.25">
      <c r="A946" s="827"/>
      <c r="B946" s="1066">
        <v>696</v>
      </c>
      <c r="C946" s="831">
        <v>0.98853438000254867</v>
      </c>
      <c r="D946" s="831">
        <v>0.96137041106228371</v>
      </c>
      <c r="E946" s="831">
        <v>1.0172614898118089</v>
      </c>
      <c r="F946" s="831">
        <v>0.98673520948093607</v>
      </c>
      <c r="G946" s="831">
        <v>1.0066115258408221</v>
      </c>
      <c r="H946" s="831">
        <v>1.0197236540591803</v>
      </c>
      <c r="I946" s="831">
        <v>1.0357128671662132</v>
      </c>
      <c r="K946">
        <v>1.7682618041436799</v>
      </c>
      <c r="L946">
        <v>0</v>
      </c>
      <c r="M946">
        <v>1.4030130044080714E-3</v>
      </c>
      <c r="N946">
        <v>0.14914372647116167</v>
      </c>
      <c r="O946">
        <v>1.8368676015047377E-2</v>
      </c>
      <c r="P946">
        <v>2.0289236374151878E-2</v>
      </c>
      <c r="Q946">
        <v>2.2580674690473889E-3</v>
      </c>
      <c r="R946">
        <v>1.3945673866840845E-3</v>
      </c>
      <c r="S946">
        <v>0.1641816092855104</v>
      </c>
      <c r="T946">
        <v>1.0698359478025485</v>
      </c>
      <c r="U946">
        <v>2.3593036691594949E-2</v>
      </c>
      <c r="V946">
        <v>0.21116647307018702</v>
      </c>
      <c r="W946">
        <v>8.8109404211718215E-2</v>
      </c>
      <c r="X946">
        <v>1.7528519662896119E-2</v>
      </c>
      <c r="Y946">
        <v>3.7955527075386108E-3</v>
      </c>
    </row>
    <row r="947" spans="1:25" x14ac:dyDescent="0.25">
      <c r="A947" s="827"/>
      <c r="B947" s="1066">
        <v>697</v>
      </c>
      <c r="C947" s="831">
        <v>0.97408711457533048</v>
      </c>
      <c r="D947" s="831">
        <v>1.0034471115694603</v>
      </c>
      <c r="E947" s="831">
        <v>1.0042265493659708</v>
      </c>
      <c r="F947" s="831">
        <v>1.0435511001011264</v>
      </c>
      <c r="G947" s="831">
        <v>0.99916129529500741</v>
      </c>
      <c r="H947" s="831">
        <v>1.0007084841307567</v>
      </c>
      <c r="I947" s="831">
        <v>1.0352543449510243</v>
      </c>
      <c r="K947">
        <v>1.7564505366322281</v>
      </c>
      <c r="L947">
        <v>0</v>
      </c>
      <c r="M947">
        <v>1.4085971321400835E-3</v>
      </c>
      <c r="N947">
        <v>0.14377144858565685</v>
      </c>
      <c r="O947">
        <v>1.8282140838214792E-2</v>
      </c>
      <c r="P947">
        <v>2.0053898174325034E-2</v>
      </c>
      <c r="Q947">
        <v>2.2262252320916277E-3</v>
      </c>
      <c r="R947">
        <v>1.399926283384513E-3</v>
      </c>
      <c r="S947">
        <v>0.16215021294531534</v>
      </c>
      <c r="T947">
        <v>1.0709873534725145</v>
      </c>
      <c r="U947">
        <v>2.3942959052970326E-2</v>
      </c>
      <c r="V947">
        <v>0.20871794733681456</v>
      </c>
      <c r="W947">
        <v>8.5690864474349732E-2</v>
      </c>
      <c r="X947">
        <v>1.6826019510934695E-2</v>
      </c>
      <c r="Y947">
        <v>3.810137857797353E-3</v>
      </c>
    </row>
    <row r="948" spans="1:25" x14ac:dyDescent="0.25">
      <c r="A948" s="827"/>
      <c r="B948" s="1066">
        <v>698</v>
      </c>
      <c r="C948" s="831">
        <v>1.0190155700464378</v>
      </c>
      <c r="D948" s="831">
        <v>0.9715255579026828</v>
      </c>
      <c r="E948" s="831">
        <v>0.98706757151669777</v>
      </c>
      <c r="F948" s="831">
        <v>0.95659018727752998</v>
      </c>
      <c r="G948" s="831">
        <v>1.0040245589870158</v>
      </c>
      <c r="H948" s="831">
        <v>1.0051309239581578</v>
      </c>
      <c r="I948" s="831">
        <v>0.99910529304075402</v>
      </c>
      <c r="K948">
        <v>1.73403398626032</v>
      </c>
      <c r="L948">
        <v>0</v>
      </c>
      <c r="M948">
        <v>1.4228656216409338E-3</v>
      </c>
      <c r="N948">
        <v>0.13768195599798688</v>
      </c>
      <c r="O948">
        <v>1.773427111192661E-2</v>
      </c>
      <c r="P948">
        <v>1.9640243215055538E-2</v>
      </c>
      <c r="Q948">
        <v>2.1168393516069941E-3</v>
      </c>
      <c r="R948">
        <v>1.4141685700709353E-3</v>
      </c>
      <c r="S948">
        <v>0.15192841552892436</v>
      </c>
      <c r="T948">
        <v>1.0725128273235369</v>
      </c>
      <c r="U948">
        <v>2.2887312602338668E-2</v>
      </c>
      <c r="V948">
        <v>0.20681916059542735</v>
      </c>
      <c r="W948">
        <v>8.3033524774976886E-2</v>
      </c>
      <c r="X948">
        <v>1.5839232142921048E-2</v>
      </c>
      <c r="Y948">
        <v>3.8489006671892506E-3</v>
      </c>
    </row>
    <row r="949" spans="1:25" x14ac:dyDescent="0.25">
      <c r="A949" s="827"/>
      <c r="B949" s="1066">
        <v>699</v>
      </c>
      <c r="C949" s="831">
        <v>1.0459836788141899</v>
      </c>
      <c r="D949" s="831">
        <v>1.0093824921341266</v>
      </c>
      <c r="E949" s="831">
        <v>0.97149907498910237</v>
      </c>
      <c r="F949" s="831">
        <v>1.0180050732236079</v>
      </c>
      <c r="G949" s="831">
        <v>0.97281102340197434</v>
      </c>
      <c r="H949" s="831">
        <v>1.0293250031857315</v>
      </c>
      <c r="I949" s="831">
        <v>1.011114340709379</v>
      </c>
      <c r="K949">
        <v>1.716987660418261</v>
      </c>
      <c r="L949">
        <v>0</v>
      </c>
      <c r="M949">
        <v>1.4415246061975952E-3</v>
      </c>
      <c r="N949">
        <v>0.13289917146620328</v>
      </c>
      <c r="O949">
        <v>1.6980115626468509E-2</v>
      </c>
      <c r="P949">
        <v>1.9299363115742148E-2</v>
      </c>
      <c r="Q949">
        <v>2.0012816514279239E-3</v>
      </c>
      <c r="R949">
        <v>1.4328936306996138E-3</v>
      </c>
      <c r="S949">
        <v>0.1491005987219596</v>
      </c>
      <c r="T949">
        <v>1.0739064928117201</v>
      </c>
      <c r="U949">
        <v>2.2297219708765855E-2</v>
      </c>
      <c r="V949">
        <v>0.20062931086760347</v>
      </c>
      <c r="W949">
        <v>8.1020090333075639E-2</v>
      </c>
      <c r="X949">
        <v>1.4962782981286723E-2</v>
      </c>
      <c r="Y949">
        <v>3.8998641095059367E-3</v>
      </c>
    </row>
    <row r="950" spans="1:25" x14ac:dyDescent="0.25">
      <c r="A950" s="827"/>
      <c r="B950" s="1066">
        <v>700</v>
      </c>
      <c r="C950" s="831">
        <v>0.9685751093362871</v>
      </c>
      <c r="D950" s="831">
        <v>1.0004934609384957</v>
      </c>
      <c r="E950" s="831">
        <v>0.98724680370303641</v>
      </c>
      <c r="F950" s="831">
        <v>1.0067207639184756</v>
      </c>
      <c r="G950" s="831">
        <v>0.98890926809669877</v>
      </c>
      <c r="H950" s="831">
        <v>1.021757207399419</v>
      </c>
      <c r="I950" s="831">
        <v>0.96863848355814053</v>
      </c>
      <c r="K950">
        <v>1.7541659646477448</v>
      </c>
      <c r="L950">
        <v>0</v>
      </c>
      <c r="M950">
        <v>1.5010315294996448E-3</v>
      </c>
      <c r="N950">
        <v>0.14533910086308602</v>
      </c>
      <c r="O950">
        <v>1.841074277816012E-2</v>
      </c>
      <c r="P950">
        <v>1.9728490129084147E-2</v>
      </c>
      <c r="Q950">
        <v>2.2033250021705553E-3</v>
      </c>
      <c r="R950">
        <v>1.4919842020408166E-3</v>
      </c>
      <c r="S950">
        <v>0.15427726014964749</v>
      </c>
      <c r="T950">
        <v>1.0724968358116649</v>
      </c>
      <c r="U950">
        <v>2.4079214583869375E-2</v>
      </c>
      <c r="V950">
        <v>0.20962583113233557</v>
      </c>
      <c r="W950">
        <v>8.7640566145150284E-2</v>
      </c>
      <c r="X950">
        <v>1.6312956214538793E-2</v>
      </c>
      <c r="Y950">
        <v>4.0606891654950839E-3</v>
      </c>
    </row>
    <row r="951" spans="1:25" x14ac:dyDescent="0.25">
      <c r="A951" s="827"/>
      <c r="B951" s="1066">
        <v>701</v>
      </c>
      <c r="C951" s="831">
        <v>1.0026771541783026</v>
      </c>
      <c r="D951" s="831">
        <v>0.99479914999473018</v>
      </c>
      <c r="E951" s="831">
        <v>0.99039249705071952</v>
      </c>
      <c r="F951" s="831">
        <v>0.99982429338695056</v>
      </c>
      <c r="G951" s="831">
        <v>1.0011032180224446</v>
      </c>
      <c r="H951" s="831">
        <v>0.98726076903122606</v>
      </c>
      <c r="I951" s="831">
        <v>1.0162979780448693</v>
      </c>
      <c r="K951">
        <v>1.7339418258630532</v>
      </c>
      <c r="L951">
        <v>0</v>
      </c>
      <c r="M951">
        <v>1.3953913942418947E-3</v>
      </c>
      <c r="N951">
        <v>0.13641173213912841</v>
      </c>
      <c r="O951">
        <v>1.7830627972898153E-2</v>
      </c>
      <c r="P951">
        <v>1.971558237801312E-2</v>
      </c>
      <c r="Q951">
        <v>2.1396966590772498E-3</v>
      </c>
      <c r="R951">
        <v>1.3866909752955642E-3</v>
      </c>
      <c r="S951">
        <v>0.15421824497390799</v>
      </c>
      <c r="T951">
        <v>1.0722163666282536</v>
      </c>
      <c r="U951">
        <v>2.3260256605144292E-2</v>
      </c>
      <c r="V951">
        <v>0.20637469267308331</v>
      </c>
      <c r="W951">
        <v>8.2079047943844435E-2</v>
      </c>
      <c r="X951">
        <v>1.5930162596452666E-2</v>
      </c>
      <c r="Y951">
        <v>3.7741157121973746E-3</v>
      </c>
    </row>
    <row r="952" spans="1:25" x14ac:dyDescent="0.25">
      <c r="A952" s="827"/>
      <c r="B952" s="1066">
        <v>702</v>
      </c>
      <c r="C952" s="831">
        <v>1.0291762525663259</v>
      </c>
      <c r="D952" s="831">
        <v>1.0080196479633607</v>
      </c>
      <c r="E952" s="831">
        <v>0.99240057671622983</v>
      </c>
      <c r="F952" s="831">
        <v>1.0199168071234608</v>
      </c>
      <c r="G952" s="831">
        <v>1.01981724499781</v>
      </c>
      <c r="H952" s="831">
        <v>0.98254917220857663</v>
      </c>
      <c r="I952" s="831">
        <v>0.98079625975302398</v>
      </c>
      <c r="K952">
        <v>1.7100201137406899</v>
      </c>
      <c r="L952">
        <v>0</v>
      </c>
      <c r="M952">
        <v>1.3392507507215231E-3</v>
      </c>
      <c r="N952">
        <v>0.13173964675938135</v>
      </c>
      <c r="O952">
        <v>1.7267970975631756E-2</v>
      </c>
      <c r="P952">
        <v>1.9540862660265289E-2</v>
      </c>
      <c r="Q952">
        <v>2.0786306862580631E-3</v>
      </c>
      <c r="R952">
        <v>1.3308513100369972E-3</v>
      </c>
      <c r="S952">
        <v>0.14388577883052406</v>
      </c>
      <c r="T952">
        <v>1.0720375216683977</v>
      </c>
      <c r="U952">
        <v>2.2661354496031922E-2</v>
      </c>
      <c r="V952">
        <v>0.20241405413849067</v>
      </c>
      <c r="W952">
        <v>7.9158354234936834E-2</v>
      </c>
      <c r="X952">
        <v>1.5622200180550303E-2</v>
      </c>
      <c r="Y952">
        <v>3.6221385509042597E-3</v>
      </c>
    </row>
    <row r="953" spans="1:25" x14ac:dyDescent="0.25">
      <c r="A953" s="827"/>
      <c r="B953" s="1066">
        <v>703</v>
      </c>
      <c r="C953" s="831">
        <v>1.0020099669751614</v>
      </c>
      <c r="D953" s="831">
        <v>1.0132514342127705</v>
      </c>
      <c r="E953" s="831">
        <v>0.97085916599311239</v>
      </c>
      <c r="F953" s="831">
        <v>1.0077744845142433</v>
      </c>
      <c r="G953" s="831">
        <v>1.0036171645603937</v>
      </c>
      <c r="H953" s="831">
        <v>1.047343427068004</v>
      </c>
      <c r="I953" s="831">
        <v>0.96513456160255495</v>
      </c>
      <c r="K953">
        <v>1.7369848587952934</v>
      </c>
      <c r="L953">
        <v>0</v>
      </c>
      <c r="M953">
        <v>1.5305353367782058E-3</v>
      </c>
      <c r="N953">
        <v>0.14083847855734202</v>
      </c>
      <c r="O953">
        <v>1.7694647796810226E-2</v>
      </c>
      <c r="P953">
        <v>1.9365192617271886E-2</v>
      </c>
      <c r="Q953">
        <v>2.0847837675090882E-3</v>
      </c>
      <c r="R953">
        <v>1.5215262837673267E-3</v>
      </c>
      <c r="S953">
        <v>0.14956888433322424</v>
      </c>
      <c r="T953">
        <v>1.073963971063238</v>
      </c>
      <c r="U953">
        <v>2.327574442069525E-2</v>
      </c>
      <c r="V953">
        <v>0.20476424124015158</v>
      </c>
      <c r="W953">
        <v>8.5898545926121256E-2</v>
      </c>
      <c r="X953">
        <v>1.539828515253186E-2</v>
      </c>
      <c r="Y953">
        <v>4.14109297341002E-3</v>
      </c>
    </row>
    <row r="954" spans="1:25" x14ac:dyDescent="0.25">
      <c r="A954" s="827"/>
      <c r="B954" s="1066">
        <v>704</v>
      </c>
      <c r="C954" s="831">
        <v>1.0258969574899865</v>
      </c>
      <c r="D954" s="831">
        <v>1.0415470606241215</v>
      </c>
      <c r="E954" s="831">
        <v>1.0103824889272803</v>
      </c>
      <c r="F954" s="831">
        <v>0.96870230107867505</v>
      </c>
      <c r="G954" s="831">
        <v>0.95455567220948023</v>
      </c>
      <c r="H954" s="831">
        <v>0.9785461741046001</v>
      </c>
      <c r="I954" s="831">
        <v>1.0303567296920586</v>
      </c>
      <c r="K954">
        <v>1.7113807080738355</v>
      </c>
      <c r="L954">
        <v>0</v>
      </c>
      <c r="M954">
        <v>1.2694457988408491E-3</v>
      </c>
      <c r="N954">
        <v>0.13205165416492159</v>
      </c>
      <c r="O954">
        <v>1.7069040288294611E-2</v>
      </c>
      <c r="P954">
        <v>1.9823457780438942E-2</v>
      </c>
      <c r="Q954">
        <v>2.0976781884073275E-3</v>
      </c>
      <c r="R954">
        <v>1.2614305253753116E-3</v>
      </c>
      <c r="S954">
        <v>0.14931766218176032</v>
      </c>
      <c r="T954">
        <v>1.0704427846625402</v>
      </c>
      <c r="U954">
        <v>2.2733791856996314E-2</v>
      </c>
      <c r="V954">
        <v>0.19987837897066185</v>
      </c>
      <c r="W954">
        <v>7.8376470978383531E-2</v>
      </c>
      <c r="X954">
        <v>1.6164606215286231E-2</v>
      </c>
      <c r="Y954">
        <v>3.4331980596106664E-3</v>
      </c>
    </row>
    <row r="955" spans="1:25" x14ac:dyDescent="0.25">
      <c r="A955" s="827"/>
      <c r="B955" s="1066">
        <v>705</v>
      </c>
      <c r="C955" s="831">
        <v>0.99221812605564186</v>
      </c>
      <c r="D955" s="831">
        <v>1.0070363507937758</v>
      </c>
      <c r="E955" s="831">
        <v>1.0431350126922698</v>
      </c>
      <c r="F955" s="831">
        <v>1.0327991211046783</v>
      </c>
      <c r="G955" s="831">
        <v>1.005724158682199</v>
      </c>
      <c r="H955" s="831">
        <v>0.99625794951679392</v>
      </c>
      <c r="I955" s="831">
        <v>0.99736671756171469</v>
      </c>
      <c r="K955">
        <v>1.742815325882586</v>
      </c>
      <c r="L955">
        <v>0</v>
      </c>
      <c r="M955">
        <v>1.2659806134792777E-3</v>
      </c>
      <c r="N955">
        <v>0.14580714402021511</v>
      </c>
      <c r="O955">
        <v>1.7919080881028407E-2</v>
      </c>
      <c r="P955">
        <v>2.0413554776656247E-2</v>
      </c>
      <c r="Q955">
        <v>2.2685576271811261E-3</v>
      </c>
      <c r="R955">
        <v>1.2581505798734656E-3</v>
      </c>
      <c r="S955">
        <v>0.15281420593380349</v>
      </c>
      <c r="T955">
        <v>1.06756955263493</v>
      </c>
      <c r="U955">
        <v>2.3505444302874275E-2</v>
      </c>
      <c r="V955">
        <v>0.20637677279830888</v>
      </c>
      <c r="W955">
        <v>8.4657816316969406E-2</v>
      </c>
      <c r="X955">
        <v>1.8066755495035506E-2</v>
      </c>
      <c r="Y955">
        <v>3.4242711291883865E-3</v>
      </c>
    </row>
    <row r="956" spans="1:25" x14ac:dyDescent="0.25">
      <c r="A956" s="827"/>
      <c r="B956" s="1066">
        <v>706</v>
      </c>
      <c r="C956" s="831">
        <v>0.96932197817096499</v>
      </c>
      <c r="D956" s="831">
        <v>0.96840745614297175</v>
      </c>
      <c r="E956" s="831">
        <v>1.0024310936501057</v>
      </c>
      <c r="F956" s="831">
        <v>0.98748361327104073</v>
      </c>
      <c r="G956" s="831">
        <v>0.99813028689852334</v>
      </c>
      <c r="H956" s="831">
        <v>0.96918997233668636</v>
      </c>
      <c r="I956" s="831">
        <v>1.0277749094565884</v>
      </c>
      <c r="K956">
        <v>1.7578120212698536</v>
      </c>
      <c r="L956">
        <v>0</v>
      </c>
      <c r="M956">
        <v>1.3984822920162917E-3</v>
      </c>
      <c r="N956">
        <v>0.14191820722978266</v>
      </c>
      <c r="O956">
        <v>1.8670707549740918E-2</v>
      </c>
      <c r="P956">
        <v>2.007948590281948E-2</v>
      </c>
      <c r="Q956">
        <v>2.2627961836101367E-3</v>
      </c>
      <c r="R956">
        <v>1.3896196489497203E-3</v>
      </c>
      <c r="S956">
        <v>0.16174484753273574</v>
      </c>
      <c r="T956">
        <v>1.0711464534079989</v>
      </c>
      <c r="U956">
        <v>2.4060661393762062E-2</v>
      </c>
      <c r="V956">
        <v>0.21267623243294986</v>
      </c>
      <c r="W956">
        <v>8.4690031652086342E-2</v>
      </c>
      <c r="X956">
        <v>1.6789374030985422E-2</v>
      </c>
      <c r="Y956">
        <v>3.7820865964469769E-3</v>
      </c>
    </row>
    <row r="957" spans="1:25" x14ac:dyDescent="0.25">
      <c r="A957" s="827"/>
      <c r="B957" s="1066">
        <v>707</v>
      </c>
      <c r="C957" s="831">
        <v>1.0013506059223594</v>
      </c>
      <c r="D957" s="831">
        <v>1.0324083021562611</v>
      </c>
      <c r="E957" s="831">
        <v>0.99790154887481852</v>
      </c>
      <c r="F957" s="831">
        <v>0.99269860981585722</v>
      </c>
      <c r="G957" s="831">
        <v>1.0006806709600926</v>
      </c>
      <c r="H957" s="831">
        <v>1.0091988432562735</v>
      </c>
      <c r="I957" s="831">
        <v>0.98324236137192844</v>
      </c>
      <c r="K957">
        <v>1.7270939212611041</v>
      </c>
      <c r="L957">
        <v>0</v>
      </c>
      <c r="M957">
        <v>1.3825277646949447E-3</v>
      </c>
      <c r="N957">
        <v>0.13836649214593494</v>
      </c>
      <c r="O957">
        <v>1.7557108792760942E-2</v>
      </c>
      <c r="P957">
        <v>1.9698391879547254E-2</v>
      </c>
      <c r="Q957">
        <v>2.1293105196366667E-3</v>
      </c>
      <c r="R957">
        <v>1.3740695873381151E-3</v>
      </c>
      <c r="S957">
        <v>0.14864490419371429</v>
      </c>
      <c r="T957">
        <v>1.0715483688186971</v>
      </c>
      <c r="U957">
        <v>2.3291070840088447E-2</v>
      </c>
      <c r="V957">
        <v>0.20314915914247791</v>
      </c>
      <c r="W957">
        <v>8.2826815317785657E-2</v>
      </c>
      <c r="X957">
        <v>1.6150993333001261E-2</v>
      </c>
      <c r="Y957">
        <v>3.739764454816618E-3</v>
      </c>
    </row>
    <row r="958" spans="1:25" x14ac:dyDescent="0.25">
      <c r="A958" s="827"/>
      <c r="B958" s="1066">
        <v>708</v>
      </c>
      <c r="C958" s="831">
        <v>1.026971676243978</v>
      </c>
      <c r="D958" s="831">
        <v>1.0146882898883305</v>
      </c>
      <c r="E958" s="831">
        <v>0.99321845862185476</v>
      </c>
      <c r="F958" s="831">
        <v>1.0093660318673792</v>
      </c>
      <c r="G958" s="831">
        <v>0.99689503097969479</v>
      </c>
      <c r="H958" s="831">
        <v>1.0399657191827814</v>
      </c>
      <c r="I958" s="831">
        <v>0.98074119405197258</v>
      </c>
      <c r="K958">
        <v>1.7263949850954157</v>
      </c>
      <c r="L958">
        <v>0</v>
      </c>
      <c r="M958">
        <v>1.4138936715884592E-3</v>
      </c>
      <c r="N958">
        <v>0.13948481399567053</v>
      </c>
      <c r="O958">
        <v>1.7253499214902095E-2</v>
      </c>
      <c r="P958">
        <v>1.9599471973070912E-2</v>
      </c>
      <c r="Q958">
        <v>2.0797207034886295E-3</v>
      </c>
      <c r="R958">
        <v>1.4055111942536439E-3</v>
      </c>
      <c r="S958">
        <v>0.14770354737990765</v>
      </c>
      <c r="T958">
        <v>1.071964722457142</v>
      </c>
      <c r="U958">
        <v>2.2710001101103845E-2</v>
      </c>
      <c r="V958">
        <v>0.20205220976853921</v>
      </c>
      <c r="W958">
        <v>8.3765063350042759E-2</v>
      </c>
      <c r="X958">
        <v>1.5964979484763213E-2</v>
      </c>
      <c r="Y958">
        <v>3.8253381441177531E-3</v>
      </c>
    </row>
    <row r="959" spans="1:25" x14ac:dyDescent="0.25">
      <c r="A959" s="827"/>
      <c r="B959" s="1066">
        <v>709</v>
      </c>
      <c r="C959" s="831">
        <v>1.0389910400966478</v>
      </c>
      <c r="D959" s="831">
        <v>1.028937636111489</v>
      </c>
      <c r="E959" s="831">
        <v>0.99146830646680895</v>
      </c>
      <c r="F959" s="831">
        <v>1.0352207617706177</v>
      </c>
      <c r="G959" s="831">
        <v>0.9955067696480373</v>
      </c>
      <c r="H959" s="831">
        <v>1.0085762679197277</v>
      </c>
      <c r="I959" s="831">
        <v>0.97355648027621466</v>
      </c>
      <c r="K959">
        <v>1.706196494559064</v>
      </c>
      <c r="L959">
        <v>0</v>
      </c>
      <c r="M959">
        <v>1.3518189664862275E-3</v>
      </c>
      <c r="N959">
        <v>0.1326108478885005</v>
      </c>
      <c r="O959">
        <v>1.6946790108712483E-2</v>
      </c>
      <c r="P959">
        <v>1.9462328838483627E-2</v>
      </c>
      <c r="Q959">
        <v>2.0414502909026229E-3</v>
      </c>
      <c r="R959">
        <v>1.3435457912818597E-3</v>
      </c>
      <c r="S959">
        <v>0.14200504265414202</v>
      </c>
      <c r="T959">
        <v>1.0721205332639352</v>
      </c>
      <c r="U959">
        <v>2.2447284912229588E-2</v>
      </c>
      <c r="V959">
        <v>0.19964431941375099</v>
      </c>
      <c r="W959">
        <v>7.9732965172929784E-2</v>
      </c>
      <c r="X959">
        <v>1.553651644656146E-2</v>
      </c>
      <c r="Y959">
        <v>3.6566887441181577E-3</v>
      </c>
    </row>
    <row r="960" spans="1:25" x14ac:dyDescent="0.25">
      <c r="A960" s="827"/>
      <c r="B960" s="1066">
        <v>710</v>
      </c>
      <c r="C960" s="831">
        <v>1.0321959215094267</v>
      </c>
      <c r="D960" s="831">
        <v>1.0150311519912998</v>
      </c>
      <c r="E960" s="831">
        <v>0.98877678865136365</v>
      </c>
      <c r="F960" s="831">
        <v>0.99719458899651292</v>
      </c>
      <c r="G960" s="831">
        <v>1.0142432018517458</v>
      </c>
      <c r="H960" s="831">
        <v>0.97782592419975622</v>
      </c>
      <c r="I960" s="831">
        <v>0.9971158076034069</v>
      </c>
      <c r="K960">
        <v>1.7073393889117374</v>
      </c>
      <c r="L960">
        <v>0</v>
      </c>
      <c r="M960">
        <v>1.3348914893075083E-3</v>
      </c>
      <c r="N960">
        <v>0.12983330692773384</v>
      </c>
      <c r="O960">
        <v>1.716355201733203E-2</v>
      </c>
      <c r="P960">
        <v>1.9495263930558154E-2</v>
      </c>
      <c r="Q960">
        <v>2.0596728749469012E-3</v>
      </c>
      <c r="R960">
        <v>1.3264742255212811E-3</v>
      </c>
      <c r="S960">
        <v>0.14510837960947803</v>
      </c>
      <c r="T960">
        <v>1.0723603762213125</v>
      </c>
      <c r="U960">
        <v>2.259505914748974E-2</v>
      </c>
      <c r="V960">
        <v>0.20149867212858885</v>
      </c>
      <c r="W960">
        <v>7.8207849208763863E-2</v>
      </c>
      <c r="X960">
        <v>1.5415448539561642E-2</v>
      </c>
      <c r="Y960">
        <v>3.6102255697580046E-3</v>
      </c>
    </row>
    <row r="961" spans="1:25" x14ac:dyDescent="0.25">
      <c r="A961" s="827"/>
      <c r="B961" s="1066">
        <v>711</v>
      </c>
      <c r="C961" s="831">
        <v>1.0057155940379534</v>
      </c>
      <c r="D961" s="831">
        <v>0.99184123738716623</v>
      </c>
      <c r="E961" s="831">
        <v>0.9743476176782212</v>
      </c>
      <c r="F961" s="831">
        <v>0.99744762286065314</v>
      </c>
      <c r="G961" s="831">
        <v>1.0137691755054363</v>
      </c>
      <c r="H961" s="831">
        <v>1.0032588698769782</v>
      </c>
      <c r="I961" s="831">
        <v>1.0325501900991791</v>
      </c>
      <c r="K961">
        <v>1.738574191927001</v>
      </c>
      <c r="L961">
        <v>0</v>
      </c>
      <c r="M961">
        <v>1.4641404527326561E-3</v>
      </c>
      <c r="N961">
        <v>0.13616808251613419</v>
      </c>
      <c r="O961">
        <v>1.7800771773217809E-2</v>
      </c>
      <c r="P961">
        <v>1.9539828196601244E-2</v>
      </c>
      <c r="Q961">
        <v>2.1010909070585974E-3</v>
      </c>
      <c r="R961">
        <v>1.4551591361924459E-3</v>
      </c>
      <c r="S961">
        <v>0.15758782919553405</v>
      </c>
      <c r="T961">
        <v>1.0736508157854427</v>
      </c>
      <c r="U961">
        <v>2.3189983367626888E-2</v>
      </c>
      <c r="V961">
        <v>0.20632346489507405</v>
      </c>
      <c r="W961">
        <v>8.2848199659926666E-2</v>
      </c>
      <c r="X961">
        <v>1.5412643471291768E-2</v>
      </c>
      <c r="Y961">
        <v>3.9604634756355128E-3</v>
      </c>
    </row>
    <row r="962" spans="1:25" x14ac:dyDescent="0.25">
      <c r="A962" s="827"/>
      <c r="B962" s="1066">
        <v>712</v>
      </c>
      <c r="C962" s="831">
        <v>0.98157829639958816</v>
      </c>
      <c r="D962" s="831">
        <v>1.0189414808312041</v>
      </c>
      <c r="E962" s="831">
        <v>1.0471759128651565</v>
      </c>
      <c r="F962" s="831">
        <v>1.0143810802214099</v>
      </c>
      <c r="G962" s="831">
        <v>0.99089055324758202</v>
      </c>
      <c r="H962" s="831">
        <v>0.9918239071344932</v>
      </c>
      <c r="I962" s="831">
        <v>0.99972458079436188</v>
      </c>
      <c r="K962">
        <v>1.7450271619173259</v>
      </c>
      <c r="L962">
        <v>0</v>
      </c>
      <c r="M962">
        <v>1.2564501674257589E-3</v>
      </c>
      <c r="N962">
        <v>0.14652912777786917</v>
      </c>
      <c r="O962">
        <v>1.8017289849597311E-2</v>
      </c>
      <c r="P962">
        <v>2.0485981061833879E-2</v>
      </c>
      <c r="Q962">
        <v>2.2922387322959386E-3</v>
      </c>
      <c r="R962">
        <v>1.2486369116319867E-3</v>
      </c>
      <c r="S962">
        <v>0.15376198971549024</v>
      </c>
      <c r="T962">
        <v>1.067217884216743</v>
      </c>
      <c r="U962">
        <v>2.3760231846863128E-2</v>
      </c>
      <c r="V962">
        <v>0.20645901694834717</v>
      </c>
      <c r="W962">
        <v>8.4849338107270467E-2</v>
      </c>
      <c r="X962">
        <v>1.8263498856395093E-2</v>
      </c>
      <c r="Y962">
        <v>3.3983780604149713E-3</v>
      </c>
    </row>
    <row r="963" spans="1:25" x14ac:dyDescent="0.25">
      <c r="A963" s="827"/>
      <c r="B963" s="1066">
        <v>713</v>
      </c>
      <c r="C963" s="831">
        <v>0.98465054053042766</v>
      </c>
      <c r="D963" s="831">
        <v>0.97533581266697034</v>
      </c>
      <c r="E963" s="831">
        <v>0.99690355711813083</v>
      </c>
      <c r="F963" s="831">
        <v>1.0167976531594727</v>
      </c>
      <c r="G963" s="831">
        <v>0.97447089110698171</v>
      </c>
      <c r="H963" s="831">
        <v>0.9838793719189507</v>
      </c>
      <c r="I963" s="831">
        <v>1.0302447265978405</v>
      </c>
      <c r="K963">
        <v>1.7513476379669866</v>
      </c>
      <c r="L963">
        <v>0</v>
      </c>
      <c r="M963">
        <v>1.409371497451337E-3</v>
      </c>
      <c r="N963">
        <v>0.14059753953905665</v>
      </c>
      <c r="O963">
        <v>1.83205947975595E-2</v>
      </c>
      <c r="P963">
        <v>1.994458847949258E-2</v>
      </c>
      <c r="Q963">
        <v>2.2093699141667502E-3</v>
      </c>
      <c r="R963">
        <v>1.4005680067868938E-3</v>
      </c>
      <c r="S963">
        <v>0.16025275496562849</v>
      </c>
      <c r="T963">
        <v>1.0716370266743629</v>
      </c>
      <c r="U963">
        <v>2.3686096679274043E-2</v>
      </c>
      <c r="V963">
        <v>0.21021816694549272</v>
      </c>
      <c r="W963">
        <v>8.4219926226788713E-2</v>
      </c>
      <c r="X963">
        <v>1.6458492818474439E-2</v>
      </c>
      <c r="Y963">
        <v>3.8118844173545725E-3</v>
      </c>
    </row>
    <row r="964" spans="1:25" x14ac:dyDescent="0.25">
      <c r="A964" s="827"/>
      <c r="B964" s="1066">
        <v>714</v>
      </c>
      <c r="C964" s="831">
        <v>1.0138295452347841</v>
      </c>
      <c r="D964" s="831">
        <v>1.0182968279746811</v>
      </c>
      <c r="E964" s="831">
        <v>1.0246372126704375</v>
      </c>
      <c r="F964" s="831">
        <v>1.0459402778266631</v>
      </c>
      <c r="G964" s="831">
        <v>0.98713252816150565</v>
      </c>
      <c r="H964" s="831">
        <v>0.98354662119098479</v>
      </c>
      <c r="I964" s="831">
        <v>0.96662773403085622</v>
      </c>
      <c r="K964">
        <v>1.7171558504495603</v>
      </c>
      <c r="L964">
        <v>0</v>
      </c>
      <c r="M964">
        <v>1.2656549010741697E-3</v>
      </c>
      <c r="N964">
        <v>0.13762557361975239</v>
      </c>
      <c r="O964">
        <v>1.7449126756539937E-2</v>
      </c>
      <c r="P964">
        <v>1.9981003181268595E-2</v>
      </c>
      <c r="Q964">
        <v>2.1710768888988279E-3</v>
      </c>
      <c r="R964">
        <v>1.2577185745380485E-3</v>
      </c>
      <c r="S964">
        <v>0.14341793180921583</v>
      </c>
      <c r="T964">
        <v>1.0691872827741642</v>
      </c>
      <c r="U964">
        <v>2.3004387678307519E-2</v>
      </c>
      <c r="V964">
        <v>0.20308014988526546</v>
      </c>
      <c r="W964">
        <v>8.0901460876642961E-2</v>
      </c>
      <c r="X964">
        <v>1.6922697952963531E-2</v>
      </c>
      <c r="Y964">
        <v>3.4230953530759002E-3</v>
      </c>
    </row>
    <row r="965" spans="1:25" x14ac:dyDescent="0.25">
      <c r="A965" s="827"/>
      <c r="B965" s="1066">
        <v>715</v>
      </c>
      <c r="C965" s="831">
        <v>0.99650954502921474</v>
      </c>
      <c r="D965" s="831">
        <v>1.0233027921133115</v>
      </c>
      <c r="E965" s="831">
        <v>0.97582973666322281</v>
      </c>
      <c r="F965" s="831">
        <v>0.99968423207674695</v>
      </c>
      <c r="G965" s="831">
        <v>0.97395494422831563</v>
      </c>
      <c r="H965" s="831">
        <v>1.0086755449016407</v>
      </c>
      <c r="I965" s="831">
        <v>1.0324485158080305</v>
      </c>
      <c r="K965">
        <v>1.7368565491554302</v>
      </c>
      <c r="L965">
        <v>0</v>
      </c>
      <c r="M965">
        <v>1.4602720931203459E-3</v>
      </c>
      <c r="N965">
        <v>0.13643954025939636</v>
      </c>
      <c r="O965">
        <v>1.7713109124222654E-2</v>
      </c>
      <c r="P965">
        <v>1.9535193110837054E-2</v>
      </c>
      <c r="Q965">
        <v>2.0992500570904608E-3</v>
      </c>
      <c r="R965">
        <v>1.451340003261608E-3</v>
      </c>
      <c r="S965">
        <v>0.15737980163173268</v>
      </c>
      <c r="T965">
        <v>1.0735179054311825</v>
      </c>
      <c r="U965">
        <v>2.3404219271797741E-2</v>
      </c>
      <c r="V965">
        <v>0.20445374375790418</v>
      </c>
      <c r="W965">
        <v>8.2927737429979123E-2</v>
      </c>
      <c r="X965">
        <v>1.5444912116372639E-2</v>
      </c>
      <c r="Y965">
        <v>3.9500690547746038E-3</v>
      </c>
    </row>
    <row r="966" spans="1:25" x14ac:dyDescent="0.25">
      <c r="A966" s="827"/>
      <c r="B966" s="1066">
        <v>716</v>
      </c>
      <c r="C966" s="831">
        <v>0.97568270261966705</v>
      </c>
      <c r="D966" s="831">
        <v>1.0109341293821017</v>
      </c>
      <c r="E966" s="831">
        <v>0.97975955718926044</v>
      </c>
      <c r="F966" s="831">
        <v>1.0034204524871353</v>
      </c>
      <c r="G966" s="831">
        <v>0.9946709085619333</v>
      </c>
      <c r="H966" s="831">
        <v>0.9707501894247843</v>
      </c>
      <c r="I966" s="831">
        <v>1.0019398047620955</v>
      </c>
      <c r="K966">
        <v>1.7357612655513404</v>
      </c>
      <c r="L966">
        <v>0</v>
      </c>
      <c r="M966">
        <v>1.4314158021380809E-3</v>
      </c>
      <c r="N966">
        <v>0.13535959315054538</v>
      </c>
      <c r="O966">
        <v>1.8190939770721937E-2</v>
      </c>
      <c r="P966">
        <v>1.9595787197116795E-2</v>
      </c>
      <c r="Q966">
        <v>2.1623813832595687E-3</v>
      </c>
      <c r="R966">
        <v>1.4223270821390399E-3</v>
      </c>
      <c r="S966">
        <v>0.15399553434348914</v>
      </c>
      <c r="T966">
        <v>1.0731658944588667</v>
      </c>
      <c r="U966">
        <v>2.3903803803924321E-2</v>
      </c>
      <c r="V966">
        <v>0.20784267367255674</v>
      </c>
      <c r="W966">
        <v>8.2046963187241417E-2</v>
      </c>
      <c r="X966">
        <v>1.5635677856031878E-2</v>
      </c>
      <c r="Y966">
        <v>3.8711054475858504E-3</v>
      </c>
    </row>
    <row r="967" spans="1:25" x14ac:dyDescent="0.25">
      <c r="A967" s="827"/>
      <c r="B967" s="1066">
        <v>717</v>
      </c>
      <c r="C967" s="831">
        <v>0.97822400964113754</v>
      </c>
      <c r="D967" s="831">
        <v>0.9634932694988485</v>
      </c>
      <c r="E967" s="831">
        <v>0.97294079417098933</v>
      </c>
      <c r="F967" s="831">
        <v>0.99885002353867625</v>
      </c>
      <c r="G967" s="831">
        <v>0.97783813945584674</v>
      </c>
      <c r="H967" s="831">
        <v>1.0078170944126081</v>
      </c>
      <c r="I967" s="831">
        <v>0.98187939531695456</v>
      </c>
      <c r="K967">
        <v>1.7552072384923791</v>
      </c>
      <c r="L967">
        <v>0</v>
      </c>
      <c r="M967">
        <v>1.5366783193638172E-3</v>
      </c>
      <c r="N967">
        <v>0.14229495744278658</v>
      </c>
      <c r="O967">
        <v>1.8543658937426561E-2</v>
      </c>
      <c r="P967">
        <v>1.9589359445271865E-2</v>
      </c>
      <c r="Q967">
        <v>2.1803861380677186E-3</v>
      </c>
      <c r="R967">
        <v>1.5273170853156038E-3</v>
      </c>
      <c r="S967">
        <v>0.15627116095576016</v>
      </c>
      <c r="T967">
        <v>1.0737770501951418</v>
      </c>
      <c r="U967">
        <v>2.3841704628430729E-2</v>
      </c>
      <c r="V967">
        <v>0.21213673695207039</v>
      </c>
      <c r="W967">
        <v>8.6660883328037022E-2</v>
      </c>
      <c r="X967">
        <v>1.5763848077146907E-2</v>
      </c>
      <c r="Y967">
        <v>4.1568536262872133E-3</v>
      </c>
    </row>
    <row r="968" spans="1:25" x14ac:dyDescent="0.25">
      <c r="A968" s="827"/>
      <c r="B968" s="1066">
        <v>718</v>
      </c>
      <c r="C968" s="831">
        <v>0.98091245307552966</v>
      </c>
      <c r="D968" s="831">
        <v>1.0155292821947026</v>
      </c>
      <c r="E968" s="831">
        <v>1.0192422635486658</v>
      </c>
      <c r="F968" s="831">
        <v>0.9643016484077247</v>
      </c>
      <c r="G968" s="831">
        <v>0.98264359330077866</v>
      </c>
      <c r="H968" s="831">
        <v>1.023582324734394</v>
      </c>
      <c r="I968" s="831">
        <v>0.97556735154656526</v>
      </c>
      <c r="K968">
        <v>1.7488400307525995</v>
      </c>
      <c r="L968">
        <v>0</v>
      </c>
      <c r="M968">
        <v>1.378676147220539E-3</v>
      </c>
      <c r="N968">
        <v>0.14746072195543755</v>
      </c>
      <c r="O968">
        <v>1.8056880159108356E-2</v>
      </c>
      <c r="P968">
        <v>2.0098800024957834E-2</v>
      </c>
      <c r="Q968">
        <v>2.2341966904312629E-3</v>
      </c>
      <c r="R968">
        <v>1.3703710786221487E-3</v>
      </c>
      <c r="S968">
        <v>0.15260877561479783</v>
      </c>
      <c r="T968">
        <v>1.0696615443351054</v>
      </c>
      <c r="U968">
        <v>2.3776360291051776E-2</v>
      </c>
      <c r="V968">
        <v>0.20684055136791801</v>
      </c>
      <c r="W968">
        <v>8.6998638188745051E-2</v>
      </c>
      <c r="X968">
        <v>1.7382168860338061E-2</v>
      </c>
      <c r="Y968">
        <v>3.7296983333048291E-3</v>
      </c>
    </row>
    <row r="969" spans="1:25" x14ac:dyDescent="0.25">
      <c r="A969" s="827"/>
      <c r="B969" s="1066">
        <v>719</v>
      </c>
      <c r="C969" s="831">
        <v>1.0083561468459359</v>
      </c>
      <c r="D969" s="831">
        <v>1.005986691511678</v>
      </c>
      <c r="E969" s="831">
        <v>0.99186430744149179</v>
      </c>
      <c r="F969" s="831">
        <v>0.98421751975192662</v>
      </c>
      <c r="G969" s="831">
        <v>0.99656474239062665</v>
      </c>
      <c r="H969" s="831">
        <v>1.0096576897103742</v>
      </c>
      <c r="I969" s="831">
        <v>0.9887660180746799</v>
      </c>
      <c r="K969">
        <v>1.7305786135479777</v>
      </c>
      <c r="L969">
        <v>0</v>
      </c>
      <c r="M969">
        <v>1.4074851195820381E-3</v>
      </c>
      <c r="N969">
        <v>0.13824436417737401</v>
      </c>
      <c r="O969">
        <v>1.7640623572128308E-2</v>
      </c>
      <c r="P969">
        <v>1.9655617640567339E-2</v>
      </c>
      <c r="Q969">
        <v>2.1219894740085472E-3</v>
      </c>
      <c r="R969">
        <v>1.3988961462370198E-3</v>
      </c>
      <c r="S969">
        <v>0.15007702362490397</v>
      </c>
      <c r="T969">
        <v>1.072085268379543</v>
      </c>
      <c r="U969">
        <v>2.312925643509425E-2</v>
      </c>
      <c r="V969">
        <v>0.20474726930195625</v>
      </c>
      <c r="W969">
        <v>8.3097495529149273E-2</v>
      </c>
      <c r="X969">
        <v>1.5980960222529129E-2</v>
      </c>
      <c r="Y969">
        <v>3.8073341640664981E-3</v>
      </c>
    </row>
    <row r="970" spans="1:25" x14ac:dyDescent="0.25">
      <c r="A970" s="827"/>
      <c r="B970" s="1066">
        <v>720</v>
      </c>
      <c r="C970" s="831">
        <v>1.0248327110754449</v>
      </c>
      <c r="D970" s="831">
        <v>1.0155600493589443</v>
      </c>
      <c r="E970" s="831">
        <v>0.99618581395192951</v>
      </c>
      <c r="F970" s="831">
        <v>0.99189053576034547</v>
      </c>
      <c r="G970" s="831">
        <v>0.99306231007783929</v>
      </c>
      <c r="H970" s="831">
        <v>0.95600953312846848</v>
      </c>
      <c r="I970" s="831">
        <v>0.98137353974158836</v>
      </c>
      <c r="K970">
        <v>1.7029481503200457</v>
      </c>
      <c r="L970">
        <v>0</v>
      </c>
      <c r="M970">
        <v>1.2938540508810948E-3</v>
      </c>
      <c r="N970">
        <v>0.12875930660012816</v>
      </c>
      <c r="O970">
        <v>1.7282797275632998E-2</v>
      </c>
      <c r="P970">
        <v>1.9568870970424781E-2</v>
      </c>
      <c r="Q970">
        <v>2.0896395487109065E-3</v>
      </c>
      <c r="R970">
        <v>1.2855090215003633E-3</v>
      </c>
      <c r="S970">
        <v>0.14232324643968516</v>
      </c>
      <c r="T970">
        <v>1.071700811518659</v>
      </c>
      <c r="U970">
        <v>2.2757399960261632E-2</v>
      </c>
      <c r="V970">
        <v>0.20219208457615961</v>
      </c>
      <c r="W970">
        <v>7.7166635783384604E-2</v>
      </c>
      <c r="X970">
        <v>1.5616970887792118E-2</v>
      </c>
      <c r="Y970">
        <v>3.4987317885889413E-3</v>
      </c>
    </row>
    <row r="971" spans="1:25" x14ac:dyDescent="0.25">
      <c r="A971" s="827"/>
      <c r="B971" s="1066">
        <v>721</v>
      </c>
      <c r="C971" s="831">
        <v>1.0103634226667029</v>
      </c>
      <c r="D971" s="831">
        <v>0.97056892399223249</v>
      </c>
      <c r="E971" s="831">
        <v>1.023095372261702</v>
      </c>
      <c r="F971" s="831">
        <v>0.98736066307277914</v>
      </c>
      <c r="G971" s="831">
        <v>1.0293848020037499</v>
      </c>
      <c r="H971" s="831">
        <v>0.9667154376539896</v>
      </c>
      <c r="I971" s="831">
        <v>1.0014873629800691</v>
      </c>
      <c r="K971">
        <v>1.7318808772606586</v>
      </c>
      <c r="L971">
        <v>0</v>
      </c>
      <c r="M971">
        <v>1.2798558794989267E-3</v>
      </c>
      <c r="N971">
        <v>0.13849322984149751</v>
      </c>
      <c r="O971">
        <v>1.7894147916071454E-2</v>
      </c>
      <c r="P971">
        <v>2.0131244496346228E-2</v>
      </c>
      <c r="Q971">
        <v>2.2142870303423156E-3</v>
      </c>
      <c r="R971">
        <v>1.2717227478219024E-3</v>
      </c>
      <c r="S971">
        <v>0.15088707339771595</v>
      </c>
      <c r="T971">
        <v>1.0693227109909158</v>
      </c>
      <c r="U971">
        <v>2.3083305843304248E-2</v>
      </c>
      <c r="V971">
        <v>0.20783972888771882</v>
      </c>
      <c r="W971">
        <v>8.1496019099490627E-2</v>
      </c>
      <c r="X971">
        <v>1.7066052792652012E-2</v>
      </c>
      <c r="Y971">
        <v>3.461210096280067E-3</v>
      </c>
    </row>
    <row r="972" spans="1:25" x14ac:dyDescent="0.25">
      <c r="A972" s="827"/>
      <c r="B972" s="1066">
        <v>722</v>
      </c>
      <c r="C972" s="831">
        <v>1.0334939905022142</v>
      </c>
      <c r="D972" s="831">
        <v>1.0215299470781745</v>
      </c>
      <c r="E972" s="831">
        <v>1.021007190548892</v>
      </c>
      <c r="F972" s="831">
        <v>0.97781277664908051</v>
      </c>
      <c r="G972" s="831">
        <v>0.9704673317434942</v>
      </c>
      <c r="H972" s="831">
        <v>1.0097813206705337</v>
      </c>
      <c r="I972" s="831">
        <v>1.0271502584959031</v>
      </c>
      <c r="K972">
        <v>1.7226980420228051</v>
      </c>
      <c r="L972">
        <v>0</v>
      </c>
      <c r="M972">
        <v>1.282669459685985E-3</v>
      </c>
      <c r="N972">
        <v>0.1379344402218671</v>
      </c>
      <c r="O972">
        <v>1.7092615619974671E-2</v>
      </c>
      <c r="P972">
        <v>2.0002158712997032E-2</v>
      </c>
      <c r="Q972">
        <v>2.11961445579721E-3</v>
      </c>
      <c r="R972">
        <v>1.2748334027740012E-3</v>
      </c>
      <c r="S972">
        <v>0.15115571519203322</v>
      </c>
      <c r="T972">
        <v>1.0695062709741405</v>
      </c>
      <c r="U972">
        <v>2.2566679741378909E-2</v>
      </c>
      <c r="V972">
        <v>0.20080919477926168</v>
      </c>
      <c r="W972">
        <v>8.1281487719501819E-2</v>
      </c>
      <c r="X972">
        <v>1.6768024389132542E-2</v>
      </c>
      <c r="Y972">
        <v>3.4696762736325507E-3</v>
      </c>
    </row>
    <row r="973" spans="1:25" x14ac:dyDescent="0.25">
      <c r="A973" s="827"/>
      <c r="B973" s="1066">
        <v>723</v>
      </c>
      <c r="C973" s="831">
        <v>1.040522239844174</v>
      </c>
      <c r="D973" s="831">
        <v>1.0478744113924345</v>
      </c>
      <c r="E973" s="831">
        <v>0.99434519489956497</v>
      </c>
      <c r="F973" s="831">
        <v>1.0098731825138194</v>
      </c>
      <c r="G973" s="831">
        <v>0.97530428788712298</v>
      </c>
      <c r="H973" s="831">
        <v>1.0048847741200886</v>
      </c>
      <c r="I973" s="831">
        <v>1.0192121660437277</v>
      </c>
      <c r="K973">
        <v>1.70675668102705</v>
      </c>
      <c r="L973">
        <v>0</v>
      </c>
      <c r="M973">
        <v>1.3258377059850966E-3</v>
      </c>
      <c r="N973">
        <v>0.13122792583595044</v>
      </c>
      <c r="O973">
        <v>1.6783251952548456E-2</v>
      </c>
      <c r="P973">
        <v>1.9546215522435181E-2</v>
      </c>
      <c r="Q973">
        <v>2.0306012929914869E-3</v>
      </c>
      <c r="R973">
        <v>1.3176818611859631E-3</v>
      </c>
      <c r="S973">
        <v>0.14707640714996878</v>
      </c>
      <c r="T973">
        <v>1.0718644735821781</v>
      </c>
      <c r="U973">
        <v>2.2414252194932309E-2</v>
      </c>
      <c r="V973">
        <v>0.19793655959074025</v>
      </c>
      <c r="W973">
        <v>7.8745542021641829E-2</v>
      </c>
      <c r="X973">
        <v>1.5553312076023201E-2</v>
      </c>
      <c r="Y973">
        <v>3.5862956524393918E-3</v>
      </c>
    </row>
    <row r="974" spans="1:25" x14ac:dyDescent="0.25">
      <c r="A974" s="827"/>
      <c r="B974" s="1066">
        <v>724</v>
      </c>
      <c r="C974" s="831">
        <v>0.96482983809842326</v>
      </c>
      <c r="D974" s="831">
        <v>0.99842560606833708</v>
      </c>
      <c r="E974" s="831">
        <v>0.99734833695102121</v>
      </c>
      <c r="F974" s="831">
        <v>0.99805159340648619</v>
      </c>
      <c r="G974" s="831">
        <v>1.0352395336656457</v>
      </c>
      <c r="H974" s="831">
        <v>1.0241382964125612</v>
      </c>
      <c r="I974" s="831">
        <v>0.98571182288270731</v>
      </c>
      <c r="K974">
        <v>1.7618305263210419</v>
      </c>
      <c r="L974">
        <v>0</v>
      </c>
      <c r="M974">
        <v>1.4800014396286196E-3</v>
      </c>
      <c r="N974">
        <v>0.14788281863591848</v>
      </c>
      <c r="O974">
        <v>1.8499539738944012E-2</v>
      </c>
      <c r="P974">
        <v>1.9925953095316629E-2</v>
      </c>
      <c r="Q974">
        <v>2.2362642836393815E-3</v>
      </c>
      <c r="R974">
        <v>1.4711031095271743E-3</v>
      </c>
      <c r="S974">
        <v>0.15791631918254898</v>
      </c>
      <c r="T974">
        <v>1.0715975094562169</v>
      </c>
      <c r="U974">
        <v>2.4172685148574371E-2</v>
      </c>
      <c r="V974">
        <v>0.21025198025954586</v>
      </c>
      <c r="W974">
        <v>8.8556902656648909E-2</v>
      </c>
      <c r="X974">
        <v>1.6795594478666583E-2</v>
      </c>
      <c r="Y974">
        <v>4.0038577151232458E-3</v>
      </c>
    </row>
    <row r="975" spans="1:25" x14ac:dyDescent="0.25">
      <c r="A975" s="827"/>
      <c r="B975" s="1066">
        <v>725</v>
      </c>
      <c r="C975" s="831">
        <v>1.0161424098098908</v>
      </c>
      <c r="D975" s="831">
        <v>1.0173650903211644</v>
      </c>
      <c r="E975" s="831">
        <v>0.98192308082848423</v>
      </c>
      <c r="F975" s="831">
        <v>1.012289467119494</v>
      </c>
      <c r="G975" s="831">
        <v>0.97687434969364573</v>
      </c>
      <c r="H975" s="831">
        <v>0.99919022177278283</v>
      </c>
      <c r="I975" s="831">
        <v>1.0180810852737348</v>
      </c>
      <c r="K975">
        <v>1.7236086684145111</v>
      </c>
      <c r="L975">
        <v>0</v>
      </c>
      <c r="M975">
        <v>1.404247654875738E-3</v>
      </c>
      <c r="N975">
        <v>0.13371247090616958</v>
      </c>
      <c r="O975">
        <v>1.7416615742004486E-2</v>
      </c>
      <c r="P975">
        <v>1.9517862294477457E-2</v>
      </c>
      <c r="Q975">
        <v>2.0759627900340336E-3</v>
      </c>
      <c r="R975">
        <v>1.3955807781177955E-3</v>
      </c>
      <c r="S975">
        <v>0.15188177138226763</v>
      </c>
      <c r="T975">
        <v>1.072972345933872</v>
      </c>
      <c r="U975">
        <v>2.2952026874526941E-2</v>
      </c>
      <c r="V975">
        <v>0.2029208633588882</v>
      </c>
      <c r="W975">
        <v>8.0927064293500606E-2</v>
      </c>
      <c r="X975">
        <v>1.5442040890570712E-2</v>
      </c>
      <c r="Y975">
        <v>3.7983108249567748E-3</v>
      </c>
    </row>
    <row r="976" spans="1:25" x14ac:dyDescent="0.25">
      <c r="A976" s="827"/>
      <c r="B976" s="1066">
        <v>726</v>
      </c>
      <c r="C976" s="831">
        <v>0.97286121107785284</v>
      </c>
      <c r="D976" s="831">
        <v>1.0215512183338089</v>
      </c>
      <c r="E976" s="831">
        <v>1.0288013049887084</v>
      </c>
      <c r="F976" s="831">
        <v>0.97243607385315844</v>
      </c>
      <c r="G976" s="831">
        <v>0.99276021176293572</v>
      </c>
      <c r="H976" s="831">
        <v>0.9944069781446383</v>
      </c>
      <c r="I976" s="831">
        <v>1.002379855116116</v>
      </c>
      <c r="K976">
        <v>1.7481131614200247</v>
      </c>
      <c r="L976">
        <v>0</v>
      </c>
      <c r="M976">
        <v>1.3199245047796524E-3</v>
      </c>
      <c r="N976">
        <v>0.14540432055890923</v>
      </c>
      <c r="O976">
        <v>1.8157728075518312E-2</v>
      </c>
      <c r="P976">
        <v>2.0276903537909272E-2</v>
      </c>
      <c r="Q976">
        <v>2.2691679675049441E-3</v>
      </c>
      <c r="R976">
        <v>1.3117361657326231E-3</v>
      </c>
      <c r="S976">
        <v>0.15557635718538626</v>
      </c>
      <c r="T976">
        <v>1.0688219783594626</v>
      </c>
      <c r="U976">
        <v>2.3973129602385596E-2</v>
      </c>
      <c r="V976">
        <v>0.20718803259827837</v>
      </c>
      <c r="W976">
        <v>8.5235381620584291E-2</v>
      </c>
      <c r="X976">
        <v>1.7648236823718935E-2</v>
      </c>
      <c r="Y976">
        <v>3.5701134294133796E-3</v>
      </c>
    </row>
    <row r="977" spans="1:25" x14ac:dyDescent="0.25">
      <c r="A977" s="827"/>
      <c r="B977" s="1066">
        <v>727</v>
      </c>
      <c r="C977" s="831">
        <v>0.98620926085083349</v>
      </c>
      <c r="D977" s="831">
        <v>0.99621643481210587</v>
      </c>
      <c r="E977" s="831">
        <v>1.0089299682524564</v>
      </c>
      <c r="F977" s="831">
        <v>1.0195650456924812</v>
      </c>
      <c r="G977" s="831">
        <v>1.0398643200204474</v>
      </c>
      <c r="H977" s="831">
        <v>1.0332105006510885</v>
      </c>
      <c r="I977" s="831">
        <v>0.97918719296411194</v>
      </c>
      <c r="K977">
        <v>1.7534154130304769</v>
      </c>
      <c r="L977">
        <v>0</v>
      </c>
      <c r="M977">
        <v>1.4269599344489776E-3</v>
      </c>
      <c r="N977">
        <v>0.14782083351982006</v>
      </c>
      <c r="O977">
        <v>1.8116673886936496E-2</v>
      </c>
      <c r="P977">
        <v>1.9996492028513654E-2</v>
      </c>
      <c r="Q977">
        <v>2.2151790192915413E-3</v>
      </c>
      <c r="R977">
        <v>1.4184573791562022E-3</v>
      </c>
      <c r="S977">
        <v>0.15425945186849535</v>
      </c>
      <c r="T977">
        <v>1.0705711489115013</v>
      </c>
      <c r="U977">
        <v>2.3648660405178226E-2</v>
      </c>
      <c r="V977">
        <v>0.20803801987780379</v>
      </c>
      <c r="W977">
        <v>8.782259048170199E-2</v>
      </c>
      <c r="X977">
        <v>1.7074292194811137E-2</v>
      </c>
      <c r="Y977">
        <v>3.860573391713812E-3</v>
      </c>
    </row>
    <row r="978" spans="1:25" x14ac:dyDescent="0.25">
      <c r="A978" s="827"/>
      <c r="B978" s="1066">
        <v>728</v>
      </c>
      <c r="C978" s="831">
        <v>1.0478464899604452</v>
      </c>
      <c r="D978" s="831">
        <v>0.9976801414949259</v>
      </c>
      <c r="E978" s="831">
        <v>1.0326546135290644</v>
      </c>
      <c r="F978" s="831">
        <v>0.98790151426059247</v>
      </c>
      <c r="G978" s="831">
        <v>1.0422314719165191</v>
      </c>
      <c r="H978" s="831">
        <v>0.96242953392251374</v>
      </c>
      <c r="I978" s="831">
        <v>1.0175340131441217</v>
      </c>
      <c r="K978">
        <v>1.7074040838296813</v>
      </c>
      <c r="L978">
        <v>0</v>
      </c>
      <c r="M978">
        <v>1.1890702566945358E-3</v>
      </c>
      <c r="N978">
        <v>0.13253956606659689</v>
      </c>
      <c r="O978">
        <v>1.7039661149771915E-2</v>
      </c>
      <c r="P978">
        <v>2.0088982881654015E-2</v>
      </c>
      <c r="Q978">
        <v>2.1334499476029258E-3</v>
      </c>
      <c r="R978">
        <v>1.1814631921471398E-3</v>
      </c>
      <c r="S978">
        <v>0.14583979240774686</v>
      </c>
      <c r="T978">
        <v>1.0684845240912615</v>
      </c>
      <c r="U978">
        <v>2.225758078283353E-2</v>
      </c>
      <c r="V978">
        <v>0.20146970304485673</v>
      </c>
      <c r="W978">
        <v>7.7493859079040273E-2</v>
      </c>
      <c r="X978">
        <v>1.6849018103075805E-2</v>
      </c>
      <c r="Y978">
        <v>3.2155533397878956E-3</v>
      </c>
    </row>
    <row r="979" spans="1:25" x14ac:dyDescent="0.25">
      <c r="A979" s="827"/>
      <c r="B979" s="1066">
        <v>729</v>
      </c>
      <c r="C979" s="831">
        <v>1.0003722164515942</v>
      </c>
      <c r="D979" s="831">
        <v>1.0117958282420985</v>
      </c>
      <c r="E979" s="831">
        <v>1.0219944175882139</v>
      </c>
      <c r="F979" s="831">
        <v>1.0264387188764479</v>
      </c>
      <c r="G979" s="831">
        <v>1.0263121960482839</v>
      </c>
      <c r="H979" s="831">
        <v>1.0027085015631449</v>
      </c>
      <c r="I979" s="831">
        <v>1.0080810157759386</v>
      </c>
      <c r="K979">
        <v>1.7379550172098965</v>
      </c>
      <c r="L979">
        <v>0</v>
      </c>
      <c r="M979">
        <v>1.318804342374733E-3</v>
      </c>
      <c r="N979">
        <v>0.14225034809955753</v>
      </c>
      <c r="O979">
        <v>1.7735144617752548E-2</v>
      </c>
      <c r="P979">
        <v>2.011542496212038E-2</v>
      </c>
      <c r="Q979">
        <v>2.1997386568006422E-3</v>
      </c>
      <c r="R979">
        <v>1.3106969715760074E-3</v>
      </c>
      <c r="S979">
        <v>0.15336179848061779</v>
      </c>
      <c r="T979">
        <v>1.0694194689583849</v>
      </c>
      <c r="U979">
        <v>2.3313850099746059E-2</v>
      </c>
      <c r="V979">
        <v>0.20506560175890901</v>
      </c>
      <c r="W979">
        <v>8.3768985739068713E-2</v>
      </c>
      <c r="X979">
        <v>1.7165478122246999E-2</v>
      </c>
      <c r="Y979">
        <v>3.5672850854893343E-3</v>
      </c>
    </row>
    <row r="980" spans="1:25" x14ac:dyDescent="0.25">
      <c r="A980" s="827"/>
      <c r="B980" s="1066">
        <v>730</v>
      </c>
      <c r="C980" s="831">
        <v>0.95412308801525636</v>
      </c>
      <c r="D980" s="831">
        <v>1.0045698136319938</v>
      </c>
      <c r="E980" s="831">
        <v>1.0068701886513998</v>
      </c>
      <c r="F980" s="831">
        <v>0.98428084080126732</v>
      </c>
      <c r="G980" s="831">
        <v>0.97748104168306682</v>
      </c>
      <c r="H980" s="831">
        <v>0.98057885850922455</v>
      </c>
      <c r="I980" s="831">
        <v>0.9963528376704871</v>
      </c>
      <c r="K980">
        <v>1.7554941791819085</v>
      </c>
      <c r="L980">
        <v>0</v>
      </c>
      <c r="M980">
        <v>1.4006047097967534E-3</v>
      </c>
      <c r="N980">
        <v>0.1441173983251402</v>
      </c>
      <c r="O980">
        <v>1.8655228413227212E-2</v>
      </c>
      <c r="P980">
        <v>2.0066638209256388E-2</v>
      </c>
      <c r="Q980">
        <v>2.277890661885767E-3</v>
      </c>
      <c r="R980">
        <v>1.3918052719247814E-3</v>
      </c>
      <c r="S980">
        <v>0.15774266111803723</v>
      </c>
      <c r="T980">
        <v>1.0707533154826416</v>
      </c>
      <c r="U980">
        <v>2.4443940400622859E-2</v>
      </c>
      <c r="V980">
        <v>0.21091437008673519</v>
      </c>
      <c r="W980">
        <v>8.5742419592485297E-2</v>
      </c>
      <c r="X980">
        <v>1.7001081188053591E-2</v>
      </c>
      <c r="Y980">
        <v>3.7880351416946715E-3</v>
      </c>
    </row>
    <row r="981" spans="1:25" x14ac:dyDescent="0.25">
      <c r="A981" s="827"/>
      <c r="B981" s="1066">
        <v>731</v>
      </c>
      <c r="C981" s="831">
        <v>1.0181961263288519</v>
      </c>
      <c r="D981" s="831">
        <v>0.960794409120166</v>
      </c>
      <c r="E981" s="831">
        <v>0.97083553662842714</v>
      </c>
      <c r="F981" s="831">
        <v>1.0117788836975394</v>
      </c>
      <c r="G981" s="831">
        <v>0.97625663497244886</v>
      </c>
      <c r="H981" s="831">
        <v>0.99201592195272792</v>
      </c>
      <c r="I981" s="831">
        <v>1.0106906653303238</v>
      </c>
      <c r="K981">
        <v>1.7333850209112007</v>
      </c>
      <c r="L981">
        <v>0</v>
      </c>
      <c r="M981">
        <v>1.4614952348693576E-3</v>
      </c>
      <c r="N981">
        <v>0.13443481359219411</v>
      </c>
      <c r="O981">
        <v>1.783843077173531E-2</v>
      </c>
      <c r="P981">
        <v>1.945589909804317E-2</v>
      </c>
      <c r="Q981">
        <v>2.0924698097088954E-3</v>
      </c>
      <c r="R981">
        <v>1.4524523016882429E-3</v>
      </c>
      <c r="S981">
        <v>0.15357614331487363</v>
      </c>
      <c r="T981">
        <v>1.07396609380668</v>
      </c>
      <c r="U981">
        <v>2.2905732299722543E-2</v>
      </c>
      <c r="V981">
        <v>0.20794528044707455</v>
      </c>
      <c r="W981">
        <v>8.1994251078188127E-2</v>
      </c>
      <c r="X981">
        <v>1.5231853261739278E-2</v>
      </c>
      <c r="Y981">
        <v>3.9530963644228249E-3</v>
      </c>
    </row>
    <row r="982" spans="1:25" x14ac:dyDescent="0.25">
      <c r="A982" s="827"/>
      <c r="B982" s="1066">
        <v>732</v>
      </c>
      <c r="C982" s="831">
        <v>0.97862751197435915</v>
      </c>
      <c r="D982" s="831">
        <v>1.0384071589580426</v>
      </c>
      <c r="E982" s="831">
        <v>1.0074801323139495</v>
      </c>
      <c r="F982" s="831">
        <v>1.0146683207777307</v>
      </c>
      <c r="G982" s="831">
        <v>1.0255236404686106</v>
      </c>
      <c r="H982" s="831">
        <v>0.9909316300204879</v>
      </c>
      <c r="I982" s="831">
        <v>1.015766120066393</v>
      </c>
      <c r="K982">
        <v>1.7386005352267209</v>
      </c>
      <c r="L982">
        <v>0</v>
      </c>
      <c r="M982">
        <v>1.3577241550623493E-3</v>
      </c>
      <c r="N982">
        <v>0.13997725769836158</v>
      </c>
      <c r="O982">
        <v>1.7917880712861871E-2</v>
      </c>
      <c r="P982">
        <v>1.9954184132338206E-2</v>
      </c>
      <c r="Q982">
        <v>2.1950800889299128E-3</v>
      </c>
      <c r="R982">
        <v>1.3492606794920214E-3</v>
      </c>
      <c r="S982">
        <v>0.15541315447300597</v>
      </c>
      <c r="T982">
        <v>1.0706993554507618</v>
      </c>
      <c r="U982">
        <v>2.3831874347422032E-2</v>
      </c>
      <c r="V982">
        <v>0.20505438585173061</v>
      </c>
      <c r="W982">
        <v>8.3244673674254005E-2</v>
      </c>
      <c r="X982">
        <v>1.6648909486711459E-2</v>
      </c>
      <c r="Y982">
        <v>3.6722427859138258E-3</v>
      </c>
    </row>
    <row r="983" spans="1:25" x14ac:dyDescent="0.25">
      <c r="A983" s="827"/>
      <c r="B983" s="1066">
        <v>733</v>
      </c>
      <c r="C983" s="831">
        <v>1.0417927364636024</v>
      </c>
      <c r="D983" s="831">
        <v>1.023645504643605</v>
      </c>
      <c r="E983" s="831">
        <v>1.01395445671566</v>
      </c>
      <c r="F983" s="831">
        <v>0.97225985367694545</v>
      </c>
      <c r="G983" s="831">
        <v>1.0105049431526638</v>
      </c>
      <c r="H983" s="831">
        <v>1.0258924397322655</v>
      </c>
      <c r="I983" s="831">
        <v>0.99397279933943716</v>
      </c>
      <c r="K983">
        <v>1.7168703987034482</v>
      </c>
      <c r="L983">
        <v>0</v>
      </c>
      <c r="M983">
        <v>1.3109256375870959E-3</v>
      </c>
      <c r="N983">
        <v>0.13793059393519597</v>
      </c>
      <c r="O983">
        <v>1.6940617749180171E-2</v>
      </c>
      <c r="P983">
        <v>1.9821085836152164E-2</v>
      </c>
      <c r="Q983">
        <v>2.0864170054455929E-3</v>
      </c>
      <c r="R983">
        <v>1.3030414178633487E-3</v>
      </c>
      <c r="S983">
        <v>0.14607570537434458</v>
      </c>
      <c r="T983">
        <v>1.0701274570023682</v>
      </c>
      <c r="U983">
        <v>2.2386917360810353E-2</v>
      </c>
      <c r="V983">
        <v>0.19981448496529225</v>
      </c>
      <c r="W983">
        <v>8.166763461134538E-2</v>
      </c>
      <c r="X983">
        <v>1.64809198911018E-2</v>
      </c>
      <c r="Y983">
        <v>3.5464491919360796E-3</v>
      </c>
    </row>
    <row r="984" spans="1:25" x14ac:dyDescent="0.25">
      <c r="A984" s="827"/>
      <c r="B984" s="1066">
        <v>734</v>
      </c>
      <c r="C984" s="831">
        <v>1.0171472917874931</v>
      </c>
      <c r="D984" s="831">
        <v>0.99928900313503433</v>
      </c>
      <c r="E984" s="831">
        <v>0.98958024650219634</v>
      </c>
      <c r="F984" s="831">
        <v>0.99932225623270088</v>
      </c>
      <c r="G984" s="831">
        <v>0.98445219670935491</v>
      </c>
      <c r="H984" s="831">
        <v>1.0121714157739516</v>
      </c>
      <c r="I984" s="831">
        <v>0.98308687678073714</v>
      </c>
      <c r="K984">
        <v>1.7273194644622063</v>
      </c>
      <c r="L984">
        <v>0</v>
      </c>
      <c r="M984">
        <v>1.4097822478219796E-3</v>
      </c>
      <c r="N984">
        <v>0.13749139660536383</v>
      </c>
      <c r="O984">
        <v>1.754113687715796E-2</v>
      </c>
      <c r="P984">
        <v>1.9596415298508241E-2</v>
      </c>
      <c r="Q984">
        <v>2.1040076632459176E-3</v>
      </c>
      <c r="R984">
        <v>1.4012052845233098E-3</v>
      </c>
      <c r="S984">
        <v>0.14851069083565577</v>
      </c>
      <c r="T984">
        <v>1.0722887509870782</v>
      </c>
      <c r="U984">
        <v>2.2929351615651579E-2</v>
      </c>
      <c r="V984">
        <v>0.20443119352119532</v>
      </c>
      <c r="W984">
        <v>8.277499747526966E-2</v>
      </c>
      <c r="X984">
        <v>1.5846481669102765E-2</v>
      </c>
      <c r="Y984">
        <v>3.8136188772745472E-3</v>
      </c>
    </row>
    <row r="985" spans="1:25" x14ac:dyDescent="0.25">
      <c r="A985" s="827"/>
      <c r="B985" s="1066">
        <v>735</v>
      </c>
      <c r="C985" s="831">
        <v>0.98272048503305376</v>
      </c>
      <c r="D985" s="831">
        <v>0.99651636489559259</v>
      </c>
      <c r="E985" s="831">
        <v>1.0252360165484404</v>
      </c>
      <c r="F985" s="831">
        <v>0.9629295322314162</v>
      </c>
      <c r="G985" s="831">
        <v>0.98274671755961107</v>
      </c>
      <c r="H985" s="831">
        <v>0.98059053708655097</v>
      </c>
      <c r="I985" s="831">
        <v>0.99146393120033283</v>
      </c>
      <c r="K985">
        <v>1.7428572453084095</v>
      </c>
      <c r="L985">
        <v>0</v>
      </c>
      <c r="M985">
        <v>1.3129197443095219E-3</v>
      </c>
      <c r="N985">
        <v>0.14302967402486663</v>
      </c>
      <c r="O985">
        <v>1.8178510324767097E-2</v>
      </c>
      <c r="P985">
        <v>2.0205112823955009E-2</v>
      </c>
      <c r="Q985">
        <v>2.2591803435904846E-3</v>
      </c>
      <c r="R985">
        <v>1.3046766997110554E-3</v>
      </c>
      <c r="S985">
        <v>0.15291134091722969</v>
      </c>
      <c r="T985">
        <v>1.0691347108732143</v>
      </c>
      <c r="U985">
        <v>2.3732615991533708E-2</v>
      </c>
      <c r="V985">
        <v>0.20840109703116969</v>
      </c>
      <c r="W985">
        <v>8.4044343635788221E-2</v>
      </c>
      <c r="X985">
        <v>1.7418002496834787E-2</v>
      </c>
      <c r="Y985">
        <v>3.5508998900550212E-3</v>
      </c>
    </row>
    <row r="986" spans="1:25" x14ac:dyDescent="0.25">
      <c r="A986" s="827"/>
      <c r="B986" s="1066">
        <v>736</v>
      </c>
      <c r="C986" s="831">
        <v>1.0101685649080026</v>
      </c>
      <c r="D986" s="831">
        <v>0.99433744304503346</v>
      </c>
      <c r="E986" s="831">
        <v>1.0029073267059954</v>
      </c>
      <c r="F986" s="831">
        <v>0.99130502655959685</v>
      </c>
      <c r="G986" s="831">
        <v>1.0075768741131479</v>
      </c>
      <c r="H986" s="831">
        <v>0.98919802232335807</v>
      </c>
      <c r="I986" s="831">
        <v>0.99205383476029085</v>
      </c>
      <c r="K986">
        <v>1.7284221915214979</v>
      </c>
      <c r="L986">
        <v>0</v>
      </c>
      <c r="M986">
        <v>1.3519664539093231E-3</v>
      </c>
      <c r="N986">
        <v>0.13741701284130742</v>
      </c>
      <c r="O986">
        <v>1.7702120411301463E-2</v>
      </c>
      <c r="P986">
        <v>1.9809920046088808E-2</v>
      </c>
      <c r="Q986">
        <v>2.1511352499061298E-3</v>
      </c>
      <c r="R986">
        <v>1.3435536220574634E-3</v>
      </c>
      <c r="S986">
        <v>0.14958864574504163</v>
      </c>
      <c r="T986">
        <v>1.0711042413116383</v>
      </c>
      <c r="U986">
        <v>2.3087758527139696E-2</v>
      </c>
      <c r="V986">
        <v>0.20561815095385547</v>
      </c>
      <c r="W986">
        <v>8.1977265494893717E-2</v>
      </c>
      <c r="X986">
        <v>1.6317643715266471E-2</v>
      </c>
      <c r="Y986">
        <v>3.6567100569079372E-3</v>
      </c>
    </row>
    <row r="987" spans="1:25" x14ac:dyDescent="0.25">
      <c r="A987" s="827"/>
      <c r="B987" s="1066">
        <v>737</v>
      </c>
      <c r="C987" s="831">
        <v>1.0228028920025107</v>
      </c>
      <c r="D987" s="831">
        <v>1.0092840544988939</v>
      </c>
      <c r="E987" s="831">
        <v>0.96247237979434097</v>
      </c>
      <c r="F987" s="831">
        <v>1.038118743715235</v>
      </c>
      <c r="G987" s="831">
        <v>1.0214801530041362</v>
      </c>
      <c r="H987" s="831">
        <v>0.97626825365783454</v>
      </c>
      <c r="I987" s="831">
        <v>1.0142611100030403</v>
      </c>
      <c r="K987">
        <v>1.7127396449109442</v>
      </c>
      <c r="L987">
        <v>0</v>
      </c>
      <c r="M987">
        <v>1.4249626482895907E-3</v>
      </c>
      <c r="N987">
        <v>0.12768365631161138</v>
      </c>
      <c r="O987">
        <v>1.7365718970349192E-2</v>
      </c>
      <c r="P987">
        <v>1.9215426119624995E-2</v>
      </c>
      <c r="Q987">
        <v>2.0278850880686757E-3</v>
      </c>
      <c r="R987">
        <v>1.4159672328398264E-3</v>
      </c>
      <c r="S987">
        <v>0.14919933711554048</v>
      </c>
      <c r="T987">
        <v>1.0747187114141299</v>
      </c>
      <c r="U987">
        <v>2.2802563505311173E-2</v>
      </c>
      <c r="V987">
        <v>0.20295081307922569</v>
      </c>
      <c r="W987">
        <v>7.8334125566373328E-2</v>
      </c>
      <c r="X987">
        <v>1.4596607121842336E-2</v>
      </c>
      <c r="Y987">
        <v>3.8537960343171494E-3</v>
      </c>
    </row>
    <row r="988" spans="1:25" x14ac:dyDescent="0.25">
      <c r="A988" s="827"/>
      <c r="B988" s="1066">
        <v>738</v>
      </c>
      <c r="C988" s="831">
        <v>1.0224519193844097</v>
      </c>
      <c r="D988" s="831">
        <v>1.0027727850552437</v>
      </c>
      <c r="E988" s="831">
        <v>0.97644265809822817</v>
      </c>
      <c r="F988" s="831">
        <v>0.99146914978050971</v>
      </c>
      <c r="G988" s="831">
        <v>0.96619998470348933</v>
      </c>
      <c r="H988" s="831">
        <v>1.0301170624304643</v>
      </c>
      <c r="I988" s="831">
        <v>1.0275233147456517</v>
      </c>
      <c r="K988">
        <v>1.7341671957395812</v>
      </c>
      <c r="L988">
        <v>0</v>
      </c>
      <c r="M988">
        <v>1.4649585439989697E-3</v>
      </c>
      <c r="N988">
        <v>0.13715805644643522</v>
      </c>
      <c r="O988">
        <v>1.7422647426962048E-2</v>
      </c>
      <c r="P988">
        <v>1.9498393964079385E-2</v>
      </c>
      <c r="Q988">
        <v>2.0627096505718623E-3</v>
      </c>
      <c r="R988">
        <v>1.4561986792222187E-3</v>
      </c>
      <c r="S988">
        <v>0.15548818438540599</v>
      </c>
      <c r="T988">
        <v>1.0734629652466916</v>
      </c>
      <c r="U988">
        <v>2.2810390841991889E-2</v>
      </c>
      <c r="V988">
        <v>0.203568326460107</v>
      </c>
      <c r="W988">
        <v>8.3328906731454253E-2</v>
      </c>
      <c r="X988">
        <v>1.5412081681581948E-2</v>
      </c>
      <c r="Y988">
        <v>3.9632927690772873E-3</v>
      </c>
    </row>
    <row r="989" spans="1:25" x14ac:dyDescent="0.25">
      <c r="A989" s="827"/>
      <c r="B989" s="1066">
        <v>739</v>
      </c>
      <c r="C989" s="831">
        <v>0.95660954492628891</v>
      </c>
      <c r="D989" s="831">
        <v>1.0294637761926559</v>
      </c>
      <c r="E989" s="831">
        <v>1.0263912063084049</v>
      </c>
      <c r="F989" s="831">
        <v>0.96784891248634786</v>
      </c>
      <c r="G989" s="831">
        <v>1.0034124201094587</v>
      </c>
      <c r="H989" s="831">
        <v>0.97771339346882458</v>
      </c>
      <c r="I989" s="831">
        <v>0.99444410078417278</v>
      </c>
      <c r="K989">
        <v>1.7484546863989516</v>
      </c>
      <c r="L989">
        <v>0</v>
      </c>
      <c r="M989">
        <v>1.3219483337683403E-3</v>
      </c>
      <c r="N989">
        <v>0.14452566152728799</v>
      </c>
      <c r="O989">
        <v>1.8401969919838421E-2</v>
      </c>
      <c r="P989">
        <v>2.0260805131423771E-2</v>
      </c>
      <c r="Q989">
        <v>2.2956424866182497E-3</v>
      </c>
      <c r="R989">
        <v>1.3136022419112095E-3</v>
      </c>
      <c r="S989">
        <v>0.15523685998820316</v>
      </c>
      <c r="T989">
        <v>1.0690333295641545</v>
      </c>
      <c r="U989">
        <v>2.4380404755526729E-2</v>
      </c>
      <c r="V989">
        <v>0.20830733336279086</v>
      </c>
      <c r="W989">
        <v>8.4857481548819502E-2</v>
      </c>
      <c r="X989">
        <v>1.7588351932526794E-2</v>
      </c>
      <c r="Y989">
        <v>3.5751922736196448E-3</v>
      </c>
    </row>
    <row r="990" spans="1:25" x14ac:dyDescent="0.25">
      <c r="A990" s="827"/>
      <c r="B990" s="1066">
        <v>740</v>
      </c>
      <c r="C990" s="831">
        <v>1.0089500128808302</v>
      </c>
      <c r="D990" s="831">
        <v>1.0110138646621445</v>
      </c>
      <c r="E990" s="831">
        <v>1.0010164212044448</v>
      </c>
      <c r="F990" s="831">
        <v>1.0013355454256319</v>
      </c>
      <c r="G990" s="831">
        <v>0.96842073396144168</v>
      </c>
      <c r="H990" s="831">
        <v>0.99511139810815941</v>
      </c>
      <c r="I990" s="831">
        <v>1.0008638251488984</v>
      </c>
      <c r="K990">
        <v>1.7274979500599699</v>
      </c>
      <c r="L990">
        <v>0</v>
      </c>
      <c r="M990">
        <v>1.3568794366898799E-3</v>
      </c>
      <c r="N990">
        <v>0.13711148812305354</v>
      </c>
      <c r="O990">
        <v>1.7590516680598248E-2</v>
      </c>
      <c r="P990">
        <v>1.9777947027978839E-2</v>
      </c>
      <c r="Q990">
        <v>2.1364254344140663E-3</v>
      </c>
      <c r="R990">
        <v>1.3484748427607235E-3</v>
      </c>
      <c r="S990">
        <v>0.15047940631228077</v>
      </c>
      <c r="T990">
        <v>1.0712718969078274</v>
      </c>
      <c r="U990">
        <v>2.3115642599290838E-2</v>
      </c>
      <c r="V990">
        <v>0.20423280762513368</v>
      </c>
      <c r="W990">
        <v>8.190075488981044E-2</v>
      </c>
      <c r="X990">
        <v>1.6219365056129857E-2</v>
      </c>
      <c r="Y990">
        <v>3.6701039973822415E-3</v>
      </c>
    </row>
    <row r="991" spans="1:25" x14ac:dyDescent="0.25">
      <c r="A991" s="827"/>
      <c r="B991" s="1066">
        <v>741</v>
      </c>
      <c r="C991" s="831">
        <v>1.0074093482626256</v>
      </c>
      <c r="D991" s="831">
        <v>0.98927582866969976</v>
      </c>
      <c r="E991" s="831">
        <v>0.98320245026863917</v>
      </c>
      <c r="F991" s="831">
        <v>0.99195592530404919</v>
      </c>
      <c r="G991" s="831">
        <v>0.99835791706826738</v>
      </c>
      <c r="H991" s="831">
        <v>0.99452252219818638</v>
      </c>
      <c r="I991" s="831">
        <v>0.99313067495436447</v>
      </c>
      <c r="K991">
        <v>1.7306751370773437</v>
      </c>
      <c r="L991">
        <v>0</v>
      </c>
      <c r="M991">
        <v>1.4239391547828727E-3</v>
      </c>
      <c r="N991">
        <v>0.13612690947959719</v>
      </c>
      <c r="O991">
        <v>1.7791726269572525E-2</v>
      </c>
      <c r="P991">
        <v>1.9570748182525861E-2</v>
      </c>
      <c r="Q991">
        <v>2.1185697664616674E-3</v>
      </c>
      <c r="R991">
        <v>1.4151295792078546E-3</v>
      </c>
      <c r="S991">
        <v>0.15085848308933023</v>
      </c>
      <c r="T991">
        <v>1.0728579765053066</v>
      </c>
      <c r="U991">
        <v>2.3150994120240295E-2</v>
      </c>
      <c r="V991">
        <v>0.20637822879787374</v>
      </c>
      <c r="W991">
        <v>8.2315383911916909E-2</v>
      </c>
      <c r="X991">
        <v>1.5663410312830198E-2</v>
      </c>
      <c r="Y991">
        <v>3.8515162172633689E-3</v>
      </c>
    </row>
    <row r="992" spans="1:25" x14ac:dyDescent="0.25">
      <c r="A992" s="827"/>
      <c r="B992" s="1066">
        <v>742</v>
      </c>
      <c r="C992" s="831">
        <v>1.0169606174120613</v>
      </c>
      <c r="D992" s="831">
        <v>0.99292657196695377</v>
      </c>
      <c r="E992" s="831">
        <v>1.0060263609007074</v>
      </c>
      <c r="F992" s="831">
        <v>1.0154877922457035</v>
      </c>
      <c r="G992" s="831">
        <v>0.97938635749110903</v>
      </c>
      <c r="H992" s="831">
        <v>0.99227486015275512</v>
      </c>
      <c r="I992" s="831">
        <v>1.0078745346810836</v>
      </c>
      <c r="K992">
        <v>1.7289428973255794</v>
      </c>
      <c r="L992">
        <v>0</v>
      </c>
      <c r="M992">
        <v>1.3391492601014586E-3</v>
      </c>
      <c r="N992">
        <v>0.13744380618055871</v>
      </c>
      <c r="O992">
        <v>1.759521352117004E-2</v>
      </c>
      <c r="P992">
        <v>1.9864991852922835E-2</v>
      </c>
      <c r="Q992">
        <v>2.1445910149454788E-3</v>
      </c>
      <c r="R992">
        <v>1.3308429886294117E-3</v>
      </c>
      <c r="S992">
        <v>0.15126784576922078</v>
      </c>
      <c r="T992">
        <v>1.0708279897757662</v>
      </c>
      <c r="U992">
        <v>2.2933560551886337E-2</v>
      </c>
      <c r="V992">
        <v>0.20503225671226441</v>
      </c>
      <c r="W992">
        <v>8.1818991661013959E-2</v>
      </c>
      <c r="X992">
        <v>1.6399840654523313E-2</v>
      </c>
      <c r="Y992">
        <v>3.6221159027759638E-3</v>
      </c>
    </row>
    <row r="993" spans="1:25" x14ac:dyDescent="0.25">
      <c r="A993" s="827"/>
      <c r="B993" s="1066">
        <v>743</v>
      </c>
      <c r="C993" s="831">
        <v>0.98738444106341861</v>
      </c>
      <c r="D993" s="831">
        <v>0.98820538133120672</v>
      </c>
      <c r="E993" s="831">
        <v>1.0052899750318705</v>
      </c>
      <c r="F993" s="831">
        <v>1.039463812740508</v>
      </c>
      <c r="G993" s="831">
        <v>0.99858364405118694</v>
      </c>
      <c r="H993" s="831">
        <v>1.0298569833433138</v>
      </c>
      <c r="I993" s="831">
        <v>1.0096120691750818</v>
      </c>
      <c r="K993">
        <v>1.7583766308783275</v>
      </c>
      <c r="L993">
        <v>0</v>
      </c>
      <c r="M993">
        <v>1.4368236024892142E-3</v>
      </c>
      <c r="N993">
        <v>0.14716516532418289</v>
      </c>
      <c r="O993">
        <v>1.8161472051029016E-2</v>
      </c>
      <c r="P993">
        <v>2.0022217860750861E-2</v>
      </c>
      <c r="Q993">
        <v>2.2111081947450298E-3</v>
      </c>
      <c r="R993">
        <v>1.4282400676271783E-3</v>
      </c>
      <c r="S993">
        <v>0.15915037970553092</v>
      </c>
      <c r="T993">
        <v>1.0708931780170634</v>
      </c>
      <c r="U993">
        <v>2.3620513883310445E-2</v>
      </c>
      <c r="V993">
        <v>0.20866510739133212</v>
      </c>
      <c r="W993">
        <v>8.7650003136387836E-2</v>
      </c>
      <c r="X993">
        <v>1.6958870203985864E-2</v>
      </c>
      <c r="Y993">
        <v>3.8871986448694214E-3</v>
      </c>
    </row>
    <row r="994" spans="1:25" x14ac:dyDescent="0.25">
      <c r="A994" s="827"/>
      <c r="B994" s="1066">
        <v>744</v>
      </c>
      <c r="C994" s="831">
        <v>1.0038995467365965</v>
      </c>
      <c r="D994" s="831">
        <v>0.99089784079480681</v>
      </c>
      <c r="E994" s="831">
        <v>1.0150800146023031</v>
      </c>
      <c r="F994" s="831">
        <v>0.99086215487239937</v>
      </c>
      <c r="G994" s="831">
        <v>0.99836381163944099</v>
      </c>
      <c r="H994" s="831">
        <v>0.97645215331194901</v>
      </c>
      <c r="I994" s="831">
        <v>0.96414192686802536</v>
      </c>
      <c r="K994">
        <v>1.7259898758164669</v>
      </c>
      <c r="L994">
        <v>0</v>
      </c>
      <c r="M994">
        <v>1.3109021535439185E-3</v>
      </c>
      <c r="N994">
        <v>0.13837135209943488</v>
      </c>
      <c r="O994">
        <v>1.7840669595563154E-2</v>
      </c>
      <c r="P994">
        <v>1.9935201599565855E-2</v>
      </c>
      <c r="Q994">
        <v>2.1939023932443197E-3</v>
      </c>
      <c r="R994">
        <v>1.3026407134828462E-3</v>
      </c>
      <c r="S994">
        <v>0.14561604212886389</v>
      </c>
      <c r="T994">
        <v>1.0700281945657568</v>
      </c>
      <c r="U994">
        <v>2.3231933886331879E-2</v>
      </c>
      <c r="V994">
        <v>0.20660553979588045</v>
      </c>
      <c r="W994">
        <v>8.1866165451047662E-2</v>
      </c>
      <c r="X994">
        <v>1.6763777134135648E-2</v>
      </c>
      <c r="Y994">
        <v>3.5453586067045158E-3</v>
      </c>
    </row>
    <row r="995" spans="1:25" x14ac:dyDescent="0.25">
      <c r="A995" s="827"/>
      <c r="B995" s="1066">
        <v>745</v>
      </c>
      <c r="C995" s="831">
        <v>1.0195019447922868</v>
      </c>
      <c r="D995" s="831">
        <v>1.0084832507437258</v>
      </c>
      <c r="E995" s="831">
        <v>1.0230747933220266</v>
      </c>
      <c r="F995" s="831">
        <v>0.99819709564545822</v>
      </c>
      <c r="G995" s="831">
        <v>1.0304297554357609</v>
      </c>
      <c r="H995" s="831">
        <v>0.98119265841004599</v>
      </c>
      <c r="I995" s="831">
        <v>0.95281278196410546</v>
      </c>
      <c r="K995">
        <v>1.7137981824426487</v>
      </c>
      <c r="L995">
        <v>0</v>
      </c>
      <c r="M995">
        <v>1.2652771128003747E-3</v>
      </c>
      <c r="N995">
        <v>0.13691711668265805</v>
      </c>
      <c r="O995">
        <v>1.742820428647707E-2</v>
      </c>
      <c r="P995">
        <v>1.9928523465632182E-2</v>
      </c>
      <c r="Q995">
        <v>2.1634092284644876E-3</v>
      </c>
      <c r="R995">
        <v>1.2573303486690685E-3</v>
      </c>
      <c r="S995">
        <v>0.140989379485678</v>
      </c>
      <c r="T995">
        <v>1.0693245191603102</v>
      </c>
      <c r="U995">
        <v>2.287639373072007E-2</v>
      </c>
      <c r="V995">
        <v>0.2033613339225914</v>
      </c>
      <c r="W995">
        <v>8.056967538307365E-2</v>
      </c>
      <c r="X995">
        <v>1.6825535130934793E-2</v>
      </c>
      <c r="Y995">
        <v>3.4220387302391587E-3</v>
      </c>
    </row>
    <row r="996" spans="1:25" x14ac:dyDescent="0.25">
      <c r="A996" s="827"/>
      <c r="B996" s="1066">
        <v>746</v>
      </c>
      <c r="C996" s="831">
        <v>0.9720160311676328</v>
      </c>
      <c r="D996" s="831">
        <v>1.0033165214166762</v>
      </c>
      <c r="E996" s="831">
        <v>0.99550606294600841</v>
      </c>
      <c r="F996" s="831">
        <v>1.0105434633248691</v>
      </c>
      <c r="G996" s="831">
        <v>0.97239042412143539</v>
      </c>
      <c r="H996" s="831">
        <v>0.9816819607523557</v>
      </c>
      <c r="I996" s="831">
        <v>1.0224939548513832</v>
      </c>
      <c r="K996">
        <v>1.7485032140849244</v>
      </c>
      <c r="L996">
        <v>0</v>
      </c>
      <c r="M996">
        <v>1.4105078371152882E-3</v>
      </c>
      <c r="N996">
        <v>0.14009626016970814</v>
      </c>
      <c r="O996">
        <v>1.8322174454865808E-2</v>
      </c>
      <c r="P996">
        <v>1.9896410074323197E-2</v>
      </c>
      <c r="Q996">
        <v>2.2116035484733287E-3</v>
      </c>
      <c r="R996">
        <v>1.4016570378863104E-3</v>
      </c>
      <c r="S996">
        <v>0.1590668464277768</v>
      </c>
      <c r="T996">
        <v>1.071761237965229</v>
      </c>
      <c r="U996">
        <v>2.3993974533822245E-2</v>
      </c>
      <c r="V996">
        <v>0.20896378685421371</v>
      </c>
      <c r="W996">
        <v>8.4000150267416168E-2</v>
      </c>
      <c r="X996">
        <v>1.6384772187317844E-2</v>
      </c>
      <c r="Y996">
        <v>3.8148484010081776E-3</v>
      </c>
    </row>
    <row r="997" spans="1:25" x14ac:dyDescent="0.25">
      <c r="A997" s="827"/>
      <c r="B997" s="1066">
        <v>747</v>
      </c>
      <c r="C997" s="831">
        <v>0.99982996664220636</v>
      </c>
      <c r="D997" s="831">
        <v>0.99758838634833913</v>
      </c>
      <c r="E997" s="831">
        <v>0.96766333603264931</v>
      </c>
      <c r="F997" s="831">
        <v>1.0205669635552659</v>
      </c>
      <c r="G997" s="831">
        <v>0.95132515088388847</v>
      </c>
      <c r="H997" s="831">
        <v>0.97492332179161711</v>
      </c>
      <c r="I997" s="831">
        <v>1.0078910977304174</v>
      </c>
      <c r="K997">
        <v>1.7269895695068997</v>
      </c>
      <c r="L997">
        <v>0</v>
      </c>
      <c r="M997">
        <v>1.4475669219009527E-3</v>
      </c>
      <c r="N997">
        <v>0.13182603436099868</v>
      </c>
      <c r="O997">
        <v>1.7858729773368057E-2</v>
      </c>
      <c r="P997">
        <v>1.9380794990223084E-2</v>
      </c>
      <c r="Q997">
        <v>2.0945825042479457E-3</v>
      </c>
      <c r="R997">
        <v>1.4384248746845774E-3</v>
      </c>
      <c r="S997">
        <v>0.15230612299906485</v>
      </c>
      <c r="T997">
        <v>1.074251258329658</v>
      </c>
      <c r="U997">
        <v>2.3326494180434205E-2</v>
      </c>
      <c r="V997">
        <v>0.20642244799045978</v>
      </c>
      <c r="W997">
        <v>8.0581629785601114E-2</v>
      </c>
      <c r="X997">
        <v>1.5035698307802827E-2</v>
      </c>
      <c r="Y997">
        <v>3.9149183322589182E-3</v>
      </c>
    </row>
    <row r="998" spans="1:25" x14ac:dyDescent="0.25">
      <c r="A998" s="827"/>
      <c r="B998" s="1066">
        <v>748</v>
      </c>
      <c r="C998" s="831">
        <v>0.96052007576805221</v>
      </c>
      <c r="D998" s="831">
        <v>0.97774496843649994</v>
      </c>
      <c r="E998" s="831">
        <v>1.0121861063888145</v>
      </c>
      <c r="F998" s="831">
        <v>0.9955031362427752</v>
      </c>
      <c r="G998" s="831">
        <v>0.99568428348233917</v>
      </c>
      <c r="H998" s="831">
        <v>0.99097927940058106</v>
      </c>
      <c r="I998" s="831">
        <v>0.98626750866516288</v>
      </c>
      <c r="K998">
        <v>1.7618777682930262</v>
      </c>
      <c r="L998">
        <v>0</v>
      </c>
      <c r="M998">
        <v>1.4075072382157435E-3</v>
      </c>
      <c r="N998">
        <v>0.1472528710292122</v>
      </c>
      <c r="O998">
        <v>1.875981570253769E-2</v>
      </c>
      <c r="P998">
        <v>2.0161174233077794E-2</v>
      </c>
      <c r="Q998">
        <v>2.297741432912882E-3</v>
      </c>
      <c r="R998">
        <v>1.3987766051528103E-3</v>
      </c>
      <c r="S998">
        <v>0.15763361522924293</v>
      </c>
      <c r="T998">
        <v>1.0702835038384626</v>
      </c>
      <c r="U998">
        <v>2.4281145690426071E-2</v>
      </c>
      <c r="V998">
        <v>0.21277731340212794</v>
      </c>
      <c r="W998">
        <v>8.7291883262178308E-2</v>
      </c>
      <c r="X998">
        <v>1.7340426293268457E-2</v>
      </c>
      <c r="Y998">
        <v>3.8070088126419864E-3</v>
      </c>
    </row>
    <row r="999" spans="1:25" x14ac:dyDescent="0.25">
      <c r="A999" s="827"/>
      <c r="B999" s="1066">
        <v>749</v>
      </c>
      <c r="C999" s="831">
        <v>0.97989190212842159</v>
      </c>
      <c r="D999" s="831">
        <v>1.0080661673133873</v>
      </c>
      <c r="E999" s="831">
        <v>0.98847347956918419</v>
      </c>
      <c r="F999" s="831">
        <v>0.99190303648979261</v>
      </c>
      <c r="G999" s="831">
        <v>0.97270746907183814</v>
      </c>
      <c r="H999" s="831">
        <v>1.0293895581851147</v>
      </c>
      <c r="I999" s="831">
        <v>1.0131705499032637</v>
      </c>
      <c r="K999">
        <v>1.7552220398510185</v>
      </c>
      <c r="L999">
        <v>0</v>
      </c>
      <c r="M999">
        <v>1.4858543653799015E-3</v>
      </c>
      <c r="N999">
        <v>0.14442611288666102</v>
      </c>
      <c r="O999">
        <v>1.8136096931656319E-2</v>
      </c>
      <c r="P999">
        <v>1.9786232301533008E-2</v>
      </c>
      <c r="Q999">
        <v>2.1744930738743788E-3</v>
      </c>
      <c r="R999">
        <v>1.4769594693743073E-3</v>
      </c>
      <c r="S999">
        <v>0.15957201788139336</v>
      </c>
      <c r="T999">
        <v>1.0723874214009916</v>
      </c>
      <c r="U999">
        <v>2.3801123213330326E-2</v>
      </c>
      <c r="V999">
        <v>0.2076358946908744</v>
      </c>
      <c r="W999">
        <v>8.7016337126271909E-2</v>
      </c>
      <c r="X999">
        <v>1.6275408444357781E-2</v>
      </c>
      <c r="Y999">
        <v>4.019796796078637E-3</v>
      </c>
    </row>
    <row r="1000" spans="1:25" x14ac:dyDescent="0.25">
      <c r="A1000" s="827"/>
      <c r="B1000" s="1066">
        <v>750</v>
      </c>
      <c r="C1000" s="831">
        <v>0.95781215055034896</v>
      </c>
      <c r="D1000" s="831">
        <v>1.0264627681238041</v>
      </c>
      <c r="E1000" s="831">
        <v>1.0238156383888573</v>
      </c>
      <c r="F1000" s="831">
        <v>0.99986382503091786</v>
      </c>
      <c r="G1000" s="831">
        <v>1.0263767262797192</v>
      </c>
      <c r="H1000" s="831">
        <v>0.97595737099698532</v>
      </c>
      <c r="I1000" s="831">
        <v>0.99520174933754257</v>
      </c>
      <c r="K1000">
        <v>1.7477914497606846</v>
      </c>
      <c r="L1000">
        <v>0</v>
      </c>
      <c r="M1000">
        <v>1.3268583052346559E-3</v>
      </c>
      <c r="N1000">
        <v>0.14390544425907684</v>
      </c>
      <c r="O1000">
        <v>1.8403106016424451E-2</v>
      </c>
      <c r="P1000">
        <v>2.0227097683133428E-2</v>
      </c>
      <c r="Q1000">
        <v>2.2893898966292892E-3</v>
      </c>
      <c r="R1000">
        <v>1.3184681082367138E-3</v>
      </c>
      <c r="S1000">
        <v>0.15521800936967428</v>
      </c>
      <c r="T1000">
        <v>1.0692594348899922</v>
      </c>
      <c r="U1000">
        <v>2.4349793312709925E-2</v>
      </c>
      <c r="V1000">
        <v>0.20844339270502568</v>
      </c>
      <c r="W1000">
        <v>8.4639776061881777E-2</v>
      </c>
      <c r="X1000">
        <v>1.7475960205407592E-2</v>
      </c>
      <c r="Y1000">
        <v>3.5884355577252649E-3</v>
      </c>
    </row>
    <row r="1001" spans="1:25" x14ac:dyDescent="0.25">
      <c r="A1001" s="827"/>
      <c r="B1001" s="1066">
        <v>751</v>
      </c>
      <c r="C1001" s="831">
        <v>0.98338130280962455</v>
      </c>
      <c r="D1001" s="831">
        <v>0.99918218175828344</v>
      </c>
      <c r="E1001" s="831">
        <v>1.0302730510663662</v>
      </c>
      <c r="F1001" s="831">
        <v>1.0295963935118544</v>
      </c>
      <c r="G1001" s="831">
        <v>1.0197405902232195</v>
      </c>
      <c r="H1001" s="831">
        <v>0.99420562879137042</v>
      </c>
      <c r="I1001" s="831">
        <v>1.0396954076093703</v>
      </c>
      <c r="K1001">
        <v>1.7543230131839531</v>
      </c>
      <c r="L1001">
        <v>0</v>
      </c>
      <c r="M1001">
        <v>1.3145690120118681E-3</v>
      </c>
      <c r="N1001">
        <v>0.14547893479274188</v>
      </c>
      <c r="O1001">
        <v>1.8144318874668764E-2</v>
      </c>
      <c r="P1001">
        <v>2.0382656991728927E-2</v>
      </c>
      <c r="Q1001">
        <v>2.2666997173613934E-3</v>
      </c>
      <c r="R1001">
        <v>1.3064268643985268E-3</v>
      </c>
      <c r="S1001">
        <v>0.16109843321662934</v>
      </c>
      <c r="T1001">
        <v>1.0686930234054965</v>
      </c>
      <c r="U1001">
        <v>2.3716668022534314E-2</v>
      </c>
      <c r="V1001">
        <v>0.20807398010857014</v>
      </c>
      <c r="W1001">
        <v>8.519502900018433E-2</v>
      </c>
      <c r="X1001">
        <v>1.7725747940258135E-2</v>
      </c>
      <c r="Y1001">
        <v>3.5556632613926837E-3</v>
      </c>
    </row>
    <row r="1002" spans="1:25" x14ac:dyDescent="0.25">
      <c r="A1002" s="827"/>
      <c r="B1002" s="1066">
        <v>752</v>
      </c>
      <c r="C1002" s="831">
        <v>0.95817231587138452</v>
      </c>
      <c r="D1002" s="831">
        <v>0.96760525641418083</v>
      </c>
      <c r="E1002" s="831">
        <v>0.99710740573219891</v>
      </c>
      <c r="F1002" s="831">
        <v>0.9850715504682428</v>
      </c>
      <c r="G1002" s="831">
        <v>0.99661893805679924</v>
      </c>
      <c r="H1002" s="831">
        <v>1.0364015876873229</v>
      </c>
      <c r="I1002" s="831">
        <v>1.0449030497233209</v>
      </c>
      <c r="K1002">
        <v>1.7887762870839352</v>
      </c>
      <c r="L1002">
        <v>0</v>
      </c>
      <c r="M1002">
        <v>1.530498401859196E-3</v>
      </c>
      <c r="N1002">
        <v>0.15282719045487078</v>
      </c>
      <c r="O1002">
        <v>1.8895085910203436E-2</v>
      </c>
      <c r="P1002">
        <v>2.0165530992557374E-2</v>
      </c>
      <c r="Q1002">
        <v>2.2776091322842793E-3</v>
      </c>
      <c r="R1002">
        <v>1.5214287591453941E-3</v>
      </c>
      <c r="S1002">
        <v>0.171752027434601</v>
      </c>
      <c r="T1002">
        <v>1.0716189144724184</v>
      </c>
      <c r="U1002">
        <v>2.4340640521525743E-2</v>
      </c>
      <c r="V1002">
        <v>0.21408275020019149</v>
      </c>
      <c r="W1002">
        <v>9.153286631958063E-2</v>
      </c>
      <c r="X1002">
        <v>1.7151913744875954E-2</v>
      </c>
      <c r="Y1002">
        <v>4.1408275435381014E-3</v>
      </c>
    </row>
    <row r="1003" spans="1:25" x14ac:dyDescent="0.25">
      <c r="A1003" s="827"/>
      <c r="B1003" s="1066">
        <v>753</v>
      </c>
      <c r="C1003" s="831">
        <v>0.99163027229452205</v>
      </c>
      <c r="D1003" s="831">
        <v>0.97891483678687097</v>
      </c>
      <c r="E1003" s="831">
        <v>0.99854855597830683</v>
      </c>
      <c r="F1003" s="831">
        <v>1.0141644988590612</v>
      </c>
      <c r="G1003" s="831">
        <v>0.98959578256342051</v>
      </c>
      <c r="H1003" s="831">
        <v>0.98459064353631731</v>
      </c>
      <c r="I1003" s="831">
        <v>0.98930590306852961</v>
      </c>
      <c r="K1003">
        <v>1.7403824788989777</v>
      </c>
      <c r="L1003">
        <v>0</v>
      </c>
      <c r="M1003">
        <v>1.3933043469047559E-3</v>
      </c>
      <c r="N1003">
        <v>0.13970835265342874</v>
      </c>
      <c r="O1003">
        <v>1.8161402915249807E-2</v>
      </c>
      <c r="P1003">
        <v>1.9845425872460382E-2</v>
      </c>
      <c r="Q1003">
        <v>2.1944681743110701E-3</v>
      </c>
      <c r="R1003">
        <v>1.3846048775315071E-3</v>
      </c>
      <c r="S1003">
        <v>0.15262043167487915</v>
      </c>
      <c r="T1003">
        <v>1.0714909112037319</v>
      </c>
      <c r="U1003">
        <v>2.3519378693772068E-2</v>
      </c>
      <c r="V1003">
        <v>0.20908880134219776</v>
      </c>
      <c r="W1003">
        <v>8.3592997686606732E-2</v>
      </c>
      <c r="X1003">
        <v>1.6400570109946767E-2</v>
      </c>
      <c r="Y1003">
        <v>3.7684380417655544E-3</v>
      </c>
    </row>
    <row r="1004" spans="1:25" x14ac:dyDescent="0.25">
      <c r="A1004" s="827"/>
      <c r="B1004" s="1066">
        <v>754</v>
      </c>
      <c r="C1004" s="831">
        <v>0.98508300911012658</v>
      </c>
      <c r="D1004" s="831">
        <v>1.0207115358197298</v>
      </c>
      <c r="E1004" s="831">
        <v>1.0159113598308356</v>
      </c>
      <c r="F1004" s="831">
        <v>0.99853600829940625</v>
      </c>
      <c r="G1004" s="831">
        <v>0.98640358073321233</v>
      </c>
      <c r="H1004" s="831">
        <v>1.0137101997619113</v>
      </c>
      <c r="I1004" s="831">
        <v>1.0075002362584928</v>
      </c>
      <c r="K1004">
        <v>1.7465889612758687</v>
      </c>
      <c r="L1004">
        <v>0</v>
      </c>
      <c r="M1004">
        <v>1.3660520394520824E-3</v>
      </c>
      <c r="N1004">
        <v>0.14459722329648333</v>
      </c>
      <c r="O1004">
        <v>1.7939111731011138E-2</v>
      </c>
      <c r="P1004">
        <v>2.008484941735883E-2</v>
      </c>
      <c r="Q1004">
        <v>2.2131918613643511E-3</v>
      </c>
      <c r="R1004">
        <v>1.3577394650735475E-3</v>
      </c>
      <c r="S1004">
        <v>0.1558877693405212</v>
      </c>
      <c r="T1004">
        <v>1.0699549093978493</v>
      </c>
      <c r="U1004">
        <v>2.3675698070735735E-2</v>
      </c>
      <c r="V1004">
        <v>0.20591622940452078</v>
      </c>
      <c r="W1004">
        <v>8.5501518148709044E-2</v>
      </c>
      <c r="X1004">
        <v>1.713145393645665E-2</v>
      </c>
      <c r="Y1004">
        <v>3.6953192452358246E-3</v>
      </c>
    </row>
    <row r="1005" spans="1:25" x14ac:dyDescent="0.25">
      <c r="A1005" s="827"/>
      <c r="B1005" s="1066">
        <v>755</v>
      </c>
      <c r="C1005" s="831">
        <v>0.98031899736398342</v>
      </c>
      <c r="D1005" s="831">
        <v>0.95652792743674631</v>
      </c>
      <c r="E1005" s="831">
        <v>1.0151103862187099</v>
      </c>
      <c r="F1005" s="831">
        <v>0.99879010257642631</v>
      </c>
      <c r="G1005" s="831">
        <v>0.98980733497418893</v>
      </c>
      <c r="H1005" s="831">
        <v>0.95834526997383318</v>
      </c>
      <c r="I1005" s="831">
        <v>1.0139213744999422</v>
      </c>
      <c r="K1005">
        <v>1.7508771534721037</v>
      </c>
      <c r="L1005">
        <v>0</v>
      </c>
      <c r="M1005">
        <v>1.3387363190571909E-3</v>
      </c>
      <c r="N1005">
        <v>0.14130843169227494</v>
      </c>
      <c r="O1005">
        <v>1.8565239568153875E-2</v>
      </c>
      <c r="P1005">
        <v>2.0193754455503258E-2</v>
      </c>
      <c r="Q1005">
        <v>2.2763818239685011E-3</v>
      </c>
      <c r="R1005">
        <v>1.3301651004222759E-3</v>
      </c>
      <c r="S1005">
        <v>0.1577662669412252</v>
      </c>
      <c r="T1005">
        <v>1.0700255167711439</v>
      </c>
      <c r="U1005">
        <v>2.3790753786283873E-2</v>
      </c>
      <c r="V1005">
        <v>0.212600702699627</v>
      </c>
      <c r="W1005">
        <v>8.3602142947581379E-2</v>
      </c>
      <c r="X1005">
        <v>1.7136263090433555E-2</v>
      </c>
      <c r="Y1005">
        <v>3.6202709145419266E-3</v>
      </c>
    </row>
    <row r="1006" spans="1:25" x14ac:dyDescent="0.25">
      <c r="A1006" s="827"/>
      <c r="B1006" s="1066">
        <v>756</v>
      </c>
      <c r="C1006" s="831">
        <v>0.99156237670989023</v>
      </c>
      <c r="D1006" s="831">
        <v>0.99737375908130965</v>
      </c>
      <c r="E1006" s="831">
        <v>0.99330658112651604</v>
      </c>
      <c r="F1006" s="831">
        <v>1.0238462244454927</v>
      </c>
      <c r="G1006" s="831">
        <v>1.0149833172051927</v>
      </c>
      <c r="H1006" s="831">
        <v>0.96189132797727084</v>
      </c>
      <c r="I1006" s="831">
        <v>0.99722297894982326</v>
      </c>
      <c r="K1006">
        <v>1.7288571973154709</v>
      </c>
      <c r="L1006">
        <v>0</v>
      </c>
      <c r="M1006">
        <v>1.3647757232980785E-3</v>
      </c>
      <c r="N1006">
        <v>0.13461213678091155</v>
      </c>
      <c r="O1006">
        <v>1.8009390538016128E-2</v>
      </c>
      <c r="P1006">
        <v>1.9728560249546678E-2</v>
      </c>
      <c r="Q1006">
        <v>2.167977036203654E-3</v>
      </c>
      <c r="R1006">
        <v>1.3560399184186366E-3</v>
      </c>
      <c r="S1006">
        <v>0.15102208044152085</v>
      </c>
      <c r="T1006">
        <v>1.0719568802267374</v>
      </c>
      <c r="U1006">
        <v>2.3520989144111926E-2</v>
      </c>
      <c r="V1006">
        <v>0.2073409207604858</v>
      </c>
      <c r="W1006">
        <v>8.0833968637104459E-2</v>
      </c>
      <c r="X1006">
        <v>1.5982335666215802E-2</v>
      </c>
      <c r="Y1006">
        <v>3.6906936394965604E-3</v>
      </c>
    </row>
    <row r="1007" spans="1:25" x14ac:dyDescent="0.25">
      <c r="A1007" s="827"/>
      <c r="B1007" s="1066">
        <v>757</v>
      </c>
      <c r="C1007" s="831">
        <v>0.98690331918642926</v>
      </c>
      <c r="D1007" s="831">
        <v>0.99573656976320501</v>
      </c>
      <c r="E1007" s="831">
        <v>1.0048031093914105</v>
      </c>
      <c r="F1007" s="831">
        <v>0.95519253529921233</v>
      </c>
      <c r="G1007" s="831">
        <v>0.98869488796487137</v>
      </c>
      <c r="H1007" s="831">
        <v>0.97310906014387888</v>
      </c>
      <c r="I1007" s="831">
        <v>0.99794138130941101</v>
      </c>
      <c r="K1007">
        <v>1.7368335634740864</v>
      </c>
      <c r="L1007">
        <v>0</v>
      </c>
      <c r="M1007">
        <v>1.355039843944874E-3</v>
      </c>
      <c r="N1007">
        <v>0.13852944870219033</v>
      </c>
      <c r="O1007">
        <v>1.810788630860808E-2</v>
      </c>
      <c r="P1007">
        <v>1.9919259727519956E-2</v>
      </c>
      <c r="Q1007">
        <v>2.204886329198007E-3</v>
      </c>
      <c r="R1007">
        <v>1.3464674925930387E-3</v>
      </c>
      <c r="S1007">
        <v>0.15276368836491286</v>
      </c>
      <c r="T1007">
        <v>1.0709362888390923</v>
      </c>
      <c r="U1007">
        <v>2.3632029039612052E-2</v>
      </c>
      <c r="V1007">
        <v>0.2080088757843841</v>
      </c>
      <c r="W1007">
        <v>8.2534056062457242E-2</v>
      </c>
      <c r="X1007">
        <v>1.6541076015510608E-2</v>
      </c>
      <c r="Y1007">
        <v>3.6646406519486095E-3</v>
      </c>
    </row>
    <row r="1008" spans="1:25" x14ac:dyDescent="0.25">
      <c r="A1008" s="827"/>
      <c r="B1008" s="1066">
        <v>758</v>
      </c>
      <c r="C1008" s="831">
        <v>0.961935840712556</v>
      </c>
      <c r="D1008" s="831">
        <v>0.98817727857784954</v>
      </c>
      <c r="E1008" s="831">
        <v>0.99996627251294845</v>
      </c>
      <c r="F1008" s="831">
        <v>1.0018528975879955</v>
      </c>
      <c r="G1008" s="831">
        <v>0.99047116300350868</v>
      </c>
      <c r="H1008" s="831">
        <v>1.0268395755939945</v>
      </c>
      <c r="I1008" s="831">
        <v>0.96793909182486426</v>
      </c>
      <c r="K1008">
        <v>1.7648214238903832</v>
      </c>
      <c r="L1008">
        <v>0</v>
      </c>
      <c r="M1008">
        <v>1.4871196358684149E-3</v>
      </c>
      <c r="N1008">
        <v>0.14981253562515143</v>
      </c>
      <c r="O1008">
        <v>1.8642185367640722E-2</v>
      </c>
      <c r="P1008">
        <v>1.9960218663133307E-2</v>
      </c>
      <c r="Q1008">
        <v>2.2575329458133842E-3</v>
      </c>
      <c r="R1008">
        <v>1.4782095490220564E-3</v>
      </c>
      <c r="S1008">
        <v>0.15640059804523984</v>
      </c>
      <c r="T1008">
        <v>1.0713650657880747</v>
      </c>
      <c r="U1008">
        <v>2.4245409008803519E-2</v>
      </c>
      <c r="V1008">
        <v>0.21157920180722081</v>
      </c>
      <c r="W1008">
        <v>8.955176961510064E-2</v>
      </c>
      <c r="X1008">
        <v>1.6992618010258979E-2</v>
      </c>
      <c r="Y1008">
        <v>4.0231991007911643E-3</v>
      </c>
    </row>
    <row r="1009" spans="1:25" x14ac:dyDescent="0.25">
      <c r="A1009" s="827"/>
      <c r="B1009" s="1066">
        <v>759</v>
      </c>
      <c r="C1009" s="831">
        <v>0.9567630756332004</v>
      </c>
      <c r="D1009" s="831">
        <v>1.0183743494592907</v>
      </c>
      <c r="E1009" s="831">
        <v>1.0222376375741054</v>
      </c>
      <c r="F1009" s="831">
        <v>0.96253424901154883</v>
      </c>
      <c r="G1009" s="831">
        <v>0.98218095655420756</v>
      </c>
      <c r="H1009" s="831">
        <v>1.0172115301290974</v>
      </c>
      <c r="I1009" s="831">
        <v>1.031870408147977</v>
      </c>
      <c r="K1009">
        <v>1.7696778307291685</v>
      </c>
      <c r="L1009">
        <v>0</v>
      </c>
      <c r="M1009">
        <v>1.3940543815180396E-3</v>
      </c>
      <c r="N1009">
        <v>0.15049347951682604</v>
      </c>
      <c r="O1009">
        <v>1.8489249847141963E-2</v>
      </c>
      <c r="P1009">
        <v>2.0351127015443098E-2</v>
      </c>
      <c r="Q1009">
        <v>2.2950355638530024E-3</v>
      </c>
      <c r="R1009">
        <v>1.3856021714395287E-3</v>
      </c>
      <c r="S1009">
        <v>0.1648094615324541</v>
      </c>
      <c r="T1009">
        <v>1.0693980894918966</v>
      </c>
      <c r="U1009">
        <v>2.4376492459084506E-2</v>
      </c>
      <c r="V1009">
        <v>0.20930777235888334</v>
      </c>
      <c r="W1009">
        <v>8.8608713514322188E-2</v>
      </c>
      <c r="X1009">
        <v>1.7785709292314839E-2</v>
      </c>
      <c r="Y1009">
        <v>3.7711523470253406E-3</v>
      </c>
    </row>
    <row r="1010" spans="1:25" x14ac:dyDescent="0.25">
      <c r="A1010" s="827"/>
      <c r="B1010" s="1066">
        <v>760</v>
      </c>
      <c r="C1010" s="831">
        <v>0.99765645735200392</v>
      </c>
      <c r="D1010" s="831">
        <v>1.0003763991503569</v>
      </c>
      <c r="E1010" s="831">
        <v>0.97203133325939872</v>
      </c>
      <c r="F1010" s="831">
        <v>1.021373697828041</v>
      </c>
      <c r="G1010" s="831">
        <v>0.97840276911761936</v>
      </c>
      <c r="H1010" s="831">
        <v>1.0163545161013641</v>
      </c>
      <c r="I1010" s="831">
        <v>1.0101654468346786</v>
      </c>
      <c r="K1010">
        <v>1.74080607047268</v>
      </c>
      <c r="L1010">
        <v>0</v>
      </c>
      <c r="M1010">
        <v>1.4966978500199682E-3</v>
      </c>
      <c r="N1010">
        <v>0.13820493575110415</v>
      </c>
      <c r="O1010">
        <v>1.7875023193428333E-2</v>
      </c>
      <c r="P1010">
        <v>1.9487848200815606E-2</v>
      </c>
      <c r="Q1010">
        <v>2.1063569536815103E-3</v>
      </c>
      <c r="R1010">
        <v>1.4876287753205339E-3</v>
      </c>
      <c r="S1010">
        <v>0.15581638261834171</v>
      </c>
      <c r="T1010">
        <v>1.0738586957171812</v>
      </c>
      <c r="U1010">
        <v>2.3377313629790189E-2</v>
      </c>
      <c r="V1010">
        <v>0.20639759060196236</v>
      </c>
      <c r="W1010">
        <v>8.4223381585959781E-2</v>
      </c>
      <c r="X1010">
        <v>1.5418776165384679E-2</v>
      </c>
      <c r="Y1010">
        <v>4.0488351297285046E-3</v>
      </c>
    </row>
    <row r="1011" spans="1:25" x14ac:dyDescent="0.25">
      <c r="A1011" s="827"/>
      <c r="B1011" s="1066">
        <v>761</v>
      </c>
      <c r="C1011" s="831">
        <v>0.98467484167269725</v>
      </c>
      <c r="D1011" s="831">
        <v>0.98480382010769862</v>
      </c>
      <c r="E1011" s="831">
        <v>0.98697884394059565</v>
      </c>
      <c r="F1011" s="831">
        <v>1.0182765653617245</v>
      </c>
      <c r="G1011" s="831">
        <v>1.0075835987830781</v>
      </c>
      <c r="H1011" s="831">
        <v>0.99049158102047952</v>
      </c>
      <c r="I1011" s="831">
        <v>1.0019074948959772</v>
      </c>
      <c r="K1011">
        <v>1.7449669945367627</v>
      </c>
      <c r="L1011">
        <v>0</v>
      </c>
      <c r="M1011">
        <v>1.4424028488268237E-3</v>
      </c>
      <c r="N1011">
        <v>0.13952023587272575</v>
      </c>
      <c r="O1011">
        <v>1.8239960085004798E-2</v>
      </c>
      <c r="P1011">
        <v>1.9734309699871368E-2</v>
      </c>
      <c r="Q1011">
        <v>2.1794574688304693E-3</v>
      </c>
      <c r="R1011">
        <v>1.4334460557342849E-3</v>
      </c>
      <c r="S1011">
        <v>0.15570260859303697</v>
      </c>
      <c r="T1011">
        <v>1.0725207442513451</v>
      </c>
      <c r="U1011">
        <v>2.3685512121630416E-2</v>
      </c>
      <c r="V1011">
        <v>0.20929617657047431</v>
      </c>
      <c r="W1011">
        <v>8.4147313581422342E-2</v>
      </c>
      <c r="X1011">
        <v>1.604826545716909E-2</v>
      </c>
      <c r="Y1011">
        <v>3.9013676283434465E-3</v>
      </c>
    </row>
    <row r="1012" spans="1:25" x14ac:dyDescent="0.25">
      <c r="A1012" s="827"/>
      <c r="B1012" s="1066">
        <v>762</v>
      </c>
      <c r="C1012" s="831">
        <v>0.97813527452677484</v>
      </c>
      <c r="D1012" s="831">
        <v>1.0049891946038936</v>
      </c>
      <c r="E1012" s="831">
        <v>0.99804787171059417</v>
      </c>
      <c r="F1012" s="831">
        <v>0.9990823295482425</v>
      </c>
      <c r="G1012" s="831">
        <v>1.0110167150168528</v>
      </c>
      <c r="H1012" s="831">
        <v>0.99041313541832476</v>
      </c>
      <c r="I1012" s="831">
        <v>0.97099453999722751</v>
      </c>
      <c r="K1012">
        <v>1.739483430241721</v>
      </c>
      <c r="L1012">
        <v>0</v>
      </c>
      <c r="M1012">
        <v>1.4055453581042379E-3</v>
      </c>
      <c r="N1012">
        <v>0.14071968891116782</v>
      </c>
      <c r="O1012">
        <v>1.8193824145326859E-2</v>
      </c>
      <c r="P1012">
        <v>1.9802633686631443E-2</v>
      </c>
      <c r="Q1012">
        <v>2.2020390709452599E-3</v>
      </c>
      <c r="R1012">
        <v>1.396802265543669E-3</v>
      </c>
      <c r="S1012">
        <v>0.15062737056590458</v>
      </c>
      <c r="T1012">
        <v>1.0715353732034802</v>
      </c>
      <c r="U1012">
        <v>2.3843867515755138E-2</v>
      </c>
      <c r="V1012">
        <v>0.20811780136624128</v>
      </c>
      <c r="W1012">
        <v>8.422700449426887E-2</v>
      </c>
      <c r="X1012">
        <v>1.6420935063490676E-2</v>
      </c>
      <c r="Y1012">
        <v>3.8016353110667807E-3</v>
      </c>
    </row>
    <row r="1013" spans="1:25" x14ac:dyDescent="0.25">
      <c r="A1013" s="827"/>
      <c r="B1013" s="1066">
        <v>763</v>
      </c>
      <c r="C1013" s="831">
        <v>0.97866964024906</v>
      </c>
      <c r="D1013" s="831">
        <v>1.0200142427208136</v>
      </c>
      <c r="E1013" s="831">
        <v>1.0199820953736896</v>
      </c>
      <c r="F1013" s="831">
        <v>0.99349977605674256</v>
      </c>
      <c r="G1013" s="831">
        <v>1.0184931140921494</v>
      </c>
      <c r="H1013" s="831">
        <v>1.0418625775320134</v>
      </c>
      <c r="I1013" s="831">
        <v>1.0202195915726118</v>
      </c>
      <c r="K1013">
        <v>1.7618860711219728</v>
      </c>
      <c r="L1013">
        <v>0</v>
      </c>
      <c r="M1013">
        <v>1.4015263110640631E-3</v>
      </c>
      <c r="N1013">
        <v>0.15026532428571168</v>
      </c>
      <c r="O1013">
        <v>1.8062246426610234E-2</v>
      </c>
      <c r="P1013">
        <v>2.0223914003166043E-2</v>
      </c>
      <c r="Q1013">
        <v>2.2373058474773268E-3</v>
      </c>
      <c r="R1013">
        <v>1.3932287776023137E-3</v>
      </c>
      <c r="S1013">
        <v>0.16102324370194282</v>
      </c>
      <c r="T1013">
        <v>1.0695964416270358</v>
      </c>
      <c r="U1013">
        <v>2.3830848469324022E-2</v>
      </c>
      <c r="V1013">
        <v>0.2066820980399624</v>
      </c>
      <c r="W1013">
        <v>8.8609034359263553E-2</v>
      </c>
      <c r="X1013">
        <v>1.7572002440048681E-2</v>
      </c>
      <c r="Y1013">
        <v>3.7919094548903944E-3</v>
      </c>
    </row>
    <row r="1014" spans="1:25" x14ac:dyDescent="0.25">
      <c r="A1014" s="827"/>
      <c r="B1014" s="1066">
        <v>764</v>
      </c>
      <c r="C1014" s="831">
        <v>1.0211108008320888</v>
      </c>
      <c r="D1014" s="831">
        <v>1.0289109973841839</v>
      </c>
      <c r="E1014" s="831">
        <v>0.98262257884634385</v>
      </c>
      <c r="F1014" s="831">
        <v>1.0236088815310316</v>
      </c>
      <c r="G1014" s="831">
        <v>1.0118079534357045</v>
      </c>
      <c r="H1014" s="831">
        <v>0.99266619013768986</v>
      </c>
      <c r="I1014" s="831">
        <v>0.99496757756945398</v>
      </c>
      <c r="K1014">
        <v>1.7127430098930498</v>
      </c>
      <c r="L1014">
        <v>0</v>
      </c>
      <c r="M1014">
        <v>1.3792116529654076E-3</v>
      </c>
      <c r="N1014">
        <v>0.13160891028632088</v>
      </c>
      <c r="O1014">
        <v>1.7243739725265744E-2</v>
      </c>
      <c r="P1014">
        <v>1.9434138563140822E-2</v>
      </c>
      <c r="Q1014">
        <v>2.0586974268971981E-3</v>
      </c>
      <c r="R1014">
        <v>1.3706355652061063E-3</v>
      </c>
      <c r="S1014">
        <v>0.14657231495544987</v>
      </c>
      <c r="T1014">
        <v>1.0729098065754687</v>
      </c>
      <c r="U1014">
        <v>2.2840349822270019E-2</v>
      </c>
      <c r="V1014">
        <v>0.20142057287972875</v>
      </c>
      <c r="W1014">
        <v>7.961533108867655E-2</v>
      </c>
      <c r="X1014">
        <v>1.531730647899116E-2</v>
      </c>
      <c r="Y1014">
        <v>3.730418178598384E-3</v>
      </c>
    </row>
    <row r="1015" spans="1:25" x14ac:dyDescent="0.25">
      <c r="A1015" s="827"/>
      <c r="B1015" s="1066">
        <v>765</v>
      </c>
      <c r="C1015" s="831">
        <v>0.96105747271350195</v>
      </c>
      <c r="D1015" s="831">
        <v>1.0041192518337914</v>
      </c>
      <c r="E1015" s="831">
        <v>1.0338882061793349</v>
      </c>
      <c r="F1015" s="831">
        <v>1.0024175501121784</v>
      </c>
      <c r="G1015" s="831">
        <v>1.0143177670542314</v>
      </c>
      <c r="H1015" s="831">
        <v>1.0157252297004475</v>
      </c>
      <c r="I1015" s="831">
        <v>0.99717558484178603</v>
      </c>
      <c r="K1015">
        <v>1.7666654185832154</v>
      </c>
      <c r="L1015">
        <v>0</v>
      </c>
      <c r="M1015">
        <v>1.3607087304464637E-3</v>
      </c>
      <c r="N1015">
        <v>0.15230394984536114</v>
      </c>
      <c r="O1015">
        <v>1.8524386007979132E-2</v>
      </c>
      <c r="P1015">
        <v>2.0444388128795048E-2</v>
      </c>
      <c r="Q1015">
        <v>2.3233946321442895E-3</v>
      </c>
      <c r="R1015">
        <v>1.3524560511622508E-3</v>
      </c>
      <c r="S1015">
        <v>0.15937596304957993</v>
      </c>
      <c r="T1015">
        <v>1.0683766110366455</v>
      </c>
      <c r="U1015">
        <v>2.4267568340583287E-2</v>
      </c>
      <c r="V1015">
        <v>0.21014867825388997</v>
      </c>
      <c r="W1015">
        <v>8.8976376038799113E-2</v>
      </c>
      <c r="X1015">
        <v>1.8251416394475448E-2</v>
      </c>
      <c r="Y1015">
        <v>3.6809395342462035E-3</v>
      </c>
    </row>
    <row r="1016" spans="1:25" x14ac:dyDescent="0.25">
      <c r="A1016" s="827"/>
      <c r="B1016" s="1066">
        <v>766</v>
      </c>
      <c r="C1016" s="831">
        <v>0.9964068536677787</v>
      </c>
      <c r="D1016" s="831">
        <v>1.0309665795614413</v>
      </c>
      <c r="E1016" s="831">
        <v>0.99414097559524661</v>
      </c>
      <c r="F1016" s="831">
        <v>1.0067059132830698</v>
      </c>
      <c r="G1016" s="831">
        <v>0.99795799633910809</v>
      </c>
      <c r="H1016" s="831">
        <v>1.0006298837342549</v>
      </c>
      <c r="I1016" s="831">
        <v>0.99806884159008113</v>
      </c>
      <c r="K1016">
        <v>1.7293650334784427</v>
      </c>
      <c r="L1016">
        <v>0</v>
      </c>
      <c r="M1016">
        <v>1.38941160050724E-3</v>
      </c>
      <c r="N1016">
        <v>0.13743041085032484</v>
      </c>
      <c r="O1016">
        <v>1.7655351148324991E-2</v>
      </c>
      <c r="P1016">
        <v>1.9691411445159141E-2</v>
      </c>
      <c r="Q1016">
        <v>2.1328885017988372E-3</v>
      </c>
      <c r="R1016">
        <v>1.3808394755401767E-3</v>
      </c>
      <c r="S1016">
        <v>0.15111495564258598</v>
      </c>
      <c r="T1016">
        <v>1.0718826399934984</v>
      </c>
      <c r="U1016">
        <v>2.3406631349887665E-2</v>
      </c>
      <c r="V1016">
        <v>0.20379319978421578</v>
      </c>
      <c r="W1016">
        <v>8.247901919570666E-2</v>
      </c>
      <c r="X1016">
        <v>1.6028907833098825E-2</v>
      </c>
      <c r="Y1016">
        <v>3.758189858809585E-3</v>
      </c>
    </row>
    <row r="1017" spans="1:25" x14ac:dyDescent="0.25">
      <c r="A1017" s="827"/>
      <c r="B1017" s="1066">
        <v>767</v>
      </c>
      <c r="C1017" s="831">
        <v>0.95857449043926612</v>
      </c>
      <c r="D1017" s="831">
        <v>1.001507300420746</v>
      </c>
      <c r="E1017" s="831">
        <v>0.98986252207484671</v>
      </c>
      <c r="F1017" s="831">
        <v>0.96296802093499856</v>
      </c>
      <c r="G1017" s="831">
        <v>1.0391189614516996</v>
      </c>
      <c r="H1017" s="831">
        <v>1.0317182075276443</v>
      </c>
      <c r="I1017" s="831">
        <v>1.0157034297636933</v>
      </c>
      <c r="K1017">
        <v>1.7709767363428868</v>
      </c>
      <c r="L1017">
        <v>0</v>
      </c>
      <c r="M1017">
        <v>1.5223818084160417E-3</v>
      </c>
      <c r="N1017">
        <v>0.14862047562931516</v>
      </c>
      <c r="O1017">
        <v>1.8594286892332865E-2</v>
      </c>
      <c r="P1017">
        <v>1.9915735570979077E-2</v>
      </c>
      <c r="Q1017">
        <v>2.2313719046642808E-3</v>
      </c>
      <c r="R1017">
        <v>1.5132936369759839E-3</v>
      </c>
      <c r="S1017">
        <v>0.16414954720122407</v>
      </c>
      <c r="T1017">
        <v>1.0722635929559963</v>
      </c>
      <c r="U1017">
        <v>2.4330428287962901E-2</v>
      </c>
      <c r="V1017">
        <v>0.21068395734863521</v>
      </c>
      <c r="W1017">
        <v>8.9457717479962312E-2</v>
      </c>
      <c r="X1017">
        <v>1.6620024820520201E-2</v>
      </c>
      <c r="Y1017">
        <v>4.1186864227352703E-3</v>
      </c>
    </row>
    <row r="1018" spans="1:25" x14ac:dyDescent="0.25">
      <c r="A1018" s="827"/>
      <c r="B1018" s="1066">
        <v>768</v>
      </c>
      <c r="C1018" s="831">
        <v>0.97297510852473046</v>
      </c>
      <c r="D1018" s="831">
        <v>1.0352173591796467</v>
      </c>
      <c r="E1018" s="831">
        <v>0.98505373058112045</v>
      </c>
      <c r="F1018" s="831">
        <v>1.0019911801485024</v>
      </c>
      <c r="G1018" s="831">
        <v>1.0040850922807369</v>
      </c>
      <c r="H1018" s="831">
        <v>1.0120102050487119</v>
      </c>
      <c r="I1018" s="831">
        <v>1.0103452463254787</v>
      </c>
      <c r="K1018">
        <v>1.7454861825250265</v>
      </c>
      <c r="L1018">
        <v>0</v>
      </c>
      <c r="M1018">
        <v>1.4640959318815254E-3</v>
      </c>
      <c r="N1018">
        <v>0.14078724232698905</v>
      </c>
      <c r="O1018">
        <v>1.8046998874865366E-2</v>
      </c>
      <c r="P1018">
        <v>1.9687197506035391E-2</v>
      </c>
      <c r="Q1018">
        <v>2.1609803829484415E-3</v>
      </c>
      <c r="R1018">
        <v>1.4551616683295052E-3</v>
      </c>
      <c r="S1018">
        <v>0.15722650789179615</v>
      </c>
      <c r="T1018">
        <v>1.0726925899894699</v>
      </c>
      <c r="U1018">
        <v>2.397032328367156E-2</v>
      </c>
      <c r="V1018">
        <v>0.20595083408792611</v>
      </c>
      <c r="W1018">
        <v>8.5024492991055273E-2</v>
      </c>
      <c r="X1018">
        <v>1.5987479086541252E-2</v>
      </c>
      <c r="Y1018">
        <v>3.9604703672778685E-3</v>
      </c>
    </row>
    <row r="1019" spans="1:25" x14ac:dyDescent="0.25">
      <c r="A1019" s="827"/>
      <c r="B1019" s="1066">
        <v>769</v>
      </c>
      <c r="C1019" s="831">
        <v>1.0350134147776151</v>
      </c>
      <c r="D1019" s="831">
        <v>1.0010285648694164</v>
      </c>
      <c r="E1019" s="831">
        <v>1.0106592696821448</v>
      </c>
      <c r="F1019" s="831">
        <v>1.0364688578464567</v>
      </c>
      <c r="G1019" s="831">
        <v>1.0238732817460434</v>
      </c>
      <c r="H1019" s="831">
        <v>0.99253045677194518</v>
      </c>
      <c r="I1019" s="831">
        <v>1.0204482045389758</v>
      </c>
      <c r="K1019">
        <v>1.7199016306000083</v>
      </c>
      <c r="L1019">
        <v>0</v>
      </c>
      <c r="M1019">
        <v>1.2985505748767867E-3</v>
      </c>
      <c r="N1019">
        <v>0.1352103048406029</v>
      </c>
      <c r="O1019">
        <v>1.7224771117104371E-2</v>
      </c>
      <c r="P1019">
        <v>1.986907130542816E-2</v>
      </c>
      <c r="Q1019">
        <v>2.1106019619356064E-3</v>
      </c>
      <c r="R1019">
        <v>1.2904928554425415E-3</v>
      </c>
      <c r="S1019">
        <v>0.14999485034404883</v>
      </c>
      <c r="T1019">
        <v>1.0704183336453041</v>
      </c>
      <c r="U1019">
        <v>2.2533551319539488E-2</v>
      </c>
      <c r="V1019">
        <v>0.20244679923759237</v>
      </c>
      <c r="W1019">
        <v>8.0236135532107081E-2</v>
      </c>
      <c r="X1019">
        <v>1.6352972874118462E-2</v>
      </c>
      <c r="Y1019">
        <v>3.512296141659133E-3</v>
      </c>
    </row>
    <row r="1020" spans="1:25" x14ac:dyDescent="0.25">
      <c r="A1020" s="827"/>
      <c r="B1020" s="1066">
        <v>770</v>
      </c>
      <c r="C1020" s="831">
        <v>0.99838279601650248</v>
      </c>
      <c r="D1020" s="831">
        <v>0.95992752373990042</v>
      </c>
      <c r="E1020" s="831">
        <v>1.0088685204251162</v>
      </c>
      <c r="F1020" s="831">
        <v>0.98080021764020009</v>
      </c>
      <c r="G1020" s="831">
        <v>1.0191233531378499</v>
      </c>
      <c r="H1020" s="831">
        <v>0.95424163711048848</v>
      </c>
      <c r="I1020" s="831">
        <v>1.0149212717711285</v>
      </c>
      <c r="K1020">
        <v>1.7378448525916297</v>
      </c>
      <c r="L1020">
        <v>0</v>
      </c>
      <c r="M1020">
        <v>1.3240986666462728E-3</v>
      </c>
      <c r="N1020">
        <v>0.13707377450853064</v>
      </c>
      <c r="O1020">
        <v>1.8199917731162332E-2</v>
      </c>
      <c r="P1020">
        <v>2.00251359088887E-2</v>
      </c>
      <c r="Q1020">
        <v>2.2183818894214963E-3</v>
      </c>
      <c r="R1020">
        <v>1.315582190853006E-3</v>
      </c>
      <c r="S1020">
        <v>0.15453052199684914</v>
      </c>
      <c r="T1020">
        <v>1.0705765810262446</v>
      </c>
      <c r="U1020">
        <v>2.3360306278672728E-2</v>
      </c>
      <c r="V1020">
        <v>0.21020110125414385</v>
      </c>
      <c r="W1020">
        <v>8.1441003295817299E-2</v>
      </c>
      <c r="X1020">
        <v>1.664606413574346E-2</v>
      </c>
      <c r="Y1020">
        <v>3.5805810419492234E-3</v>
      </c>
    </row>
    <row r="1021" spans="1:25" x14ac:dyDescent="0.25">
      <c r="A1021" s="827"/>
      <c r="B1021" s="1066">
        <v>771</v>
      </c>
      <c r="C1021" s="831">
        <v>1.0103648922468786</v>
      </c>
      <c r="D1021" s="831">
        <v>0.99726128524164304</v>
      </c>
      <c r="E1021" s="831">
        <v>1.0015957115961631</v>
      </c>
      <c r="F1021" s="831">
        <v>1.0032226784129967</v>
      </c>
      <c r="G1021" s="831">
        <v>1.0090524716636176</v>
      </c>
      <c r="H1021" s="831">
        <v>1.0270250112087909</v>
      </c>
      <c r="I1021" s="831">
        <v>0.97454288343786521</v>
      </c>
      <c r="K1021">
        <v>1.7361276484244188</v>
      </c>
      <c r="L1021">
        <v>0</v>
      </c>
      <c r="M1021">
        <v>1.4054068476270518E-3</v>
      </c>
      <c r="N1021">
        <v>0.14229980184486171</v>
      </c>
      <c r="O1021">
        <v>1.7675145641318887E-2</v>
      </c>
      <c r="P1021">
        <v>1.9785068791527652E-2</v>
      </c>
      <c r="Q1021">
        <v>2.145548446656419E-3</v>
      </c>
      <c r="R1021">
        <v>1.3969815607920561E-3</v>
      </c>
      <c r="S1021">
        <v>0.14936313538143728</v>
      </c>
      <c r="T1021">
        <v>1.0712205202527922</v>
      </c>
      <c r="U1021">
        <v>2.3083272268534454E-2</v>
      </c>
      <c r="V1021">
        <v>0.2053288181650518</v>
      </c>
      <c r="W1021">
        <v>8.4966234028272969E-2</v>
      </c>
      <c r="X1021">
        <v>1.6466405597172117E-2</v>
      </c>
      <c r="Y1021">
        <v>3.8021232936282269E-3</v>
      </c>
    </row>
    <row r="1022" spans="1:25" x14ac:dyDescent="0.25">
      <c r="A1022" s="827"/>
      <c r="B1022" s="1066">
        <v>772</v>
      </c>
      <c r="C1022" s="831">
        <v>1.0180379329564451</v>
      </c>
      <c r="D1022" s="831">
        <v>0.98639451107493448</v>
      </c>
      <c r="E1022" s="831">
        <v>0.97249993178146654</v>
      </c>
      <c r="F1022" s="831">
        <v>1.0318343245123165</v>
      </c>
      <c r="G1022" s="831">
        <v>0.99949111119168921</v>
      </c>
      <c r="H1022" s="831">
        <v>0.97000821557953443</v>
      </c>
      <c r="I1022" s="831">
        <v>0.9881504433987025</v>
      </c>
      <c r="K1022">
        <v>1.7165311920569004</v>
      </c>
      <c r="L1022">
        <v>0</v>
      </c>
      <c r="M1022">
        <v>1.4074165049018205E-3</v>
      </c>
      <c r="N1022">
        <v>0.13011374453375746</v>
      </c>
      <c r="O1022">
        <v>1.7629286171169347E-2</v>
      </c>
      <c r="P1022">
        <v>1.9358380316878459E-2</v>
      </c>
      <c r="Q1022">
        <v>2.0759886127742844E-3</v>
      </c>
      <c r="R1022">
        <v>1.3984912314590281E-3</v>
      </c>
      <c r="S1022">
        <v>0.14699629765522093</v>
      </c>
      <c r="T1022">
        <v>1.0738166240971341</v>
      </c>
      <c r="U1022">
        <v>2.2909291631769666E-2</v>
      </c>
      <c r="V1022">
        <v>0.20551969150291891</v>
      </c>
      <c r="W1022">
        <v>7.9266615176141503E-2</v>
      </c>
      <c r="X1022">
        <v>1.5047965513057716E-2</v>
      </c>
      <c r="Y1022">
        <v>3.8062321195209236E-3</v>
      </c>
    </row>
    <row r="1023" spans="1:25" x14ac:dyDescent="0.25">
      <c r="A1023" s="827"/>
      <c r="B1023" s="1066">
        <v>773</v>
      </c>
      <c r="C1023" s="831">
        <v>1.0058975894991562</v>
      </c>
      <c r="D1023" s="831">
        <v>0.98445901041203321</v>
      </c>
      <c r="E1023" s="831">
        <v>1.0022968526279499</v>
      </c>
      <c r="F1023" s="831">
        <v>1.0158935917717604</v>
      </c>
      <c r="G1023" s="831">
        <v>1.0284839497871934</v>
      </c>
      <c r="H1023" s="831">
        <v>1.0420868559666145</v>
      </c>
      <c r="I1023" s="831">
        <v>1.0422855090929952</v>
      </c>
      <c r="K1023">
        <v>1.7575668851827178</v>
      </c>
      <c r="L1023">
        <v>0</v>
      </c>
      <c r="M1023">
        <v>1.4386317442583116E-3</v>
      </c>
      <c r="N1023">
        <v>0.14599556255379029</v>
      </c>
      <c r="O1023">
        <v>1.7857965266833815E-2</v>
      </c>
      <c r="P1023">
        <v>1.9997583843528198E-2</v>
      </c>
      <c r="Q1023">
        <v>2.1669596247432667E-3</v>
      </c>
      <c r="R1023">
        <v>1.4301409173553762E-3</v>
      </c>
      <c r="S1023">
        <v>0.16244839703490715</v>
      </c>
      <c r="T1023">
        <v>1.071158353740814</v>
      </c>
      <c r="U1023">
        <v>2.3185787640584411E-2</v>
      </c>
      <c r="V1023">
        <v>0.20699166854098106</v>
      </c>
      <c r="W1023">
        <v>8.7131192970239663E-2</v>
      </c>
      <c r="X1023">
        <v>1.6749532661984319E-2</v>
      </c>
      <c r="Y1023">
        <v>3.892372131214631E-3</v>
      </c>
    </row>
    <row r="1024" spans="1:25" x14ac:dyDescent="0.25">
      <c r="A1024" s="827"/>
      <c r="B1024" s="1066">
        <v>774</v>
      </c>
      <c r="C1024" s="831">
        <v>0.99763193761463376</v>
      </c>
      <c r="D1024" s="831">
        <v>1.0391839680861976</v>
      </c>
      <c r="E1024" s="831">
        <v>0.96844635689437253</v>
      </c>
      <c r="F1024" s="831">
        <v>1.0081370662456313</v>
      </c>
      <c r="G1024" s="831">
        <v>1.0162304316364401</v>
      </c>
      <c r="H1024" s="831">
        <v>0.99284658003666015</v>
      </c>
      <c r="I1024" s="831">
        <v>0.99889625789207381</v>
      </c>
      <c r="K1024">
        <v>1.7213482356596372</v>
      </c>
      <c r="L1024">
        <v>0</v>
      </c>
      <c r="M1024">
        <v>1.4480494271013195E-3</v>
      </c>
      <c r="N1024">
        <v>0.13220481709880216</v>
      </c>
      <c r="O1024">
        <v>1.7570627257313287E-2</v>
      </c>
      <c r="P1024">
        <v>1.9315387899955457E-2</v>
      </c>
      <c r="Q1024">
        <v>2.0692956770190624E-3</v>
      </c>
      <c r="R1024">
        <v>1.4390397742031456E-3</v>
      </c>
      <c r="S1024">
        <v>0.15000963385734942</v>
      </c>
      <c r="T1024">
        <v>1.0741808337347805</v>
      </c>
      <c r="U1024">
        <v>2.3377888195989429E-2</v>
      </c>
      <c r="V1024">
        <v>0.20295463032597916</v>
      </c>
      <c r="W1024">
        <v>8.076890271824122E-2</v>
      </c>
      <c r="X1024">
        <v>1.4988636661056707E-2</v>
      </c>
      <c r="Y1024">
        <v>3.9165918860468874E-3</v>
      </c>
    </row>
    <row r="1025" spans="1:25" x14ac:dyDescent="0.25">
      <c r="A1025" s="827"/>
      <c r="B1025" s="1066">
        <v>775</v>
      </c>
      <c r="C1025" s="831">
        <v>1.0018148440946191</v>
      </c>
      <c r="D1025" s="831">
        <v>0.9955226615067142</v>
      </c>
      <c r="E1025" s="831">
        <v>0.99713120325098736</v>
      </c>
      <c r="F1025" s="831">
        <v>0.99096028546470027</v>
      </c>
      <c r="G1025" s="831">
        <v>1.0193621968844946</v>
      </c>
      <c r="H1025" s="831">
        <v>1.0337311189931211</v>
      </c>
      <c r="I1025" s="831">
        <v>0.9687970625447162</v>
      </c>
      <c r="K1025">
        <v>1.7418148102357216</v>
      </c>
      <c r="L1025">
        <v>0</v>
      </c>
      <c r="M1025">
        <v>1.4412696992380321E-3</v>
      </c>
      <c r="N1025">
        <v>0.14392372652271535</v>
      </c>
      <c r="O1025">
        <v>1.7840096239274999E-2</v>
      </c>
      <c r="P1025">
        <v>1.9754967225432806E-2</v>
      </c>
      <c r="Q1025">
        <v>2.1555625885571711E-3</v>
      </c>
      <c r="R1025">
        <v>1.4326866923640509E-3</v>
      </c>
      <c r="S1025">
        <v>0.15032491541954801</v>
      </c>
      <c r="T1025">
        <v>1.0716168001355602</v>
      </c>
      <c r="U1025">
        <v>2.3280277823573961E-2</v>
      </c>
      <c r="V1025">
        <v>0.20639897984642877</v>
      </c>
      <c r="W1025">
        <v>8.6198903736733834E-2</v>
      </c>
      <c r="X1025">
        <v>1.6429862813195997E-2</v>
      </c>
      <c r="Y1025">
        <v>3.8993008915737385E-3</v>
      </c>
    </row>
    <row r="1026" spans="1:25" x14ac:dyDescent="0.25">
      <c r="A1026" s="827"/>
      <c r="B1026" s="1066">
        <v>776</v>
      </c>
      <c r="C1026" s="831">
        <v>1.0273066285362167</v>
      </c>
      <c r="D1026" s="831">
        <v>1.0117948675420556</v>
      </c>
      <c r="E1026" s="831">
        <v>1.0289900272155177</v>
      </c>
      <c r="F1026" s="831">
        <v>1.0047760926215805</v>
      </c>
      <c r="G1026" s="831">
        <v>0.97345260084211127</v>
      </c>
      <c r="H1026" s="831">
        <v>0.98212172080131299</v>
      </c>
      <c r="I1026" s="831">
        <v>1.0080142580616858</v>
      </c>
      <c r="K1026">
        <v>1.7181867251434242</v>
      </c>
      <c r="L1026">
        <v>0</v>
      </c>
      <c r="M1026">
        <v>1.2393949964506394E-3</v>
      </c>
      <c r="N1026">
        <v>0.13660311936273087</v>
      </c>
      <c r="O1026">
        <v>1.7270163607981889E-2</v>
      </c>
      <c r="P1026">
        <v>2.0086040068287486E-2</v>
      </c>
      <c r="Q1026">
        <v>2.1569696126639464E-3</v>
      </c>
      <c r="R1026">
        <v>1.2316160863201711E-3</v>
      </c>
      <c r="S1026">
        <v>0.1478886180418244</v>
      </c>
      <c r="T1026">
        <v>1.0688054378529408</v>
      </c>
      <c r="U1026">
        <v>2.2702596528102689E-2</v>
      </c>
      <c r="V1026">
        <v>0.2022734011474534</v>
      </c>
      <c r="W1026">
        <v>8.0066021684350286E-2</v>
      </c>
      <c r="X1026">
        <v>1.6990083162386687E-2</v>
      </c>
      <c r="Y1026">
        <v>3.3520529848297667E-3</v>
      </c>
    </row>
    <row r="1027" spans="1:25" x14ac:dyDescent="0.25">
      <c r="A1027" s="827"/>
      <c r="B1027" s="1066">
        <v>777</v>
      </c>
      <c r="C1027" s="831">
        <v>1.0354191295730197</v>
      </c>
      <c r="D1027" s="831">
        <v>1.0000213865052403</v>
      </c>
      <c r="E1027" s="831">
        <v>1.0196141025562209</v>
      </c>
      <c r="F1027" s="831">
        <v>0.97389427993625055</v>
      </c>
      <c r="G1027" s="831">
        <v>0.98474986845295309</v>
      </c>
      <c r="H1027" s="831">
        <v>1.0050742785204803</v>
      </c>
      <c r="I1027" s="831">
        <v>0.96389300429052605</v>
      </c>
      <c r="K1027">
        <v>1.716286725634266</v>
      </c>
      <c r="L1027">
        <v>0</v>
      </c>
      <c r="M1027">
        <v>1.290421955610951E-3</v>
      </c>
      <c r="N1027">
        <v>0.13816638546000412</v>
      </c>
      <c r="O1027">
        <v>1.7225874153071096E-2</v>
      </c>
      <c r="P1027">
        <v>1.9886681872262987E-2</v>
      </c>
      <c r="Q1027">
        <v>2.1294868258231979E-3</v>
      </c>
      <c r="R1027">
        <v>1.2825152586581809E-3</v>
      </c>
      <c r="S1027">
        <v>0.1425237775894016</v>
      </c>
      <c r="T1027">
        <v>1.0696288211635683</v>
      </c>
      <c r="U1027">
        <v>2.2524721856279444E-2</v>
      </c>
      <c r="V1027">
        <v>0.20249531335294033</v>
      </c>
      <c r="W1027">
        <v>8.1494722144122719E-2</v>
      </c>
      <c r="X1027">
        <v>1.6728264160714695E-2</v>
      </c>
      <c r="Y1027">
        <v>3.4905837530261764E-3</v>
      </c>
    </row>
    <row r="1028" spans="1:25" x14ac:dyDescent="0.25">
      <c r="A1028" s="827"/>
      <c r="B1028" s="1066">
        <v>778</v>
      </c>
      <c r="C1028" s="831">
        <v>0.99925824020008569</v>
      </c>
      <c r="D1028" s="831">
        <v>1.0259327893187224</v>
      </c>
      <c r="E1028" s="831">
        <v>1.0316114424263181</v>
      </c>
      <c r="F1028" s="831">
        <v>0.99085105043733057</v>
      </c>
      <c r="G1028" s="831">
        <v>1.0129782317556335</v>
      </c>
      <c r="H1028" s="831">
        <v>0.98897333885542504</v>
      </c>
      <c r="I1028" s="831">
        <v>0.97486705510140736</v>
      </c>
      <c r="K1028">
        <v>1.7266350861521274</v>
      </c>
      <c r="L1028">
        <v>0</v>
      </c>
      <c r="M1028">
        <v>1.2680081290474634E-3</v>
      </c>
      <c r="N1028">
        <v>0.14090384076685761</v>
      </c>
      <c r="O1028">
        <v>1.764391755302459E-2</v>
      </c>
      <c r="P1028">
        <v>2.0136161531337529E-2</v>
      </c>
      <c r="Q1028">
        <v>2.2118574096420098E-3</v>
      </c>
      <c r="R1028">
        <v>1.2600959174943907E-3</v>
      </c>
      <c r="S1028">
        <v>0.14667227923193249</v>
      </c>
      <c r="T1028">
        <v>1.0685758243923014</v>
      </c>
      <c r="U1028">
        <v>2.3339840453688164E-2</v>
      </c>
      <c r="V1028">
        <v>0.20392897557256143</v>
      </c>
      <c r="W1028">
        <v>8.2441848172392113E-2</v>
      </c>
      <c r="X1028">
        <v>1.7358887583027786E-2</v>
      </c>
      <c r="Y1028">
        <v>3.429565696912168E-3</v>
      </c>
    </row>
    <row r="1029" spans="1:25" x14ac:dyDescent="0.25">
      <c r="A1029" s="827"/>
      <c r="B1029" s="1066">
        <v>779</v>
      </c>
      <c r="C1029" s="831">
        <v>0.96032184855045266</v>
      </c>
      <c r="D1029" s="831">
        <v>0.99875256744666463</v>
      </c>
      <c r="E1029" s="831">
        <v>0.99344937968116609</v>
      </c>
      <c r="F1029" s="831">
        <v>1.0067289361701697</v>
      </c>
      <c r="G1029" s="831">
        <v>1.013804345661955</v>
      </c>
      <c r="H1029" s="831">
        <v>1.0067782563880214</v>
      </c>
      <c r="I1029" s="831">
        <v>1.0028316914171125</v>
      </c>
      <c r="K1029">
        <v>1.761152216986603</v>
      </c>
      <c r="L1029">
        <v>0</v>
      </c>
      <c r="M1029">
        <v>1.4735685492144183E-3</v>
      </c>
      <c r="N1029">
        <v>0.14544899610175596</v>
      </c>
      <c r="O1029">
        <v>1.8583624354873356E-2</v>
      </c>
      <c r="P1029">
        <v>1.9910262311181096E-2</v>
      </c>
      <c r="Q1029">
        <v>2.2376794762829729E-3</v>
      </c>
      <c r="R1029">
        <v>1.4645558870765843E-3</v>
      </c>
      <c r="S1029">
        <v>0.16008909961889536</v>
      </c>
      <c r="T1029">
        <v>1.0719441728665775</v>
      </c>
      <c r="U1029">
        <v>2.4286157743372325E-2</v>
      </c>
      <c r="V1029">
        <v>0.21074456501408434</v>
      </c>
      <c r="W1029">
        <v>8.7332879607160116E-2</v>
      </c>
      <c r="X1029">
        <v>1.659775422065192E-2</v>
      </c>
      <c r="Y1029">
        <v>3.9860383339040406E-3</v>
      </c>
    </row>
    <row r="1030" spans="1:25" x14ac:dyDescent="0.25">
      <c r="A1030" s="827"/>
      <c r="B1030" s="1066">
        <v>780</v>
      </c>
      <c r="C1030" s="831">
        <v>0.97966124368640239</v>
      </c>
      <c r="D1030" s="831">
        <v>1.0041742027424871</v>
      </c>
      <c r="E1030" s="831">
        <v>1.022045562062303</v>
      </c>
      <c r="F1030" s="831">
        <v>1.0054598853756151</v>
      </c>
      <c r="G1030" s="831">
        <v>0.98934226130181568</v>
      </c>
      <c r="H1030" s="831">
        <v>1.0143002615272827</v>
      </c>
      <c r="I1030" s="831">
        <v>0.9745439900313837</v>
      </c>
      <c r="K1030">
        <v>1.7500079033002272</v>
      </c>
      <c r="L1030">
        <v>0</v>
      </c>
      <c r="M1030">
        <v>1.3667698309462611E-3</v>
      </c>
      <c r="N1030">
        <v>0.14745845245867437</v>
      </c>
      <c r="O1030">
        <v>1.8172157604668768E-2</v>
      </c>
      <c r="P1030">
        <v>2.0154744685323508E-2</v>
      </c>
      <c r="Q1030">
        <v>2.2526662704505495E-3</v>
      </c>
      <c r="R1030">
        <v>1.3584687085940643E-3</v>
      </c>
      <c r="S1030">
        <v>0.15269591394572568</v>
      </c>
      <c r="T1030">
        <v>1.0694149730826186</v>
      </c>
      <c r="U1030">
        <v>2.380672711981751E-2</v>
      </c>
      <c r="V1030">
        <v>0.20802335260789492</v>
      </c>
      <c r="W1030">
        <v>8.6832963668784804E-2</v>
      </c>
      <c r="X1030">
        <v>1.7506948972913893E-2</v>
      </c>
      <c r="Y1030">
        <v>3.6973040057036097E-3</v>
      </c>
    </row>
    <row r="1031" spans="1:25" x14ac:dyDescent="0.25">
      <c r="A1031" s="827"/>
      <c r="B1031" s="1066">
        <v>781</v>
      </c>
      <c r="C1031" s="831">
        <v>0.99706603012029793</v>
      </c>
      <c r="D1031" s="831">
        <v>1.0013081937760915</v>
      </c>
      <c r="E1031" s="831">
        <v>1.0185414334704643</v>
      </c>
      <c r="F1031" s="831">
        <v>0.98569600066724705</v>
      </c>
      <c r="G1031" s="831">
        <v>0.99320948154076649</v>
      </c>
      <c r="H1031" s="831">
        <v>0.98485059279207166</v>
      </c>
      <c r="I1031" s="831">
        <v>1.0026297607172117</v>
      </c>
      <c r="K1031">
        <v>1.7357995561179282</v>
      </c>
      <c r="L1031">
        <v>0</v>
      </c>
      <c r="M1031">
        <v>1.3153079538336216E-3</v>
      </c>
      <c r="N1031">
        <v>0.1403445492042226</v>
      </c>
      <c r="O1031">
        <v>1.7878067859008605E-2</v>
      </c>
      <c r="P1031">
        <v>2.0074854012339705E-2</v>
      </c>
      <c r="Q1031">
        <v>2.2079878105548769E-3</v>
      </c>
      <c r="R1031">
        <v>1.3070824201242212E-3</v>
      </c>
      <c r="S1031">
        <v>0.15241292047529975</v>
      </c>
      <c r="T1031">
        <v>1.0697232341425382</v>
      </c>
      <c r="U1031">
        <v>2.339115684794648E-2</v>
      </c>
      <c r="V1031">
        <v>0.20637617365036404</v>
      </c>
      <c r="W1031">
        <v>8.28394461592947E-2</v>
      </c>
      <c r="X1031">
        <v>1.7001944022092028E-2</v>
      </c>
      <c r="Y1031">
        <v>3.5574474679741382E-3</v>
      </c>
    </row>
    <row r="1032" spans="1:25" x14ac:dyDescent="0.25">
      <c r="A1032" s="827"/>
      <c r="B1032" s="1066">
        <v>782</v>
      </c>
      <c r="C1032" s="831">
        <v>1.0095853162089503</v>
      </c>
      <c r="D1032" s="831">
        <v>0.96942521816959837</v>
      </c>
      <c r="E1032" s="831">
        <v>0.98142530274072937</v>
      </c>
      <c r="F1032" s="831">
        <v>0.99493391003918852</v>
      </c>
      <c r="G1032" s="831">
        <v>1.0044372889539295</v>
      </c>
      <c r="H1032" s="831">
        <v>1.0311290700647593</v>
      </c>
      <c r="I1032" s="831">
        <v>1.0332602911105553</v>
      </c>
      <c r="K1032">
        <v>1.7523224562413158</v>
      </c>
      <c r="L1032">
        <v>0</v>
      </c>
      <c r="M1032">
        <v>1.4923357257429133E-3</v>
      </c>
      <c r="N1032">
        <v>0.1419106819619543</v>
      </c>
      <c r="O1032">
        <v>1.7917540707411528E-2</v>
      </c>
      <c r="P1032">
        <v>1.9700187849529854E-2</v>
      </c>
      <c r="Q1032">
        <v>2.1261307076159718E-3</v>
      </c>
      <c r="R1032">
        <v>1.4834456287866112E-3</v>
      </c>
      <c r="S1032">
        <v>0.16067006926097055</v>
      </c>
      <c r="T1032">
        <v>1.0730168615111058</v>
      </c>
      <c r="U1032">
        <v>2.3101096582783708E-2</v>
      </c>
      <c r="V1032">
        <v>0.20803362741470183</v>
      </c>
      <c r="W1032">
        <v>8.5918520429871775E-2</v>
      </c>
      <c r="X1032">
        <v>1.5899179928489091E-2</v>
      </c>
      <c r="Y1032">
        <v>4.037449983837052E-3</v>
      </c>
    </row>
    <row r="1033" spans="1:25" x14ac:dyDescent="0.25">
      <c r="A1033" s="827"/>
      <c r="B1033" s="1066">
        <v>783</v>
      </c>
      <c r="C1033" s="831">
        <v>1.0059258816716274</v>
      </c>
      <c r="D1033" s="831">
        <v>0.98310057102966897</v>
      </c>
      <c r="E1033" s="831">
        <v>1.0038362163426318</v>
      </c>
      <c r="F1033" s="831">
        <v>0.99127490916796923</v>
      </c>
      <c r="G1033" s="831">
        <v>0.98488843561194417</v>
      </c>
      <c r="H1033" s="831">
        <v>0.97330402744515809</v>
      </c>
      <c r="I1033" s="831">
        <v>1.0003013582518643</v>
      </c>
      <c r="K1033">
        <v>1.7302796315699742</v>
      </c>
      <c r="L1033">
        <v>0</v>
      </c>
      <c r="M1033">
        <v>1.3401250481728298E-3</v>
      </c>
      <c r="N1033">
        <v>0.13659437693499171</v>
      </c>
      <c r="O1033">
        <v>1.7868657421951786E-2</v>
      </c>
      <c r="P1033">
        <v>1.9864242524720816E-2</v>
      </c>
      <c r="Q1033">
        <v>2.1713610446170116E-3</v>
      </c>
      <c r="R1033">
        <v>1.3316576147853235E-3</v>
      </c>
      <c r="S1033">
        <v>0.15104204048094805</v>
      </c>
      <c r="T1033">
        <v>1.071021931524917</v>
      </c>
      <c r="U1033">
        <v>2.3185135528619925E-2</v>
      </c>
      <c r="V1033">
        <v>0.20711788225047889</v>
      </c>
      <c r="W1033">
        <v>8.1434861742051765E-2</v>
      </c>
      <c r="X1033">
        <v>1.6363276503433933E-2</v>
      </c>
      <c r="Y1033">
        <v>3.6243330466309157E-3</v>
      </c>
    </row>
    <row r="1034" spans="1:25" x14ac:dyDescent="0.25">
      <c r="A1034" s="827"/>
      <c r="B1034" s="1066">
        <v>784</v>
      </c>
      <c r="C1034" s="831">
        <v>1.0265230324041594</v>
      </c>
      <c r="D1034" s="831">
        <v>0.99903881685026485</v>
      </c>
      <c r="E1034" s="831">
        <v>0.98491676581541565</v>
      </c>
      <c r="F1034" s="831">
        <v>1.0190903843721306</v>
      </c>
      <c r="G1034" s="831">
        <v>1.0103709049058971</v>
      </c>
      <c r="H1034" s="831">
        <v>0.97984120589525658</v>
      </c>
      <c r="I1034" s="831">
        <v>1.0246525774677671</v>
      </c>
      <c r="K1034">
        <v>1.718638309198036</v>
      </c>
      <c r="L1034">
        <v>0</v>
      </c>
      <c r="M1034">
        <v>1.3657610792835993E-3</v>
      </c>
      <c r="N1034">
        <v>0.13125129171528865</v>
      </c>
      <c r="O1034">
        <v>1.738289668940244E-2</v>
      </c>
      <c r="P1034">
        <v>1.9552166504185255E-2</v>
      </c>
      <c r="Q1034">
        <v>2.0751646131489483E-3</v>
      </c>
      <c r="R1034">
        <v>1.3571779480557235E-3</v>
      </c>
      <c r="S1034">
        <v>0.15107436373273428</v>
      </c>
      <c r="T1034">
        <v>1.0727048214976904</v>
      </c>
      <c r="U1034">
        <v>2.271992655019232E-2</v>
      </c>
      <c r="V1034">
        <v>0.20348582697136894</v>
      </c>
      <c r="W1034">
        <v>7.9273031307861688E-2</v>
      </c>
      <c r="X1034">
        <v>1.5433611766372122E-2</v>
      </c>
      <c r="Y1034">
        <v>3.6937909810173422E-3</v>
      </c>
    </row>
    <row r="1035" spans="1:25" x14ac:dyDescent="0.25">
      <c r="A1035" s="827"/>
      <c r="B1035" s="1066">
        <v>785</v>
      </c>
      <c r="C1035" s="831">
        <v>0.9853457423198384</v>
      </c>
      <c r="D1035" s="831">
        <v>1.0131160038962379</v>
      </c>
      <c r="E1035" s="831">
        <v>0.99239971078326172</v>
      </c>
      <c r="F1035" s="831">
        <v>0.98165227417782952</v>
      </c>
      <c r="G1035" s="831">
        <v>1.0317436606835042</v>
      </c>
      <c r="H1035" s="831">
        <v>1.0091556221090019</v>
      </c>
      <c r="I1035" s="831">
        <v>0.99992357576515867</v>
      </c>
      <c r="K1035">
        <v>1.7428757995579087</v>
      </c>
      <c r="L1035">
        <v>0</v>
      </c>
      <c r="M1035">
        <v>1.4334346699203895E-3</v>
      </c>
      <c r="N1035">
        <v>0.14102707533134887</v>
      </c>
      <c r="O1035">
        <v>1.7994988543509567E-2</v>
      </c>
      <c r="P1035">
        <v>1.975939133398872E-2</v>
      </c>
      <c r="Q1035">
        <v>2.1670341381510518E-3</v>
      </c>
      <c r="R1035">
        <v>1.4246779802934814E-3</v>
      </c>
      <c r="S1035">
        <v>0.15482405816404637</v>
      </c>
      <c r="T1035">
        <v>1.0720375987579649</v>
      </c>
      <c r="U1035">
        <v>2.3669385167681363E-2</v>
      </c>
      <c r="V1035">
        <v>0.20657172432217577</v>
      </c>
      <c r="W1035">
        <v>8.4738938581269727E-2</v>
      </c>
      <c r="X1035">
        <v>1.6216858090011027E-2</v>
      </c>
      <c r="Y1035">
        <v>3.8775038173888715E-3</v>
      </c>
    </row>
    <row r="1036" spans="1:25" x14ac:dyDescent="0.25">
      <c r="A1036" s="827"/>
      <c r="B1036" s="1066">
        <v>786</v>
      </c>
      <c r="C1036" s="831">
        <v>0.99935508709731125</v>
      </c>
      <c r="D1036" s="831">
        <v>0.98694579321456954</v>
      </c>
      <c r="E1036" s="831">
        <v>0.97433832637278062</v>
      </c>
      <c r="F1036" s="831">
        <v>1.0405582647917664</v>
      </c>
      <c r="G1036" s="831">
        <v>0.964291100525415</v>
      </c>
      <c r="H1036" s="831">
        <v>0.98947499409181972</v>
      </c>
      <c r="I1036" s="831">
        <v>1.0041151144983411</v>
      </c>
      <c r="K1036">
        <v>1.7347592707508361</v>
      </c>
      <c r="L1036">
        <v>0</v>
      </c>
      <c r="M1036">
        <v>1.4565046296061708E-3</v>
      </c>
      <c r="N1036">
        <v>0.13544270949859402</v>
      </c>
      <c r="O1036">
        <v>1.7954312207655053E-2</v>
      </c>
      <c r="P1036">
        <v>1.9502813166261138E-2</v>
      </c>
      <c r="Q1036">
        <v>2.1183295366693868E-3</v>
      </c>
      <c r="R1036">
        <v>1.4474493626256621E-3</v>
      </c>
      <c r="S1036">
        <v>0.15354085668926015</v>
      </c>
      <c r="T1036">
        <v>1.0736516492516162</v>
      </c>
      <c r="U1036">
        <v>2.3337578603862298E-2</v>
      </c>
      <c r="V1036">
        <v>0.20746725834394994</v>
      </c>
      <c r="W1036">
        <v>8.2407397274491034E-2</v>
      </c>
      <c r="X1036">
        <v>1.5405941431945572E-2</v>
      </c>
      <c r="Y1036">
        <v>3.9394800135128995E-3</v>
      </c>
    </row>
    <row r="1037" spans="1:25" x14ac:dyDescent="0.25">
      <c r="A1037" s="827"/>
      <c r="B1037" s="1066">
        <v>787</v>
      </c>
      <c r="C1037" s="831">
        <v>1.0210979430069926</v>
      </c>
      <c r="D1037" s="831">
        <v>1.0035706112702099</v>
      </c>
      <c r="E1037" s="831">
        <v>1.0012409542945406</v>
      </c>
      <c r="F1037" s="831">
        <v>1.0275409409129093</v>
      </c>
      <c r="G1037" s="831">
        <v>0.99089697651035236</v>
      </c>
      <c r="H1037" s="831">
        <v>0.99804472512895004</v>
      </c>
      <c r="I1037" s="831">
        <v>0.97239037239509396</v>
      </c>
      <c r="K1037">
        <v>1.7196692811931613</v>
      </c>
      <c r="L1037">
        <v>0</v>
      </c>
      <c r="M1037">
        <v>1.3485504797143921E-3</v>
      </c>
      <c r="N1037">
        <v>0.13636807649751026</v>
      </c>
      <c r="O1037">
        <v>1.7439468603317968E-2</v>
      </c>
      <c r="P1037">
        <v>1.9695632000135983E-2</v>
      </c>
      <c r="Q1037">
        <v>2.1172800120803645E-3</v>
      </c>
      <c r="R1037">
        <v>1.3402270188238731E-3</v>
      </c>
      <c r="S1037">
        <v>0.14510270728491526</v>
      </c>
      <c r="T1037">
        <v>1.0712519818008042</v>
      </c>
      <c r="U1037">
        <v>2.2840637431529396E-2</v>
      </c>
      <c r="V1037">
        <v>0.20363626726877046</v>
      </c>
      <c r="W1037">
        <v>8.1444189336113179E-2</v>
      </c>
      <c r="X1037">
        <v>1.6133708279354231E-2</v>
      </c>
      <c r="Y1037">
        <v>3.6476561395205657E-3</v>
      </c>
    </row>
    <row r="1038" spans="1:25" x14ac:dyDescent="0.25">
      <c r="A1038" s="827"/>
      <c r="B1038" s="1066">
        <v>788</v>
      </c>
      <c r="C1038" s="831">
        <v>0.98678456789346092</v>
      </c>
      <c r="D1038" s="831">
        <v>0.9633767953228568</v>
      </c>
      <c r="E1038" s="831">
        <v>1.0173972457035063</v>
      </c>
      <c r="F1038" s="831">
        <v>0.99697331570688374</v>
      </c>
      <c r="G1038" s="831">
        <v>0.9889420416354735</v>
      </c>
      <c r="H1038" s="831">
        <v>1.0342978060628643</v>
      </c>
      <c r="I1038" s="831">
        <v>0.96813095754648304</v>
      </c>
      <c r="K1038">
        <v>1.7623997368510076</v>
      </c>
      <c r="L1038">
        <v>0</v>
      </c>
      <c r="M1038">
        <v>1.4238302447966652E-3</v>
      </c>
      <c r="N1038">
        <v>0.15143327228501255</v>
      </c>
      <c r="O1038">
        <v>1.8383800038006104E-2</v>
      </c>
      <c r="P1038">
        <v>2.0159880524580842E-2</v>
      </c>
      <c r="Q1038">
        <v>2.2606263828207655E-3</v>
      </c>
      <c r="R1038">
        <v>1.4153786219631614E-3</v>
      </c>
      <c r="S1038">
        <v>0.15465087997031035</v>
      </c>
      <c r="T1038">
        <v>1.0698239900045161</v>
      </c>
      <c r="U1038">
        <v>2.3634872957215943E-2</v>
      </c>
      <c r="V1038">
        <v>0.21116395420352796</v>
      </c>
      <c r="W1038">
        <v>8.9453785567574065E-2</v>
      </c>
      <c r="X1038">
        <v>1.7590932510729955E-2</v>
      </c>
      <c r="Y1038">
        <v>3.8521940295463911E-3</v>
      </c>
    </row>
    <row r="1039" spans="1:25" x14ac:dyDescent="0.25">
      <c r="A1039" s="827"/>
      <c r="B1039" s="1066">
        <v>789</v>
      </c>
      <c r="C1039" s="831">
        <v>0.99784859958718919</v>
      </c>
      <c r="D1039" s="831">
        <v>1.0054872427535972</v>
      </c>
      <c r="E1039" s="831">
        <v>0.98582365311801146</v>
      </c>
      <c r="F1039" s="831">
        <v>1.0106745497146787</v>
      </c>
      <c r="G1039" s="831">
        <v>1.0020195084933841</v>
      </c>
      <c r="H1039" s="831">
        <v>0.9949886706701444</v>
      </c>
      <c r="I1039" s="831">
        <v>1.0018153030802612</v>
      </c>
      <c r="K1039">
        <v>1.7332086034236245</v>
      </c>
      <c r="L1039">
        <v>0</v>
      </c>
      <c r="M1039">
        <v>1.4198738028825158E-3</v>
      </c>
      <c r="N1039">
        <v>0.13685026887099738</v>
      </c>
      <c r="O1039">
        <v>1.7830390557275803E-2</v>
      </c>
      <c r="P1039">
        <v>1.9627132788641522E-2</v>
      </c>
      <c r="Q1039">
        <v>2.1316659796314303E-3</v>
      </c>
      <c r="R1039">
        <v>1.4110818430736795E-3</v>
      </c>
      <c r="S1039">
        <v>0.15263593027491437</v>
      </c>
      <c r="T1039">
        <v>1.0726238459234272</v>
      </c>
      <c r="U1039">
        <v>2.3372812176067275E-2</v>
      </c>
      <c r="V1039">
        <v>0.20591052132094945</v>
      </c>
      <c r="W1039">
        <v>8.2602895115494096E-2</v>
      </c>
      <c r="X1039">
        <v>1.5791432762192848E-2</v>
      </c>
      <c r="Y1039">
        <v>3.8404996138420018E-3</v>
      </c>
    </row>
    <row r="1040" spans="1:25" x14ac:dyDescent="0.25">
      <c r="A1040" s="827"/>
      <c r="B1040" s="1066">
        <v>790</v>
      </c>
      <c r="C1040" s="831">
        <v>0.96854032741637719</v>
      </c>
      <c r="D1040" s="831">
        <v>0.9983649630140925</v>
      </c>
      <c r="E1040" s="831">
        <v>0.98270163016218792</v>
      </c>
      <c r="F1040" s="831">
        <v>1.0283711328790532</v>
      </c>
      <c r="G1040" s="831">
        <v>0.97073889780063938</v>
      </c>
      <c r="H1040" s="831">
        <v>1.0130551433889914</v>
      </c>
      <c r="I1040" s="831">
        <v>0.99604394251703898</v>
      </c>
      <c r="K1040">
        <v>1.7559032547649909</v>
      </c>
      <c r="L1040">
        <v>0</v>
      </c>
      <c r="M1040">
        <v>1.5040301268027093E-3</v>
      </c>
      <c r="N1040">
        <v>0.14357506679234172</v>
      </c>
      <c r="O1040">
        <v>1.8429174922700093E-2</v>
      </c>
      <c r="P1040">
        <v>1.9721110173825475E-2</v>
      </c>
      <c r="Q1040">
        <v>2.1950101453549619E-3</v>
      </c>
      <c r="R1040">
        <v>1.4948884412218787E-3</v>
      </c>
      <c r="S1040">
        <v>0.15814544970754457</v>
      </c>
      <c r="T1040">
        <v>1.0729027400660913</v>
      </c>
      <c r="U1040">
        <v>2.4080079309156972E-2</v>
      </c>
      <c r="V1040">
        <v>0.20983000530382534</v>
      </c>
      <c r="W1040">
        <v>8.6849367795483898E-2</v>
      </c>
      <c r="X1040">
        <v>1.6115798687080757E-2</v>
      </c>
      <c r="Y1040">
        <v>4.0685935471637454E-3</v>
      </c>
    </row>
    <row r="1041" spans="1:25" x14ac:dyDescent="0.25">
      <c r="A1041" s="827"/>
      <c r="B1041" s="1066">
        <v>791</v>
      </c>
      <c r="C1041" s="831">
        <v>1.0037471330571575</v>
      </c>
      <c r="D1041" s="831">
        <v>1.0203047914260026</v>
      </c>
      <c r="E1041" s="831">
        <v>0.99655739691371448</v>
      </c>
      <c r="F1041" s="831">
        <v>1.0019536022112527</v>
      </c>
      <c r="G1041" s="831">
        <v>0.99921806898178467</v>
      </c>
      <c r="H1041" s="831">
        <v>1.0145307015205534</v>
      </c>
      <c r="I1041" s="831">
        <v>0.99232472860328624</v>
      </c>
      <c r="K1041">
        <v>1.731821421700301</v>
      </c>
      <c r="L1041">
        <v>0</v>
      </c>
      <c r="M1041">
        <v>1.3978586164015304E-3</v>
      </c>
      <c r="N1041">
        <v>0.13932221699067118</v>
      </c>
      <c r="O1041">
        <v>1.760871503879731E-2</v>
      </c>
      <c r="P1041">
        <v>1.9719276858579569E-2</v>
      </c>
      <c r="Q1041">
        <v>2.1306490667933344E-3</v>
      </c>
      <c r="R1041">
        <v>1.3893596478919503E-3</v>
      </c>
      <c r="S1041">
        <v>0.15076731330263868</v>
      </c>
      <c r="T1041">
        <v>1.0716677870281417</v>
      </c>
      <c r="U1041">
        <v>2.3235461532297171E-2</v>
      </c>
      <c r="V1041">
        <v>0.20395172750957241</v>
      </c>
      <c r="W1041">
        <v>8.3475804564275363E-2</v>
      </c>
      <c r="X1041">
        <v>1.6169589817766145E-2</v>
      </c>
      <c r="Y1041">
        <v>3.7813789592770534E-3</v>
      </c>
    </row>
    <row r="1042" spans="1:25" x14ac:dyDescent="0.25">
      <c r="A1042" s="827"/>
      <c r="B1042" s="1066">
        <v>792</v>
      </c>
      <c r="C1042" s="831">
        <v>1.0062862845207463</v>
      </c>
      <c r="D1042" s="831">
        <v>0.98358884555486925</v>
      </c>
      <c r="E1042" s="831">
        <v>0.98613034278501144</v>
      </c>
      <c r="F1042" s="831">
        <v>0.99388853738264726</v>
      </c>
      <c r="G1042" s="831">
        <v>1.0209008989481028</v>
      </c>
      <c r="H1042" s="831">
        <v>0.96558938838944997</v>
      </c>
      <c r="I1042" s="831">
        <v>0.97292881209122983</v>
      </c>
      <c r="K1042">
        <v>1.7213069743771388</v>
      </c>
      <c r="L1042">
        <v>0</v>
      </c>
      <c r="M1042">
        <v>1.3791674355602673E-3</v>
      </c>
      <c r="N1042">
        <v>0.13303022680599183</v>
      </c>
      <c r="O1042">
        <v>1.7858232682994964E-2</v>
      </c>
      <c r="P1042">
        <v>1.9558053998015371E-2</v>
      </c>
      <c r="Q1042">
        <v>2.1317952552732528E-3</v>
      </c>
      <c r="R1042">
        <v>1.3703833365927016E-3</v>
      </c>
      <c r="S1042">
        <v>0.14628649061934637</v>
      </c>
      <c r="T1042">
        <v>1.0725964687377787</v>
      </c>
      <c r="U1042">
        <v>2.3176831739697978E-2</v>
      </c>
      <c r="V1042">
        <v>0.20703202385235636</v>
      </c>
      <c r="W1042">
        <v>8.0280101049263655E-2</v>
      </c>
      <c r="X1042">
        <v>1.56358020399264E-2</v>
      </c>
      <c r="Y1042">
        <v>3.7297316954598364E-3</v>
      </c>
    </row>
    <row r="1043" spans="1:25" x14ac:dyDescent="0.25">
      <c r="A1043" s="827"/>
      <c r="B1043" s="1066">
        <v>793</v>
      </c>
      <c r="C1043" s="831">
        <v>0.96847760953111584</v>
      </c>
      <c r="D1043" s="831">
        <v>1.0308812631091688</v>
      </c>
      <c r="E1043" s="831">
        <v>1.0144574723271924</v>
      </c>
      <c r="F1043" s="831">
        <v>1.0152286689972136</v>
      </c>
      <c r="G1043" s="831">
        <v>1.0031368618058596</v>
      </c>
      <c r="H1043" s="831">
        <v>1.0150135787642045</v>
      </c>
      <c r="I1043" s="831">
        <v>0.96371146640160266</v>
      </c>
      <c r="K1043">
        <v>1.7465533749602136</v>
      </c>
      <c r="L1043">
        <v>0</v>
      </c>
      <c r="M1043">
        <v>1.3893095090926205E-3</v>
      </c>
      <c r="N1043">
        <v>0.14639654213527639</v>
      </c>
      <c r="O1043">
        <v>1.8165179894502507E-2</v>
      </c>
      <c r="P1043">
        <v>2.0017904627131686E-2</v>
      </c>
      <c r="Q1043">
        <v>2.2396318817553304E-3</v>
      </c>
      <c r="R1043">
        <v>1.3808595361729564E-3</v>
      </c>
      <c r="S1043">
        <v>0.15113947834081493</v>
      </c>
      <c r="T1043">
        <v>1.0700830903591525</v>
      </c>
      <c r="U1043">
        <v>2.4081638717073358E-2</v>
      </c>
      <c r="V1043">
        <v>0.20683526593740081</v>
      </c>
      <c r="W1043">
        <v>8.6650721839412109E-2</v>
      </c>
      <c r="X1043">
        <v>1.719412674337386E-2</v>
      </c>
      <c r="Y1043">
        <v>3.7582444572390257E-3</v>
      </c>
    </row>
    <row r="1044" spans="1:25" x14ac:dyDescent="0.25">
      <c r="A1044" s="827"/>
      <c r="B1044" s="1066">
        <v>794</v>
      </c>
      <c r="C1044" s="831">
        <v>1.0037745750362446</v>
      </c>
      <c r="D1044" s="831">
        <v>0.97989086484498023</v>
      </c>
      <c r="E1044" s="831">
        <v>1.000712423355353</v>
      </c>
      <c r="F1044" s="831">
        <v>0.95599429055250074</v>
      </c>
      <c r="G1044" s="831">
        <v>0.98116756318162335</v>
      </c>
      <c r="H1044" s="831">
        <v>0.99801817980378482</v>
      </c>
      <c r="I1044" s="831">
        <v>0.97943928129490898</v>
      </c>
      <c r="K1044">
        <v>1.7363276513398389</v>
      </c>
      <c r="L1044">
        <v>0</v>
      </c>
      <c r="M1044">
        <v>1.3882480516651909E-3</v>
      </c>
      <c r="N1044">
        <v>0.14015342207650783</v>
      </c>
      <c r="O1044">
        <v>1.7933557667697456E-2</v>
      </c>
      <c r="P1044">
        <v>1.9817831834461307E-2</v>
      </c>
      <c r="Q1044">
        <v>2.1718360354771801E-3</v>
      </c>
      <c r="R1044">
        <v>1.3796960702749867E-3</v>
      </c>
      <c r="S1044">
        <v>0.15015761250228907</v>
      </c>
      <c r="T1044">
        <v>1.0712988632256184</v>
      </c>
      <c r="U1044">
        <v>2.3234826302968508E-2</v>
      </c>
      <c r="V1044">
        <v>0.20765764507047449</v>
      </c>
      <c r="W1044">
        <v>8.3735197436531808E-2</v>
      </c>
      <c r="X1044">
        <v>1.6420333282601639E-2</v>
      </c>
      <c r="Y1044">
        <v>3.7550778866011813E-3</v>
      </c>
    </row>
    <row r="1045" spans="1:25" x14ac:dyDescent="0.25">
      <c r="A1045" s="827"/>
      <c r="B1045" s="1066">
        <v>795</v>
      </c>
      <c r="C1045" s="831">
        <v>0.99389183808189818</v>
      </c>
      <c r="D1045" s="831">
        <v>0.97195467937149937</v>
      </c>
      <c r="E1045" s="831">
        <v>0.98919943690308876</v>
      </c>
      <c r="F1045" s="831">
        <v>0.99593711107712979</v>
      </c>
      <c r="G1045" s="831">
        <v>1.0180424314685803</v>
      </c>
      <c r="H1045" s="831">
        <v>0.96523803625881066</v>
      </c>
      <c r="I1045" s="831">
        <v>1.0054764344877538</v>
      </c>
      <c r="K1045">
        <v>1.7364714966277044</v>
      </c>
      <c r="L1045">
        <v>0</v>
      </c>
      <c r="M1045">
        <v>1.3943895565373726E-3</v>
      </c>
      <c r="N1045">
        <v>0.13579061003208018</v>
      </c>
      <c r="O1045">
        <v>1.8178911366073826E-2</v>
      </c>
      <c r="P1045">
        <v>1.9738885872606332E-2</v>
      </c>
      <c r="Q1045">
        <v>2.1746791267259423E-3</v>
      </c>
      <c r="R1045">
        <v>1.3855139845335642E-3</v>
      </c>
      <c r="S1045">
        <v>0.15379860167816214</v>
      </c>
      <c r="T1045">
        <v>1.072322695694907</v>
      </c>
      <c r="U1045">
        <v>2.3465861177925675E-2</v>
      </c>
      <c r="V1045">
        <v>0.20951189275015841</v>
      </c>
      <c r="W1045">
        <v>8.1772522879939843E-2</v>
      </c>
      <c r="X1045">
        <v>1.5954799289787547E-2</v>
      </c>
      <c r="Y1045">
        <v>3.7709123313381101E-3</v>
      </c>
    </row>
    <row r="1046" spans="1:25" x14ac:dyDescent="0.25">
      <c r="A1046" s="827"/>
      <c r="B1046" s="1066">
        <v>796</v>
      </c>
      <c r="C1046" s="831">
        <v>0.99805425152146399</v>
      </c>
      <c r="D1046" s="831">
        <v>0.98746211998641942</v>
      </c>
      <c r="E1046" s="831">
        <v>1.0099966249366266</v>
      </c>
      <c r="F1046" s="831">
        <v>0.95123120366139746</v>
      </c>
      <c r="G1046" s="831">
        <v>0.98900753044163281</v>
      </c>
      <c r="H1046" s="831">
        <v>0.98068787447681816</v>
      </c>
      <c r="I1046" s="831">
        <v>0.95315211584864168</v>
      </c>
      <c r="K1046">
        <v>1.729049726063141</v>
      </c>
      <c r="L1046">
        <v>0</v>
      </c>
      <c r="M1046">
        <v>1.3406882179877713E-3</v>
      </c>
      <c r="N1046">
        <v>0.13930104911974764</v>
      </c>
      <c r="O1046">
        <v>1.797344828573165E-2</v>
      </c>
      <c r="P1046">
        <v>1.9877416948696491E-2</v>
      </c>
      <c r="Q1046">
        <v>2.1984135298562936E-3</v>
      </c>
      <c r="R1046">
        <v>1.3322779500410267E-3</v>
      </c>
      <c r="S1046">
        <v>0.14530039654555227</v>
      </c>
      <c r="T1046">
        <v>1.0704768770087678</v>
      </c>
      <c r="U1046">
        <v>2.3367996141241444E-2</v>
      </c>
      <c r="V1046">
        <v>0.20756318993111239</v>
      </c>
      <c r="W1046">
        <v>8.2700873863884819E-2</v>
      </c>
      <c r="X1046">
        <v>1.6672453561792314E-2</v>
      </c>
      <c r="Y1046">
        <v>3.6260213947034779E-3</v>
      </c>
    </row>
    <row r="1047" spans="1:25" x14ac:dyDescent="0.25">
      <c r="A1047" s="827"/>
      <c r="B1047" s="1066">
        <v>797</v>
      </c>
      <c r="C1047" s="831">
        <v>1.0155645291662809</v>
      </c>
      <c r="D1047" s="831">
        <v>0.99436523872052018</v>
      </c>
      <c r="E1047" s="831">
        <v>1.000419362943233</v>
      </c>
      <c r="F1047" s="831">
        <v>1.0014177202825023</v>
      </c>
      <c r="G1047" s="831">
        <v>1.0228626265782759</v>
      </c>
      <c r="H1047" s="831">
        <v>1.0122814602110823</v>
      </c>
      <c r="I1047" s="831">
        <v>1.0097495173473214</v>
      </c>
      <c r="K1047">
        <v>1.7349742718181471</v>
      </c>
      <c r="L1047">
        <v>0</v>
      </c>
      <c r="M1047">
        <v>1.3833779583756188E-3</v>
      </c>
      <c r="N1047">
        <v>0.1395456398127797</v>
      </c>
      <c r="O1047">
        <v>1.7607841240086231E-2</v>
      </c>
      <c r="P1047">
        <v>1.9814635043557318E-2</v>
      </c>
      <c r="Q1047">
        <v>2.1343440725140883E-3</v>
      </c>
      <c r="R1047">
        <v>1.3749659423131402E-3</v>
      </c>
      <c r="S1047">
        <v>0.15309799854683548</v>
      </c>
      <c r="T1047">
        <v>1.0713248626338439</v>
      </c>
      <c r="U1047">
        <v>2.296508712986425E-2</v>
      </c>
      <c r="V1047">
        <v>0.20504415094639478</v>
      </c>
      <c r="W1047">
        <v>8.3388788768685607E-2</v>
      </c>
      <c r="X1047">
        <v>1.6317131602071367E-2</v>
      </c>
      <c r="Y1047">
        <v>3.7422040375752995E-3</v>
      </c>
    </row>
    <row r="1048" spans="1:25" x14ac:dyDescent="0.25">
      <c r="A1048" s="827"/>
      <c r="B1048" s="1066">
        <v>798</v>
      </c>
      <c r="C1048" s="831">
        <v>0.9956907787320235</v>
      </c>
      <c r="D1048" s="831">
        <v>0.96437648542053256</v>
      </c>
      <c r="E1048" s="831">
        <v>1.013068285041548</v>
      </c>
      <c r="F1048" s="831">
        <v>0.97105703338316063</v>
      </c>
      <c r="G1048" s="831">
        <v>1.0249206180230255</v>
      </c>
      <c r="H1048" s="831">
        <v>0.97236888162072843</v>
      </c>
      <c r="I1048" s="831">
        <v>1.0284357371462154</v>
      </c>
      <c r="K1048">
        <v>1.7464082009431403</v>
      </c>
      <c r="L1048">
        <v>0</v>
      </c>
      <c r="M1048">
        <v>1.3381516090267694E-3</v>
      </c>
      <c r="N1048">
        <v>0.14036555536237633</v>
      </c>
      <c r="O1048">
        <v>1.8210766715123752E-2</v>
      </c>
      <c r="P1048">
        <v>2.0130015971556569E-2</v>
      </c>
      <c r="Q1048">
        <v>2.2299002527892448E-3</v>
      </c>
      <c r="R1048">
        <v>1.3297019499726704E-3</v>
      </c>
      <c r="S1048">
        <v>0.15807606054100745</v>
      </c>
      <c r="T1048">
        <v>1.0702056418110968</v>
      </c>
      <c r="U1048">
        <v>2.342346479095005E-2</v>
      </c>
      <c r="V1048">
        <v>0.21005664668286655</v>
      </c>
      <c r="W1048">
        <v>8.3159292837053131E-2</v>
      </c>
      <c r="X1048">
        <v>1.6940295265676888E-2</v>
      </c>
      <c r="Y1048">
        <v>3.6190103716956059E-3</v>
      </c>
    </row>
    <row r="1049" spans="1:25" x14ac:dyDescent="0.25">
      <c r="A1049" s="827"/>
      <c r="B1049" s="1066">
        <v>799</v>
      </c>
      <c r="C1049" s="831">
        <v>0.98589333846478611</v>
      </c>
      <c r="D1049" s="831">
        <v>0.97680458830836714</v>
      </c>
      <c r="E1049" s="831">
        <v>0.99329185397594133</v>
      </c>
      <c r="F1049" s="831">
        <v>1.0268487199677898</v>
      </c>
      <c r="G1049" s="831">
        <v>0.98848915546190308</v>
      </c>
      <c r="H1049" s="831">
        <v>1.0298328231588008</v>
      </c>
      <c r="I1049" s="831">
        <v>0.99477422083996969</v>
      </c>
      <c r="K1049">
        <v>1.7585373589005504</v>
      </c>
      <c r="L1049">
        <v>0</v>
      </c>
      <c r="M1049">
        <v>1.4835655610774153E-3</v>
      </c>
      <c r="N1049">
        <v>0.14638573787295392</v>
      </c>
      <c r="O1049">
        <v>1.8284996872054975E-2</v>
      </c>
      <c r="P1049">
        <v>1.985755325129001E-2</v>
      </c>
      <c r="Q1049">
        <v>2.1973390150204592E-3</v>
      </c>
      <c r="R1049">
        <v>1.4747110370108227E-3</v>
      </c>
      <c r="S1049">
        <v>0.15780774760454136</v>
      </c>
      <c r="T1049">
        <v>1.0719581908103788</v>
      </c>
      <c r="U1049">
        <v>2.3656238447275213E-2</v>
      </c>
      <c r="V1049">
        <v>0.20993374408437904</v>
      </c>
      <c r="W1049">
        <v>8.7904851873232034E-2</v>
      </c>
      <c r="X1049">
        <v>1.6546136289109874E-2</v>
      </c>
      <c r="Y1049">
        <v>4.0136773043807604E-3</v>
      </c>
    </row>
    <row r="1050" spans="1:25" x14ac:dyDescent="0.25">
      <c r="A1050" s="827"/>
      <c r="B1050" s="1066">
        <v>800</v>
      </c>
      <c r="C1050" s="831">
        <v>1.0206235425593562</v>
      </c>
      <c r="D1050" s="831">
        <v>0.9869037352128458</v>
      </c>
      <c r="E1050" s="831">
        <v>1.022253496869677</v>
      </c>
      <c r="F1050" s="831">
        <v>0.97290726823015117</v>
      </c>
      <c r="G1050" s="831">
        <v>1.0404184317007965</v>
      </c>
      <c r="H1050" s="831">
        <v>0.9699478738252999</v>
      </c>
      <c r="I1050" s="831">
        <v>1.0161951801638702</v>
      </c>
      <c r="K1050">
        <v>1.7250360745895763</v>
      </c>
      <c r="L1050">
        <v>0</v>
      </c>
      <c r="M1050">
        <v>1.2638849205316208E-3</v>
      </c>
      <c r="N1050">
        <v>0.13640957992617456</v>
      </c>
      <c r="O1050">
        <v>1.7580507783446827E-2</v>
      </c>
      <c r="P1050">
        <v>2.0078176650713153E-2</v>
      </c>
      <c r="Q1050">
        <v>2.1766688465313802E-3</v>
      </c>
      <c r="R1050">
        <v>1.2558690290019154E-3</v>
      </c>
      <c r="S1050">
        <v>0.15074858786226925</v>
      </c>
      <c r="T1050">
        <v>1.0693966955096466</v>
      </c>
      <c r="U1050">
        <v>2.2851254087103146E-2</v>
      </c>
      <c r="V1050">
        <v>0.20520447744771572</v>
      </c>
      <c r="W1050">
        <v>8.0315428145543363E-2</v>
      </c>
      <c r="X1050">
        <v>1.6864652722132056E-2</v>
      </c>
      <c r="Y1050">
        <v>3.4180614998290679E-3</v>
      </c>
    </row>
    <row r="1051" spans="1:25" x14ac:dyDescent="0.25">
      <c r="A1051" s="827"/>
      <c r="B1051" s="1066">
        <v>801</v>
      </c>
      <c r="C1051" s="831">
        <v>1.0218857414230307</v>
      </c>
      <c r="D1051" s="831">
        <v>1.0009835517338881</v>
      </c>
      <c r="E1051" s="831">
        <v>0.97650010063219561</v>
      </c>
      <c r="F1051" s="831">
        <v>1.0275128868467096</v>
      </c>
      <c r="G1051" s="831">
        <v>1.025958002369123</v>
      </c>
      <c r="H1051" s="831">
        <v>0.99147932555244711</v>
      </c>
      <c r="I1051" s="831">
        <v>1.0185263262754882</v>
      </c>
      <c r="K1051">
        <v>1.7220882993769115</v>
      </c>
      <c r="L1051">
        <v>0</v>
      </c>
      <c r="M1051">
        <v>1.4117619720130932E-3</v>
      </c>
      <c r="N1051">
        <v>0.13217027330423473</v>
      </c>
      <c r="O1051">
        <v>1.7446404763542121E-2</v>
      </c>
      <c r="P1051">
        <v>1.9449636615056384E-2</v>
      </c>
      <c r="Q1051">
        <v>2.0653411026791903E-3</v>
      </c>
      <c r="R1051">
        <v>1.4029925021196374E-3</v>
      </c>
      <c r="S1051">
        <v>0.15156329129770199</v>
      </c>
      <c r="T1051">
        <v>1.0734578170168496</v>
      </c>
      <c r="U1051">
        <v>2.2823028987394734E-2</v>
      </c>
      <c r="V1051">
        <v>0.20378574565342206</v>
      </c>
      <c r="W1051">
        <v>8.0295424069739413E-2</v>
      </c>
      <c r="X1051">
        <v>1.522162294176823E-2</v>
      </c>
      <c r="Y1051">
        <v>3.8184830944156286E-3</v>
      </c>
    </row>
    <row r="1052" spans="1:25" x14ac:dyDescent="0.25">
      <c r="A1052" s="827"/>
      <c r="B1052" s="1066">
        <v>802</v>
      </c>
      <c r="C1052" s="831">
        <v>0.98482746747605632</v>
      </c>
      <c r="D1052" s="831">
        <v>0.97512076832015038</v>
      </c>
      <c r="E1052" s="831">
        <v>0.99572526739603495</v>
      </c>
      <c r="F1052" s="831">
        <v>1.0084537340220883</v>
      </c>
      <c r="G1052" s="831">
        <v>1.0037048191938229</v>
      </c>
      <c r="H1052" s="831">
        <v>1.0203082603395512</v>
      </c>
      <c r="I1052" s="831">
        <v>0.98022443039361773</v>
      </c>
      <c r="K1052">
        <v>1.7546365750538155</v>
      </c>
      <c r="L1052">
        <v>0</v>
      </c>
      <c r="M1052">
        <v>1.4650670531298014E-3</v>
      </c>
      <c r="N1052">
        <v>0.14565143681126169</v>
      </c>
      <c r="O1052">
        <v>1.8319138544158842E-2</v>
      </c>
      <c r="P1052">
        <v>1.9858151334736267E-2</v>
      </c>
      <c r="Q1052">
        <v>2.2065335354232978E-3</v>
      </c>
      <c r="R1052">
        <v>1.4562425660446458E-3</v>
      </c>
      <c r="S1052">
        <v>0.15509155660410023</v>
      </c>
      <c r="T1052">
        <v>1.0717417498882849</v>
      </c>
      <c r="U1052">
        <v>2.3681841407282071E-2</v>
      </c>
      <c r="V1052">
        <v>0.21021823956662694</v>
      </c>
      <c r="W1052">
        <v>8.7317834179912165E-2</v>
      </c>
      <c r="X1052">
        <v>1.6595505454571374E-2</v>
      </c>
      <c r="Y1052">
        <v>3.9634122145406452E-3</v>
      </c>
    </row>
    <row r="1053" spans="1:25" x14ac:dyDescent="0.25">
      <c r="A1053" s="827"/>
      <c r="B1053" s="1066">
        <v>803</v>
      </c>
      <c r="C1053" s="831">
        <v>1.0243220110510314</v>
      </c>
      <c r="D1053" s="831">
        <v>0.99741749415161296</v>
      </c>
      <c r="E1053" s="831">
        <v>1.0123931302676707</v>
      </c>
      <c r="F1053" s="831">
        <v>1.0225606129232565</v>
      </c>
      <c r="G1053" s="831">
        <v>0.96620513588564039</v>
      </c>
      <c r="H1053" s="831">
        <v>1.0198314393056938</v>
      </c>
      <c r="I1053" s="831">
        <v>1.0351865878852149</v>
      </c>
      <c r="K1053">
        <v>1.7371613313480703</v>
      </c>
      <c r="L1053">
        <v>0</v>
      </c>
      <c r="M1053">
        <v>1.3454715084682241E-3</v>
      </c>
      <c r="N1053">
        <v>0.14087680034944222</v>
      </c>
      <c r="O1053">
        <v>1.7433071923972067E-2</v>
      </c>
      <c r="P1053">
        <v>1.9997269926131982E-2</v>
      </c>
      <c r="Q1053">
        <v>2.1391940998936845E-3</v>
      </c>
      <c r="R1053">
        <v>1.3373485298727166E-3</v>
      </c>
      <c r="S1053">
        <v>0.15596317531018034</v>
      </c>
      <c r="T1053">
        <v>1.0702652290463477</v>
      </c>
      <c r="U1053">
        <v>2.2768746201570492E-2</v>
      </c>
      <c r="V1053">
        <v>0.20385501361787922</v>
      </c>
      <c r="W1053">
        <v>8.3500403938894546E-2</v>
      </c>
      <c r="X1053">
        <v>1.6730728070861681E-2</v>
      </c>
      <c r="Y1053">
        <v>3.6398218414891454E-3</v>
      </c>
    </row>
    <row r="1054" spans="1:25" x14ac:dyDescent="0.25">
      <c r="A1054" s="827"/>
      <c r="B1054" s="1066">
        <v>804</v>
      </c>
      <c r="C1054" s="831">
        <v>1.011442840996748</v>
      </c>
      <c r="D1054" s="831">
        <v>1.040208267841382</v>
      </c>
      <c r="E1054" s="831">
        <v>0.99609865849662382</v>
      </c>
      <c r="F1054" s="831">
        <v>1.0015889290658082</v>
      </c>
      <c r="G1054" s="831">
        <v>0.96702292298071502</v>
      </c>
      <c r="H1054" s="831">
        <v>1.0177472631513205</v>
      </c>
      <c r="I1054" s="831">
        <v>1.0232846419570698</v>
      </c>
      <c r="K1054">
        <v>1.7281832948152698</v>
      </c>
      <c r="L1054">
        <v>0</v>
      </c>
      <c r="M1054">
        <v>1.3808839163483389E-3</v>
      </c>
      <c r="N1054">
        <v>0.13743539750400097</v>
      </c>
      <c r="O1054">
        <v>1.7323009357944546E-2</v>
      </c>
      <c r="P1054">
        <v>1.9710822451323787E-2</v>
      </c>
      <c r="Q1054">
        <v>2.0983788654598333E-3</v>
      </c>
      <c r="R1054">
        <v>1.3725017131026339E-3</v>
      </c>
      <c r="S1054">
        <v>0.15328871738517372</v>
      </c>
      <c r="T1054">
        <v>1.0717085582265446</v>
      </c>
      <c r="U1054">
        <v>2.3058671190276547E-2</v>
      </c>
      <c r="V1054">
        <v>0.20144275990274813</v>
      </c>
      <c r="W1054">
        <v>8.2371222142930273E-2</v>
      </c>
      <c r="X1054">
        <v>1.6018642774115105E-2</v>
      </c>
      <c r="Y1054">
        <v>3.7354972179972422E-3</v>
      </c>
    </row>
    <row r="1055" spans="1:25" x14ac:dyDescent="0.25">
      <c r="A1055" s="827"/>
      <c r="B1055" s="1066">
        <v>805</v>
      </c>
      <c r="C1055" s="831">
        <v>0.98315293158534833</v>
      </c>
      <c r="D1055" s="831">
        <v>1.0217839107198408</v>
      </c>
      <c r="E1055" s="831">
        <v>1.0180456796925226</v>
      </c>
      <c r="F1055" s="831">
        <v>0.98803167154019711</v>
      </c>
      <c r="G1055" s="831">
        <v>1.0076038032831964</v>
      </c>
      <c r="H1055" s="831">
        <v>0.99347051964479138</v>
      </c>
      <c r="I1055" s="831">
        <v>1.0110478291181628</v>
      </c>
      <c r="K1055">
        <v>1.7418814376642502</v>
      </c>
      <c r="L1055">
        <v>0</v>
      </c>
      <c r="M1055">
        <v>1.3347416770886325E-3</v>
      </c>
      <c r="N1055">
        <v>0.1422052623435042</v>
      </c>
      <c r="O1055">
        <v>1.7965802686179234E-2</v>
      </c>
      <c r="P1055">
        <v>2.0106419010631676E-2</v>
      </c>
      <c r="Q1055">
        <v>2.2213896891493013E-3</v>
      </c>
      <c r="R1055">
        <v>1.3264534604876294E-3</v>
      </c>
      <c r="S1055">
        <v>0.15519591489689893</v>
      </c>
      <c r="T1055">
        <v>1.0697668835645704</v>
      </c>
      <c r="U1055">
        <v>2.3722177037803559E-2</v>
      </c>
      <c r="V1055">
        <v>0.20602892477080137</v>
      </c>
      <c r="W1055">
        <v>8.3965863537485239E-2</v>
      </c>
      <c r="X1055">
        <v>1.710091928964393E-2</v>
      </c>
      <c r="Y1055">
        <v>3.6101690541815957E-3</v>
      </c>
    </row>
    <row r="1056" spans="1:25" x14ac:dyDescent="0.25">
      <c r="A1056" s="827"/>
      <c r="B1056" s="1066">
        <v>806</v>
      </c>
      <c r="C1056" s="831">
        <v>1.0081185278625677</v>
      </c>
      <c r="D1056" s="831">
        <v>0.96392174833309641</v>
      </c>
      <c r="E1056" s="831">
        <v>1.0273377998783317</v>
      </c>
      <c r="F1056" s="831">
        <v>0.98711976787655431</v>
      </c>
      <c r="G1056" s="831">
        <v>0.9860423813422432</v>
      </c>
      <c r="H1056" s="831">
        <v>1.0074308069083937</v>
      </c>
      <c r="I1056" s="831">
        <v>0.99093014116714129</v>
      </c>
      <c r="K1056">
        <v>1.7466705921151828</v>
      </c>
      <c r="L1056">
        <v>0</v>
      </c>
      <c r="M1056">
        <v>1.3289370175125648E-3</v>
      </c>
      <c r="N1056">
        <v>0.14574949197599868</v>
      </c>
      <c r="O1056">
        <v>1.7990130090540884E-2</v>
      </c>
      <c r="P1056">
        <v>2.0230695022307621E-2</v>
      </c>
      <c r="Q1056">
        <v>2.2342646112711011E-3</v>
      </c>
      <c r="R1056">
        <v>1.320837911674813E-3</v>
      </c>
      <c r="S1056">
        <v>0.15297879491938038</v>
      </c>
      <c r="T1056">
        <v>1.0689502927128938</v>
      </c>
      <c r="U1056">
        <v>2.3134708125791544E-2</v>
      </c>
      <c r="V1056">
        <v>0.20872787792469849</v>
      </c>
      <c r="W1056">
        <v>8.5521663204220055E-2</v>
      </c>
      <c r="X1056">
        <v>1.7565887252439776E-2</v>
      </c>
      <c r="Y1056">
        <v>3.5948853814782773E-3</v>
      </c>
    </row>
    <row r="1057" spans="1:25" x14ac:dyDescent="0.25">
      <c r="A1057" s="827"/>
      <c r="B1057" s="1066">
        <v>807</v>
      </c>
      <c r="C1057" s="831">
        <v>0.99573061469191582</v>
      </c>
      <c r="D1057" s="831">
        <v>0.97777811136133497</v>
      </c>
      <c r="E1057" s="831">
        <v>1.0074349161196938</v>
      </c>
      <c r="F1057" s="831">
        <v>1.0025246152901013</v>
      </c>
      <c r="G1057" s="831">
        <v>1.0085749286687704</v>
      </c>
      <c r="H1057" s="831">
        <v>0.99697491042641595</v>
      </c>
      <c r="I1057" s="831">
        <v>1.0238797765057175</v>
      </c>
      <c r="K1057">
        <v>1.7488586833051434</v>
      </c>
      <c r="L1057">
        <v>0</v>
      </c>
      <c r="M1057">
        <v>1.3796857128896868E-3</v>
      </c>
      <c r="N1057">
        <v>0.14223115643111639</v>
      </c>
      <c r="O1057">
        <v>1.809616168546762E-2</v>
      </c>
      <c r="P1057">
        <v>2.0038210013800455E-2</v>
      </c>
      <c r="Q1057">
        <v>2.2059587651481259E-3</v>
      </c>
      <c r="R1057">
        <v>1.3711790969738635E-3</v>
      </c>
      <c r="S1057">
        <v>0.1583032641988813</v>
      </c>
      <c r="T1057">
        <v>1.0707033551200564</v>
      </c>
      <c r="U1057">
        <v>2.3422527693917759E-2</v>
      </c>
      <c r="V1057">
        <v>0.20874115184099257</v>
      </c>
      <c r="W1057">
        <v>8.4587673867757923E-2</v>
      </c>
      <c r="X1057">
        <v>1.6805832811026395E-2</v>
      </c>
      <c r="Y1057">
        <v>3.7318974928950187E-3</v>
      </c>
    </row>
    <row r="1058" spans="1:25" x14ac:dyDescent="0.25">
      <c r="A1058" s="827"/>
      <c r="B1058" s="1066">
        <v>808</v>
      </c>
      <c r="C1058" s="831">
        <v>0.99351642983636068</v>
      </c>
      <c r="D1058" s="831">
        <v>0.97994978889228757</v>
      </c>
      <c r="E1058" s="831">
        <v>0.99889464035601649</v>
      </c>
      <c r="F1058" s="831">
        <v>0.97533874216045247</v>
      </c>
      <c r="G1058" s="831">
        <v>0.95524703703160552</v>
      </c>
      <c r="H1058" s="831">
        <v>1.0197638728982015</v>
      </c>
      <c r="I1058" s="831">
        <v>0.99738188681539797</v>
      </c>
      <c r="K1058">
        <v>1.7513071348524094</v>
      </c>
      <c r="L1058">
        <v>0</v>
      </c>
      <c r="M1058">
        <v>1.4385998801954034E-3</v>
      </c>
      <c r="N1058">
        <v>0.14443682336307972</v>
      </c>
      <c r="O1058">
        <v>1.8118228554946925E-2</v>
      </c>
      <c r="P1058">
        <v>1.9892255934818612E-2</v>
      </c>
      <c r="Q1058">
        <v>2.1902054261011346E-3</v>
      </c>
      <c r="R1058">
        <v>1.4299266539543501E-3</v>
      </c>
      <c r="S1058">
        <v>0.15606488774778368</v>
      </c>
      <c r="T1058">
        <v>1.0714601835848578</v>
      </c>
      <c r="U1058">
        <v>2.347472794400049E-2</v>
      </c>
      <c r="V1058">
        <v>0.20877746874843583</v>
      </c>
      <c r="W1058">
        <v>8.6401746455915057E-2</v>
      </c>
      <c r="X1058">
        <v>1.6607491341840214E-2</v>
      </c>
      <c r="Y1058">
        <v>3.8917889768689501E-3</v>
      </c>
    </row>
    <row r="1059" spans="1:25" x14ac:dyDescent="0.25">
      <c r="A1059" s="827"/>
      <c r="B1059" s="1066">
        <v>809</v>
      </c>
      <c r="C1059" s="831">
        <v>0.9987681407006973</v>
      </c>
      <c r="D1059" s="831">
        <v>0.98043694876669751</v>
      </c>
      <c r="E1059" s="831">
        <v>0.9942246975229514</v>
      </c>
      <c r="F1059" s="831">
        <v>1.0045375428869434</v>
      </c>
      <c r="G1059" s="831">
        <v>1.0020346311651165</v>
      </c>
      <c r="H1059" s="831">
        <v>1.0037059381050677</v>
      </c>
      <c r="I1059" s="831">
        <v>0.9954669258265455</v>
      </c>
      <c r="K1059">
        <v>1.7423572342773364</v>
      </c>
      <c r="L1059">
        <v>0</v>
      </c>
      <c r="M1059">
        <v>1.4220936487062449E-3</v>
      </c>
      <c r="N1059">
        <v>0.14070596284606776</v>
      </c>
      <c r="O1059">
        <v>1.8018892931376138E-2</v>
      </c>
      <c r="P1059">
        <v>1.9786871009096395E-2</v>
      </c>
      <c r="Q1059">
        <v>2.168066410966305E-3</v>
      </c>
      <c r="R1059">
        <v>1.4133824132361746E-3</v>
      </c>
      <c r="S1059">
        <v>0.15375486660638302</v>
      </c>
      <c r="T1059">
        <v>1.0718751922851972</v>
      </c>
      <c r="U1059">
        <v>2.3351293406236415E-2</v>
      </c>
      <c r="V1059">
        <v>0.20814973752224764</v>
      </c>
      <c r="W1059">
        <v>8.4439988424280216E-2</v>
      </c>
      <c r="X1059">
        <v>1.6268313063512438E-2</v>
      </c>
      <c r="Y1059">
        <v>3.8467610074415627E-3</v>
      </c>
    </row>
    <row r="1060" spans="1:25" x14ac:dyDescent="0.25">
      <c r="A1060" s="827"/>
      <c r="B1060" s="1066">
        <v>810</v>
      </c>
      <c r="C1060" s="831">
        <v>0.99713510340572198</v>
      </c>
      <c r="D1060" s="831">
        <v>1.018049369005511</v>
      </c>
      <c r="E1060" s="831">
        <v>0.97709001820353991</v>
      </c>
      <c r="F1060" s="831">
        <v>0.99167124364057024</v>
      </c>
      <c r="G1060" s="831">
        <v>0.99685625834713587</v>
      </c>
      <c r="H1060" s="831">
        <v>0.99628625414529692</v>
      </c>
      <c r="I1060" s="831">
        <v>1.0383154204750669</v>
      </c>
      <c r="K1060">
        <v>1.7352195232172689</v>
      </c>
      <c r="L1060">
        <v>0</v>
      </c>
      <c r="M1060">
        <v>1.4409684710523138E-3</v>
      </c>
      <c r="N1060">
        <v>0.13515577669668599</v>
      </c>
      <c r="O1060">
        <v>1.7743216244948429E-2</v>
      </c>
      <c r="P1060">
        <v>1.9560512663540249E-2</v>
      </c>
      <c r="Q1060">
        <v>2.1046402718375729E-3</v>
      </c>
      <c r="R1060">
        <v>1.4320485502799748E-3</v>
      </c>
      <c r="S1060">
        <v>0.15759382385498874</v>
      </c>
      <c r="T1060">
        <v>1.0734049534111154</v>
      </c>
      <c r="U1060">
        <v>2.3389536501768865E-2</v>
      </c>
      <c r="V1060">
        <v>0.20485486262842237</v>
      </c>
      <c r="W1060">
        <v>8.2075482928374383E-2</v>
      </c>
      <c r="X1060">
        <v>1.5448073857172968E-2</v>
      </c>
      <c r="Y1060">
        <v>3.8975640791843649E-3</v>
      </c>
    </row>
    <row r="1061" spans="1:25" x14ac:dyDescent="0.25">
      <c r="A1061" s="827"/>
      <c r="B1061" s="1066">
        <v>811</v>
      </c>
      <c r="C1061" s="831">
        <v>1.0074071860807747</v>
      </c>
      <c r="D1061" s="831">
        <v>0.98352823665759681</v>
      </c>
      <c r="E1061" s="831">
        <v>1.0050678820243941</v>
      </c>
      <c r="F1061" s="831">
        <v>0.9543300025714192</v>
      </c>
      <c r="G1061" s="831">
        <v>1.0063292321213007</v>
      </c>
      <c r="H1061" s="831">
        <v>1.0450395957151548</v>
      </c>
      <c r="I1061" s="831">
        <v>1.0052663186174375</v>
      </c>
      <c r="K1061">
        <v>1.7524010015879168</v>
      </c>
      <c r="L1061">
        <v>0</v>
      </c>
      <c r="M1061">
        <v>1.432773720281402E-3</v>
      </c>
      <c r="N1061">
        <v>0.1466621787135865</v>
      </c>
      <c r="O1061">
        <v>1.7838861442289133E-2</v>
      </c>
      <c r="P1061">
        <v>1.9955547287159387E-2</v>
      </c>
      <c r="Q1061">
        <v>2.1704971882316924E-3</v>
      </c>
      <c r="R1061">
        <v>1.4243420158905702E-3</v>
      </c>
      <c r="S1061">
        <v>0.15671866944429916</v>
      </c>
      <c r="T1061">
        <v>1.0709128427263479</v>
      </c>
      <c r="U1061">
        <v>2.3151043808846875E-2</v>
      </c>
      <c r="V1061">
        <v>0.20692107162438422</v>
      </c>
      <c r="W1061">
        <v>8.7363657014413357E-2</v>
      </c>
      <c r="X1061">
        <v>1.6838474609714119E-2</v>
      </c>
      <c r="Y1061">
        <v>3.8765894330347835E-3</v>
      </c>
    </row>
    <row r="1062" spans="1:25" x14ac:dyDescent="0.25">
      <c r="A1062" s="827"/>
      <c r="B1062" s="1066">
        <v>812</v>
      </c>
      <c r="C1062" s="831">
        <v>0.99445078536875486</v>
      </c>
      <c r="D1062" s="831">
        <v>1.0400137898749238</v>
      </c>
      <c r="E1062" s="831">
        <v>1.01787415459785</v>
      </c>
      <c r="F1062" s="831">
        <v>0.98351432351720769</v>
      </c>
      <c r="G1062" s="831">
        <v>0.9696762182970986</v>
      </c>
      <c r="H1062" s="831">
        <v>1.0213912240782859</v>
      </c>
      <c r="I1062" s="831">
        <v>0.98772597443154386</v>
      </c>
      <c r="K1062">
        <v>1.7357525199016899</v>
      </c>
      <c r="L1062">
        <v>0</v>
      </c>
      <c r="M1062">
        <v>1.346377568550647E-3</v>
      </c>
      <c r="N1062">
        <v>0.14339179384989303</v>
      </c>
      <c r="O1062">
        <v>1.7620490876776938E-2</v>
      </c>
      <c r="P1062">
        <v>2.0000129880696219E-2</v>
      </c>
      <c r="Q1062">
        <v>2.1814307935870652E-3</v>
      </c>
      <c r="R1062">
        <v>1.3382341036996673E-3</v>
      </c>
      <c r="S1062">
        <v>0.1507571088480707</v>
      </c>
      <c r="T1062">
        <v>1.0697819879288681</v>
      </c>
      <c r="U1062">
        <v>2.3452671807841007E-2</v>
      </c>
      <c r="V1062">
        <v>0.20321955874483988</v>
      </c>
      <c r="W1062">
        <v>8.4676271337047471E-2</v>
      </c>
      <c r="X1062">
        <v>1.7036987217403467E-2</v>
      </c>
      <c r="Y1062">
        <v>3.6422320815167712E-3</v>
      </c>
    </row>
    <row r="1063" spans="1:25" x14ac:dyDescent="0.25">
      <c r="A1063" s="827"/>
      <c r="B1063" s="1066">
        <v>813</v>
      </c>
      <c r="C1063" s="831">
        <v>1.0238594620623158</v>
      </c>
      <c r="D1063" s="831">
        <v>0.95420988191207312</v>
      </c>
      <c r="E1063" s="831">
        <v>1.0045874720656622</v>
      </c>
      <c r="F1063" s="831">
        <v>0.9961294948827194</v>
      </c>
      <c r="G1063" s="831">
        <v>0.98760534353134433</v>
      </c>
      <c r="H1063" s="831">
        <v>1.0210514150379693</v>
      </c>
      <c r="I1063" s="831">
        <v>1.0042411868319236</v>
      </c>
      <c r="K1063">
        <v>1.7442797658519094</v>
      </c>
      <c r="L1063">
        <v>0</v>
      </c>
      <c r="M1063">
        <v>1.3978669845512838E-3</v>
      </c>
      <c r="N1063">
        <v>0.14285771217771182</v>
      </c>
      <c r="O1063">
        <v>1.779539077608238E-2</v>
      </c>
      <c r="P1063">
        <v>1.9925075506768128E-2</v>
      </c>
      <c r="Q1063">
        <v>2.1587124853220028E-3</v>
      </c>
      <c r="R1063">
        <v>1.3894685214943356E-3</v>
      </c>
      <c r="S1063">
        <v>0.15427639058924025</v>
      </c>
      <c r="T1063">
        <v>1.0709553858852068</v>
      </c>
      <c r="U1063">
        <v>2.2779032438031699E-2</v>
      </c>
      <c r="V1063">
        <v>0.20798784454142824</v>
      </c>
      <c r="W1063">
        <v>8.5125297583570361E-2</v>
      </c>
      <c r="X1063">
        <v>1.6645647054270803E-2</v>
      </c>
      <c r="Y1063">
        <v>3.7816752773325705E-3</v>
      </c>
    </row>
    <row r="1064" spans="1:25" x14ac:dyDescent="0.25">
      <c r="A1064" s="827"/>
      <c r="B1064" s="1066">
        <v>814</v>
      </c>
      <c r="C1064" s="831">
        <v>0.9884823044352713</v>
      </c>
      <c r="D1064" s="831">
        <v>0.97157086661629355</v>
      </c>
      <c r="E1064" s="831">
        <v>1.0198341539674658</v>
      </c>
      <c r="F1064" s="831">
        <v>0.96394364438623192</v>
      </c>
      <c r="G1064" s="831">
        <v>0.98791529370808684</v>
      </c>
      <c r="H1064" s="831">
        <v>1.0009994030374274</v>
      </c>
      <c r="I1064" s="831">
        <v>1.0032789740331718</v>
      </c>
      <c r="K1064">
        <v>1.7543860480000528</v>
      </c>
      <c r="L1064">
        <v>0</v>
      </c>
      <c r="M1064">
        <v>1.3633079235533562E-3</v>
      </c>
      <c r="N1064">
        <v>0.14606863155739136</v>
      </c>
      <c r="O1064">
        <v>1.8281678140487145E-2</v>
      </c>
      <c r="P1064">
        <v>2.0210534926640697E-2</v>
      </c>
      <c r="Q1064">
        <v>2.2551184586661107E-3</v>
      </c>
      <c r="R1064">
        <v>1.3549404835023014E-3</v>
      </c>
      <c r="S1064">
        <v>0.15696756569671449</v>
      </c>
      <c r="T1064">
        <v>1.0696094583138698</v>
      </c>
      <c r="U1064">
        <v>2.3594279628129072E-2</v>
      </c>
      <c r="V1064">
        <v>0.21015367359949902</v>
      </c>
      <c r="W1064">
        <v>8.6142912012407105E-2</v>
      </c>
      <c r="X1064">
        <v>1.7422861766214146E-2</v>
      </c>
      <c r="Y1064">
        <v>3.68770134008292E-3</v>
      </c>
    </row>
    <row r="1065" spans="1:25" x14ac:dyDescent="0.25">
      <c r="A1065" s="827"/>
      <c r="B1065" s="1066">
        <v>815</v>
      </c>
      <c r="C1065" s="831">
        <v>1.009650032254519</v>
      </c>
      <c r="D1065" s="831">
        <v>0.9779623931258361</v>
      </c>
      <c r="E1065" s="831">
        <v>0.99547209665626746</v>
      </c>
      <c r="F1065" s="831">
        <v>1.0037770176557734</v>
      </c>
      <c r="G1065" s="831">
        <v>1.017996858246869</v>
      </c>
      <c r="H1065" s="831">
        <v>0.97654172798628269</v>
      </c>
      <c r="I1065" s="831">
        <v>0.97773403294283856</v>
      </c>
      <c r="K1065">
        <v>1.7262395787022744</v>
      </c>
      <c r="L1065">
        <v>0</v>
      </c>
      <c r="M1065">
        <v>1.3666716542599104E-3</v>
      </c>
      <c r="N1065">
        <v>0.13572525095076826</v>
      </c>
      <c r="O1065">
        <v>1.7845153748033533E-2</v>
      </c>
      <c r="P1065">
        <v>1.9704398274022372E-2</v>
      </c>
      <c r="Q1065">
        <v>2.1494131193012314E-3</v>
      </c>
      <c r="R1065">
        <v>1.3580688307139532E-3</v>
      </c>
      <c r="S1065">
        <v>0.14763797775258977</v>
      </c>
      <c r="T1065">
        <v>1.0717642578546929</v>
      </c>
      <c r="U1065">
        <v>2.3099615860185427E-2</v>
      </c>
      <c r="V1065">
        <v>0.2072046322931749</v>
      </c>
      <c r="W1065">
        <v>8.1381239380635045E-2</v>
      </c>
      <c r="X1065">
        <v>1.6040026622481253E-2</v>
      </c>
      <c r="Y1065">
        <v>3.6962156699336542E-3</v>
      </c>
    </row>
    <row r="1066" spans="1:25" x14ac:dyDescent="0.25">
      <c r="A1066" s="827"/>
      <c r="B1066" s="1066">
        <v>816</v>
      </c>
      <c r="C1066" s="831">
        <v>0.99472384352156296</v>
      </c>
      <c r="D1066" s="831">
        <v>0.97667853177677943</v>
      </c>
      <c r="E1066" s="831">
        <v>1.042977551461036</v>
      </c>
      <c r="F1066" s="831">
        <v>0.99820057951242558</v>
      </c>
      <c r="G1066" s="831">
        <v>0.99984502227095817</v>
      </c>
      <c r="H1066" s="831">
        <v>1.0181291987624621</v>
      </c>
      <c r="I1066" s="831">
        <v>1.0032688552484219</v>
      </c>
      <c r="K1066">
        <v>1.7579253330884275</v>
      </c>
      <c r="L1066">
        <v>0</v>
      </c>
      <c r="M1066">
        <v>1.3089660483577401E-3</v>
      </c>
      <c r="N1066">
        <v>0.15070675791123869</v>
      </c>
      <c r="O1066">
        <v>1.8123737090737425E-2</v>
      </c>
      <c r="P1066">
        <v>2.0504449343835222E-2</v>
      </c>
      <c r="Q1066">
        <v>2.2883380882949486E-3</v>
      </c>
      <c r="R1066">
        <v>1.3010638836993306E-3</v>
      </c>
      <c r="S1066">
        <v>0.15689442705684217</v>
      </c>
      <c r="T1066">
        <v>1.0675832686162721</v>
      </c>
      <c r="U1066">
        <v>2.3446233897174713E-2</v>
      </c>
      <c r="V1066">
        <v>0.20895999073209814</v>
      </c>
      <c r="W1066">
        <v>8.7511756258365839E-2</v>
      </c>
      <c r="X1066">
        <v>1.8373209262389681E-2</v>
      </c>
      <c r="Y1066">
        <v>3.5410669958355848E-3</v>
      </c>
    </row>
    <row r="1067" spans="1:25" x14ac:dyDescent="0.25">
      <c r="A1067" s="827"/>
      <c r="B1067" s="1066">
        <v>817</v>
      </c>
      <c r="C1067" s="831">
        <v>0.97467066629209698</v>
      </c>
      <c r="D1067" s="831">
        <v>1.0206206243935561</v>
      </c>
      <c r="E1067" s="831">
        <v>1.0322711296147078</v>
      </c>
      <c r="F1067" s="831">
        <v>0.99797456557466024</v>
      </c>
      <c r="G1067" s="831">
        <v>0.99711710246388185</v>
      </c>
      <c r="H1067" s="831">
        <v>1.0152585998146795</v>
      </c>
      <c r="I1067" s="831">
        <v>1.022309439485974</v>
      </c>
      <c r="K1067">
        <v>1.7576054167573487</v>
      </c>
      <c r="L1067">
        <v>0</v>
      </c>
      <c r="M1067">
        <v>1.3358111531288281E-3</v>
      </c>
      <c r="N1067">
        <v>0.14876706283842484</v>
      </c>
      <c r="O1067">
        <v>1.81314838453418E-2</v>
      </c>
      <c r="P1067">
        <v>2.0383243887142011E-2</v>
      </c>
      <c r="Q1067">
        <v>2.2735046553443226E-3</v>
      </c>
      <c r="R1067">
        <v>1.3276950531624773E-3</v>
      </c>
      <c r="S1067">
        <v>0.15999039268089854</v>
      </c>
      <c r="T1067">
        <v>1.0685180825257508</v>
      </c>
      <c r="U1067">
        <v>2.392862400079012E-2</v>
      </c>
      <c r="V1067">
        <v>0.20707004604022733</v>
      </c>
      <c r="W1067">
        <v>8.7004145743430572E-2</v>
      </c>
      <c r="X1067">
        <v>1.7933398379813142E-2</v>
      </c>
      <c r="Y1067">
        <v>3.6135482601516167E-3</v>
      </c>
    </row>
    <row r="1068" spans="1:25" x14ac:dyDescent="0.25">
      <c r="A1068" s="827"/>
      <c r="B1068" s="1066">
        <v>818</v>
      </c>
      <c r="C1068" s="831">
        <v>1.0058067218983646</v>
      </c>
      <c r="D1068" s="831">
        <v>1.015698131686922</v>
      </c>
      <c r="E1068" s="831">
        <v>0.97954890749087797</v>
      </c>
      <c r="F1068" s="831">
        <v>0.97102657266447201</v>
      </c>
      <c r="G1068" s="831">
        <v>1.030522279911767</v>
      </c>
      <c r="H1068" s="831">
        <v>0.99243926871918287</v>
      </c>
      <c r="I1068" s="831">
        <v>0.97509103285514975</v>
      </c>
      <c r="K1068">
        <v>1.7206178997493746</v>
      </c>
      <c r="L1068">
        <v>0</v>
      </c>
      <c r="M1068">
        <v>1.4171831521299807E-3</v>
      </c>
      <c r="N1068">
        <v>0.13394415897911102</v>
      </c>
      <c r="O1068">
        <v>1.7608638766108371E-2</v>
      </c>
      <c r="P1068">
        <v>1.9434143412647924E-2</v>
      </c>
      <c r="Q1068">
        <v>2.0935152927053333E-3</v>
      </c>
      <c r="R1068">
        <v>1.4083781064267913E-3</v>
      </c>
      <c r="S1068">
        <v>0.14659652041795829</v>
      </c>
      <c r="T1068">
        <v>1.0731847485483248</v>
      </c>
      <c r="U1068">
        <v>2.3187882314292071E-2</v>
      </c>
      <c r="V1068">
        <v>0.20414482471476905</v>
      </c>
      <c r="W1068">
        <v>8.1200881845630402E-2</v>
      </c>
      <c r="X1068">
        <v>1.5398249569554757E-2</v>
      </c>
      <c r="Y1068">
        <v>3.8331409339757171E-3</v>
      </c>
    </row>
    <row r="1069" spans="1:25" x14ac:dyDescent="0.25">
      <c r="A1069" s="827"/>
      <c r="B1069" s="1066">
        <v>819</v>
      </c>
      <c r="C1069" s="831">
        <v>0.99608633029529414</v>
      </c>
      <c r="D1069" s="831">
        <v>1.0161089297192907</v>
      </c>
      <c r="E1069" s="831">
        <v>1.0164108084191472</v>
      </c>
      <c r="F1069" s="831">
        <v>1.0183876819941056</v>
      </c>
      <c r="G1069" s="831">
        <v>1.0165677672286331</v>
      </c>
      <c r="H1069" s="831">
        <v>0.99632535102416908</v>
      </c>
      <c r="I1069" s="831">
        <v>1.0024046187121753</v>
      </c>
      <c r="K1069">
        <v>1.7355799328062342</v>
      </c>
      <c r="L1069">
        <v>0</v>
      </c>
      <c r="M1069">
        <v>1.3291032065076583E-3</v>
      </c>
      <c r="N1069">
        <v>0.1408899519325032</v>
      </c>
      <c r="O1069">
        <v>1.7777223726213567E-2</v>
      </c>
      <c r="P1069">
        <v>2.002947383804551E-2</v>
      </c>
      <c r="Q1069">
        <v>2.1935059839791097E-3</v>
      </c>
      <c r="R1069">
        <v>1.3208773470334261E-3</v>
      </c>
      <c r="S1069">
        <v>0.15242675839635253</v>
      </c>
      <c r="T1069">
        <v>1.0699108943321824</v>
      </c>
      <c r="U1069">
        <v>2.3414163199477998E-2</v>
      </c>
      <c r="V1069">
        <v>0.20514000908354896</v>
      </c>
      <c r="W1069">
        <v>8.3281231435877304E-2</v>
      </c>
      <c r="X1069">
        <v>1.6929954026003443E-2</v>
      </c>
      <c r="Y1069">
        <v>3.5949927115245606E-3</v>
      </c>
    </row>
    <row r="1070" spans="1:25" x14ac:dyDescent="0.25">
      <c r="A1070" s="827"/>
      <c r="B1070" s="1066">
        <v>820</v>
      </c>
      <c r="C1070" s="831">
        <v>0.98309576976379176</v>
      </c>
      <c r="D1070" s="831">
        <v>1.0142800352725136</v>
      </c>
      <c r="E1070" s="831">
        <v>1.0298024503067014</v>
      </c>
      <c r="F1070" s="831">
        <v>1.0016527857148652</v>
      </c>
      <c r="G1070" s="831">
        <v>0.97846704821428898</v>
      </c>
      <c r="H1070" s="831">
        <v>1.0087291096213296</v>
      </c>
      <c r="I1070" s="831">
        <v>1.0024321859723131</v>
      </c>
      <c r="K1070">
        <v>1.748943276770732</v>
      </c>
      <c r="L1070">
        <v>0</v>
      </c>
      <c r="M1070">
        <v>1.3264642943674959E-3</v>
      </c>
      <c r="N1070">
        <v>0.1465931138727464</v>
      </c>
      <c r="O1070">
        <v>1.802680905315408E-2</v>
      </c>
      <c r="P1070">
        <v>2.0278754175471876E-2</v>
      </c>
      <c r="Q1070">
        <v>2.2537312435947708E-3</v>
      </c>
      <c r="R1070">
        <v>1.3183568954671569E-3</v>
      </c>
      <c r="S1070">
        <v>0.15546263333865634</v>
      </c>
      <c r="T1070">
        <v>1.0687342486869555</v>
      </c>
      <c r="U1070">
        <v>2.3723556356983293E-2</v>
      </c>
      <c r="V1070">
        <v>0.20671316828534023</v>
      </c>
      <c r="W1070">
        <v>8.5874588081521097E-2</v>
      </c>
      <c r="X1070">
        <v>1.7702648201981256E-2</v>
      </c>
      <c r="Y1070">
        <v>3.5881328732278112E-3</v>
      </c>
    </row>
    <row r="1071" spans="1:25" x14ac:dyDescent="0.25">
      <c r="A1071" s="827"/>
      <c r="B1071" s="1066">
        <v>821</v>
      </c>
      <c r="C1071" s="831">
        <v>0.98296000506603753</v>
      </c>
      <c r="D1071" s="831">
        <v>1.0179056171603527</v>
      </c>
      <c r="E1071" s="831">
        <v>0.98701117375420677</v>
      </c>
      <c r="F1071" s="831">
        <v>1.0293433986148086</v>
      </c>
      <c r="G1071" s="831">
        <v>0.97979370368317908</v>
      </c>
      <c r="H1071" s="831">
        <v>0.97029832875528954</v>
      </c>
      <c r="I1071" s="831">
        <v>1.0003764458921436</v>
      </c>
      <c r="K1071">
        <v>1.7303616459001052</v>
      </c>
      <c r="L1071">
        <v>0</v>
      </c>
      <c r="M1071">
        <v>1.3943543086636914E-3</v>
      </c>
      <c r="N1071">
        <v>0.134866333741779</v>
      </c>
      <c r="O1071">
        <v>1.800023706831861E-2</v>
      </c>
      <c r="P1071">
        <v>1.9648176388874446E-2</v>
      </c>
      <c r="Q1071">
        <v>2.1567169333743946E-3</v>
      </c>
      <c r="R1071">
        <v>1.3854918633673049E-3</v>
      </c>
      <c r="S1071">
        <v>0.15215063643729329</v>
      </c>
      <c r="T1071">
        <v>1.0725178595129561</v>
      </c>
      <c r="U1071">
        <v>2.372683301263746E-2</v>
      </c>
      <c r="V1071">
        <v>0.20640123134741151</v>
      </c>
      <c r="W1071">
        <v>8.1338640713682381E-2</v>
      </c>
      <c r="X1071">
        <v>1.5792991064260176E-2</v>
      </c>
      <c r="Y1071">
        <v>3.7708521248157934E-3</v>
      </c>
    </row>
    <row r="1072" spans="1:25" x14ac:dyDescent="0.25">
      <c r="A1072" s="827"/>
      <c r="B1072" s="1066">
        <v>822</v>
      </c>
      <c r="C1072" s="831">
        <v>1.0474601634718135</v>
      </c>
      <c r="D1072" s="831">
        <v>0.99949974237732297</v>
      </c>
      <c r="E1072" s="831">
        <v>0.98692698444258431</v>
      </c>
      <c r="F1072" s="831">
        <v>1.0357629177020464</v>
      </c>
      <c r="G1072" s="831">
        <v>1.002685664127555</v>
      </c>
      <c r="H1072" s="831">
        <v>1.0142432164175115</v>
      </c>
      <c r="I1072" s="831">
        <v>1.0269292371536942</v>
      </c>
      <c r="K1072">
        <v>1.7186230425665332</v>
      </c>
      <c r="L1072">
        <v>0</v>
      </c>
      <c r="M1072">
        <v>1.3793268449073155E-3</v>
      </c>
      <c r="N1072">
        <v>0.13341602987590861</v>
      </c>
      <c r="O1072">
        <v>1.7031879850865139E-2</v>
      </c>
      <c r="P1072">
        <v>1.9540418572144957E-2</v>
      </c>
      <c r="Q1072">
        <v>2.0374822877447965E-3</v>
      </c>
      <c r="R1072">
        <v>1.3709521668125646E-3</v>
      </c>
      <c r="S1072">
        <v>0.15077693911376652</v>
      </c>
      <c r="T1072">
        <v>1.0725253716748966</v>
      </c>
      <c r="U1072">
        <v>2.2265789871187575E-2</v>
      </c>
      <c r="V1072">
        <v>0.20134759263688032</v>
      </c>
      <c r="W1072">
        <v>8.0468632103707347E-2</v>
      </c>
      <c r="X1072">
        <v>1.5490001393721914E-2</v>
      </c>
      <c r="Y1072">
        <v>3.731279863803472E-3</v>
      </c>
    </row>
    <row r="1073" spans="1:25" x14ac:dyDescent="0.25">
      <c r="A1073" s="827"/>
      <c r="B1073" s="1066">
        <v>823</v>
      </c>
      <c r="C1073" s="831">
        <v>1.0165219869992295</v>
      </c>
      <c r="D1073" s="831">
        <v>1.0010333460808742</v>
      </c>
      <c r="E1073" s="831">
        <v>0.98847524363676054</v>
      </c>
      <c r="F1073" s="831">
        <v>0.98196308571562996</v>
      </c>
      <c r="G1073" s="831">
        <v>1.0022613678413905</v>
      </c>
      <c r="H1073" s="831">
        <v>1.0275396369833556</v>
      </c>
      <c r="I1073" s="831">
        <v>1.0047127098745874</v>
      </c>
      <c r="K1073">
        <v>1.7349790578775885</v>
      </c>
      <c r="L1073">
        <v>0</v>
      </c>
      <c r="M1073">
        <v>1.4342663894054929E-3</v>
      </c>
      <c r="N1073">
        <v>0.13941145716892378</v>
      </c>
      <c r="O1073">
        <v>1.75380668937745E-2</v>
      </c>
      <c r="P1073">
        <v>1.9639073246857028E-2</v>
      </c>
      <c r="Q1073">
        <v>2.1015903268868379E-3</v>
      </c>
      <c r="R1073">
        <v>1.4256697537354272E-3</v>
      </c>
      <c r="S1073">
        <v>0.15285090730659714</v>
      </c>
      <c r="T1073">
        <v>1.0723872640942562</v>
      </c>
      <c r="U1073">
        <v>2.2943456409783385E-2</v>
      </c>
      <c r="V1073">
        <v>0.20433687766483227</v>
      </c>
      <c r="W1073">
        <v>8.3994918595620346E-2</v>
      </c>
      <c r="X1073">
        <v>1.5903839707965689E-2</v>
      </c>
      <c r="Y1073">
        <v>3.8802030977598224E-3</v>
      </c>
    </row>
    <row r="1074" spans="1:25" x14ac:dyDescent="0.25">
      <c r="A1074" s="827"/>
      <c r="B1074" s="1066">
        <v>824</v>
      </c>
      <c r="C1074" s="831">
        <v>0.98903689239254522</v>
      </c>
      <c r="D1074" s="831">
        <v>1.0268574761429623</v>
      </c>
      <c r="E1074" s="831">
        <v>0.99661877303969115</v>
      </c>
      <c r="F1074" s="831">
        <v>0.97665764368318098</v>
      </c>
      <c r="G1074" s="831">
        <v>0.99163768087530979</v>
      </c>
      <c r="H1074" s="831">
        <v>0.9785402307137181</v>
      </c>
      <c r="I1074" s="831">
        <v>0.981489722471654</v>
      </c>
      <c r="K1074">
        <v>1.7254507424330159</v>
      </c>
      <c r="L1074">
        <v>0</v>
      </c>
      <c r="M1074">
        <v>1.364199666737853E-3</v>
      </c>
      <c r="N1074">
        <v>0.13596241649519453</v>
      </c>
      <c r="O1074">
        <v>1.7819010387293499E-2</v>
      </c>
      <c r="P1074">
        <v>1.9706090470325014E-2</v>
      </c>
      <c r="Q1074">
        <v>2.157345875377711E-3</v>
      </c>
      <c r="R1074">
        <v>1.3555958505005621E-3</v>
      </c>
      <c r="S1074">
        <v>0.1484047943589791</v>
      </c>
      <c r="T1074">
        <v>1.0716623327170143</v>
      </c>
      <c r="U1074">
        <v>2.358104948126297E-2</v>
      </c>
      <c r="V1074">
        <v>0.20493892921488535</v>
      </c>
      <c r="W1074">
        <v>8.1459329229124994E-2</v>
      </c>
      <c r="X1074">
        <v>1.6078562986785182E-2</v>
      </c>
      <c r="Y1074">
        <v>3.689485033010512E-3</v>
      </c>
    </row>
    <row r="1075" spans="1:25" x14ac:dyDescent="0.25">
      <c r="A1075" s="827"/>
      <c r="B1075" s="1066">
        <v>825</v>
      </c>
      <c r="C1075" s="831">
        <v>1.0183345091584082</v>
      </c>
      <c r="D1075" s="831">
        <v>1.0109683512223677</v>
      </c>
      <c r="E1075" s="831">
        <v>0.97708612868474198</v>
      </c>
      <c r="F1075" s="831">
        <v>0.99479056542115696</v>
      </c>
      <c r="G1075" s="831">
        <v>1.0023094373359076</v>
      </c>
      <c r="H1075" s="831">
        <v>0.99058420423006577</v>
      </c>
      <c r="I1075" s="831">
        <v>0.98855761803604936</v>
      </c>
      <c r="K1075">
        <v>1.7165563859256809</v>
      </c>
      <c r="L1075">
        <v>0</v>
      </c>
      <c r="M1075">
        <v>1.4073368089479309E-3</v>
      </c>
      <c r="N1075">
        <v>0.13199542540691458</v>
      </c>
      <c r="O1075">
        <v>1.7428765620788694E-2</v>
      </c>
      <c r="P1075">
        <v>1.9389713158615325E-2</v>
      </c>
      <c r="Q1075">
        <v>2.0661595500409582E-3</v>
      </c>
      <c r="R1075">
        <v>1.3985798716543679E-3</v>
      </c>
      <c r="S1075">
        <v>0.14694828756325859</v>
      </c>
      <c r="T1075">
        <v>1.0734053019153065</v>
      </c>
      <c r="U1075">
        <v>2.2902619609324507E-2</v>
      </c>
      <c r="V1075">
        <v>0.20325883520607069</v>
      </c>
      <c r="W1075">
        <v>8.0156526402771752E-2</v>
      </c>
      <c r="X1075">
        <v>1.5207035060968559E-2</v>
      </c>
      <c r="Y1075">
        <v>3.8064733689124066E-3</v>
      </c>
    </row>
    <row r="1076" spans="1:25" x14ac:dyDescent="0.25">
      <c r="A1076" s="827"/>
      <c r="B1076" s="1066">
        <v>826</v>
      </c>
      <c r="C1076" s="831">
        <v>1.0208662305952332</v>
      </c>
      <c r="D1076" s="831">
        <v>0.96485769758098661</v>
      </c>
      <c r="E1076" s="831">
        <v>1.0185417019567327</v>
      </c>
      <c r="F1076" s="831">
        <v>0.99542465994771046</v>
      </c>
      <c r="G1076" s="831">
        <v>0.99120449837295121</v>
      </c>
      <c r="H1076" s="831">
        <v>1.0263771786038864</v>
      </c>
      <c r="I1076" s="831">
        <v>1.0071273705332444</v>
      </c>
      <c r="K1076">
        <v>1.7466947897014364</v>
      </c>
      <c r="L1076">
        <v>0</v>
      </c>
      <c r="M1076">
        <v>1.3615085850297308E-3</v>
      </c>
      <c r="N1076">
        <v>0.14531397869923293</v>
      </c>
      <c r="O1076">
        <v>1.7757643054944511E-2</v>
      </c>
      <c r="P1076">
        <v>2.0113153543423381E-2</v>
      </c>
      <c r="Q1076">
        <v>2.1863981542876629E-3</v>
      </c>
      <c r="R1076">
        <v>1.3533634872022909E-3</v>
      </c>
      <c r="S1076">
        <v>0.15483941656915326</v>
      </c>
      <c r="T1076">
        <v>1.069723210505763</v>
      </c>
      <c r="U1076">
        <v>2.2845821714275544E-2</v>
      </c>
      <c r="V1076">
        <v>0.20726282002562949</v>
      </c>
      <c r="W1076">
        <v>8.5772674463202761E-2</v>
      </c>
      <c r="X1076">
        <v>1.720440879333851E-2</v>
      </c>
      <c r="Y1076">
        <v>3.6834092760109822E-3</v>
      </c>
    </row>
    <row r="1077" spans="1:25" x14ac:dyDescent="0.25">
      <c r="A1077" s="827"/>
      <c r="B1077" s="1066">
        <v>827</v>
      </c>
      <c r="C1077" s="831">
        <v>0.97190309721310031</v>
      </c>
      <c r="D1077" s="831">
        <v>0.98464715576020889</v>
      </c>
      <c r="E1077" s="831">
        <v>1.0075303487851293</v>
      </c>
      <c r="F1077" s="831">
        <v>1.0272332104707365</v>
      </c>
      <c r="G1077" s="831">
        <v>0.98434091807991875</v>
      </c>
      <c r="H1077" s="831">
        <v>0.98749204065930118</v>
      </c>
      <c r="I1077" s="831">
        <v>0.99861457756180105</v>
      </c>
      <c r="K1077">
        <v>1.7534400067913649</v>
      </c>
      <c r="L1077">
        <v>0</v>
      </c>
      <c r="M1077">
        <v>1.3953474157282284E-3</v>
      </c>
      <c r="N1077">
        <v>0.14387931317220723</v>
      </c>
      <c r="O1077">
        <v>1.848098495170046E-2</v>
      </c>
      <c r="P1077">
        <v>2.0057497546311448E-2</v>
      </c>
      <c r="Q1077">
        <v>2.2543911423064957E-3</v>
      </c>
      <c r="R1077">
        <v>1.3866566141959127E-3</v>
      </c>
      <c r="S1077">
        <v>0.15701782566938047</v>
      </c>
      <c r="T1077">
        <v>1.0706949135647112</v>
      </c>
      <c r="U1077">
        <v>2.3996762604399299E-2</v>
      </c>
      <c r="V1077">
        <v>0.21076283792786213</v>
      </c>
      <c r="W1077">
        <v>8.5562306964177895E-2</v>
      </c>
      <c r="X1077">
        <v>1.6967841857228983E-2</v>
      </c>
      <c r="Y1077">
        <v>3.7740221926112565E-3</v>
      </c>
    </row>
    <row r="1078" spans="1:25" x14ac:dyDescent="0.25">
      <c r="A1078" s="827"/>
      <c r="B1078" s="1066">
        <v>828</v>
      </c>
      <c r="C1078" s="831">
        <v>0.97667586953393382</v>
      </c>
      <c r="D1078" s="831">
        <v>1.0379941885035577</v>
      </c>
      <c r="E1078" s="831">
        <v>0.98799579545455551</v>
      </c>
      <c r="F1078" s="831">
        <v>1.0244194028914129</v>
      </c>
      <c r="G1078" s="831">
        <v>1.0085511590697325</v>
      </c>
      <c r="H1078" s="831">
        <v>0.98683470830600017</v>
      </c>
      <c r="I1078" s="831">
        <v>1.0041813281962988</v>
      </c>
      <c r="K1078">
        <v>1.7343250682412288</v>
      </c>
      <c r="L1078">
        <v>0</v>
      </c>
      <c r="M1078">
        <v>1.4117929842233827E-3</v>
      </c>
      <c r="N1078">
        <v>0.13698571501482062</v>
      </c>
      <c r="O1078">
        <v>1.7956906083507879E-2</v>
      </c>
      <c r="P1078">
        <v>1.9669399966047621E-2</v>
      </c>
      <c r="Q1078">
        <v>2.1570731515974718E-3</v>
      </c>
      <c r="R1078">
        <v>1.4029562112044484E-3</v>
      </c>
      <c r="S1078">
        <v>0.1536756474091433</v>
      </c>
      <c r="T1078">
        <v>1.0724300221128229</v>
      </c>
      <c r="U1078">
        <v>2.3879496387509438E-2</v>
      </c>
      <c r="V1078">
        <v>0.20530050682026876</v>
      </c>
      <c r="W1078">
        <v>8.2560721343307011E-2</v>
      </c>
      <c r="X1078">
        <v>1.590003240271335E-2</v>
      </c>
      <c r="Y1078">
        <v>3.8183843225077807E-3</v>
      </c>
    </row>
    <row r="1079" spans="1:25" x14ac:dyDescent="0.25">
      <c r="A1079" s="827"/>
      <c r="B1079" s="1066">
        <v>829</v>
      </c>
      <c r="C1079" s="831">
        <v>1.038296965108785</v>
      </c>
      <c r="D1079" s="831">
        <v>0.98359815287970409</v>
      </c>
      <c r="E1079" s="831">
        <v>0.99428823225587981</v>
      </c>
      <c r="F1079" s="831">
        <v>0.99543456031740463</v>
      </c>
      <c r="G1079" s="831">
        <v>0.99605648699292049</v>
      </c>
      <c r="H1079" s="831">
        <v>0.96776408563154637</v>
      </c>
      <c r="I1079" s="831">
        <v>1.0146629623461187</v>
      </c>
      <c r="K1079">
        <v>1.7127436788905521</v>
      </c>
      <c r="L1079">
        <v>0</v>
      </c>
      <c r="M1079">
        <v>1.3168682761530914E-3</v>
      </c>
      <c r="N1079">
        <v>0.13029038393947806</v>
      </c>
      <c r="O1079">
        <v>1.730758929547763E-2</v>
      </c>
      <c r="P1079">
        <v>1.9636970264182034E-2</v>
      </c>
      <c r="Q1079">
        <v>2.0831694175271844E-3</v>
      </c>
      <c r="R1079">
        <v>1.3084998096435268E-3</v>
      </c>
      <c r="S1079">
        <v>0.14801116289539834</v>
      </c>
      <c r="T1079">
        <v>1.0718695405592211</v>
      </c>
      <c r="U1079">
        <v>2.246229034856095E-2</v>
      </c>
      <c r="V1079">
        <v>0.2036883100030909</v>
      </c>
      <c r="W1079">
        <v>7.8186013568094723E-2</v>
      </c>
      <c r="X1079">
        <v>1.5655311931025259E-2</v>
      </c>
      <c r="Y1079">
        <v>3.5613051350033582E-3</v>
      </c>
    </row>
    <row r="1080" spans="1:25" x14ac:dyDescent="0.25">
      <c r="A1080" s="827"/>
      <c r="B1080" s="1066">
        <v>830</v>
      </c>
      <c r="C1080" s="831">
        <v>1.0280878186190336</v>
      </c>
      <c r="D1080" s="831">
        <v>1.000118799434172</v>
      </c>
      <c r="E1080" s="831">
        <v>1.0105364755108843</v>
      </c>
      <c r="F1080" s="831">
        <v>1.0045219306245303</v>
      </c>
      <c r="G1080" s="831">
        <v>0.98288360386042783</v>
      </c>
      <c r="H1080" s="831">
        <v>1.0262037805017552</v>
      </c>
      <c r="I1080" s="831">
        <v>1.0245337162224024</v>
      </c>
      <c r="K1080">
        <v>1.734489817009504</v>
      </c>
      <c r="L1080">
        <v>0</v>
      </c>
      <c r="M1080">
        <v>1.3525569084229961E-3</v>
      </c>
      <c r="N1080">
        <v>0.14080881820712382</v>
      </c>
      <c r="O1080">
        <v>1.7347946713210782E-2</v>
      </c>
      <c r="P1080">
        <v>1.9936381488144334E-2</v>
      </c>
      <c r="Q1080">
        <v>2.1252758435061766E-3</v>
      </c>
      <c r="R1080">
        <v>1.3444400701722104E-3</v>
      </c>
      <c r="S1080">
        <v>0.15407587674085493</v>
      </c>
      <c r="T1080">
        <v>1.0704291810159308</v>
      </c>
      <c r="U1080">
        <v>2.2685346014147779E-2</v>
      </c>
      <c r="V1080">
        <v>0.20322778123361876</v>
      </c>
      <c r="W1080">
        <v>8.3565359528679495E-2</v>
      </c>
      <c r="X1080">
        <v>1.6636844386078653E-2</v>
      </c>
      <c r="Y1080">
        <v>3.6591226764587353E-3</v>
      </c>
    </row>
    <row r="1081" spans="1:25" x14ac:dyDescent="0.25">
      <c r="A1081" s="827"/>
      <c r="B1081" s="1066">
        <v>831</v>
      </c>
      <c r="C1081" s="831">
        <v>1.0096555373525491</v>
      </c>
      <c r="D1081" s="831">
        <v>0.97873111397127366</v>
      </c>
      <c r="E1081" s="831">
        <v>0.99475696115725398</v>
      </c>
      <c r="F1081" s="831">
        <v>1.0445422118964913</v>
      </c>
      <c r="G1081" s="831">
        <v>0.99087127991556867</v>
      </c>
      <c r="H1081" s="831">
        <v>1.0007527190594672</v>
      </c>
      <c r="I1081" s="831">
        <v>0.98415836774169851</v>
      </c>
      <c r="K1081">
        <v>1.7343067096029934</v>
      </c>
      <c r="L1081">
        <v>0</v>
      </c>
      <c r="M1081">
        <v>1.4021567236281083E-3</v>
      </c>
      <c r="N1081">
        <v>0.13896096002353894</v>
      </c>
      <c r="O1081">
        <v>1.7838689892516767E-2</v>
      </c>
      <c r="P1081">
        <v>1.9729478968407408E-2</v>
      </c>
      <c r="Q1081">
        <v>2.1472263226007724E-3</v>
      </c>
      <c r="R1081">
        <v>1.3935435036497225E-3</v>
      </c>
      <c r="S1081">
        <v>0.15026941641637162</v>
      </c>
      <c r="T1081">
        <v>1.0718278495282489</v>
      </c>
      <c r="U1081">
        <v>2.3099489910646094E-2</v>
      </c>
      <c r="V1081">
        <v>0.20713145629466317</v>
      </c>
      <c r="W1081">
        <v>8.3362300268090619E-2</v>
      </c>
      <c r="X1081">
        <v>1.6155689162445641E-2</v>
      </c>
      <c r="Y1081">
        <v>3.792766035442029E-3</v>
      </c>
    </row>
    <row r="1082" spans="1:25" x14ac:dyDescent="0.25">
      <c r="A1082" s="827"/>
      <c r="B1082" s="1066">
        <v>832</v>
      </c>
      <c r="C1082" s="831">
        <v>0.96716128564186554</v>
      </c>
      <c r="D1082" s="831">
        <v>0.99355400813894612</v>
      </c>
      <c r="E1082" s="831">
        <v>1.029006636103083</v>
      </c>
      <c r="F1082" s="831">
        <v>1.0309064299617747</v>
      </c>
      <c r="G1082" s="831">
        <v>0.99419091029844964</v>
      </c>
      <c r="H1082" s="831">
        <v>0.99376718166934463</v>
      </c>
      <c r="I1082" s="831">
        <v>0.99777899702481232</v>
      </c>
      <c r="K1082">
        <v>1.7583771652481008</v>
      </c>
      <c r="L1082">
        <v>0</v>
      </c>
      <c r="M1082">
        <v>1.3430394929307586E-3</v>
      </c>
      <c r="N1082">
        <v>0.14804652101320201</v>
      </c>
      <c r="O1082">
        <v>1.8495897228683923E-2</v>
      </c>
      <c r="P1082">
        <v>2.0354432843884624E-2</v>
      </c>
      <c r="Q1082">
        <v>2.3066587722559424E-3</v>
      </c>
      <c r="R1082">
        <v>1.3347211716946104E-3</v>
      </c>
      <c r="S1082">
        <v>0.15753297549836237</v>
      </c>
      <c r="T1082">
        <v>1.0688039822363409</v>
      </c>
      <c r="U1082">
        <v>2.4114414260104456E-2</v>
      </c>
      <c r="V1082">
        <v>0.21045164072924316</v>
      </c>
      <c r="W1082">
        <v>8.6772278688030641E-2</v>
      </c>
      <c r="X1082">
        <v>1.7874011260592383E-2</v>
      </c>
      <c r="Y1082">
        <v>3.6326710386367297E-3</v>
      </c>
    </row>
    <row r="1083" spans="1:25" x14ac:dyDescent="0.25">
      <c r="A1083" s="827"/>
      <c r="B1083" s="1066">
        <v>833</v>
      </c>
      <c r="C1083" s="831">
        <v>0.96439587062194687</v>
      </c>
      <c r="D1083" s="831">
        <v>1.0064085428637746</v>
      </c>
      <c r="E1083" s="831">
        <v>1.0288960302285401</v>
      </c>
      <c r="F1083" s="831">
        <v>1.0098562910296427</v>
      </c>
      <c r="G1083" s="831">
        <v>1.0333336769256234</v>
      </c>
      <c r="H1083" s="831">
        <v>1.0111183364009739</v>
      </c>
      <c r="I1083" s="831">
        <v>0.98321951606440927</v>
      </c>
      <c r="K1083">
        <v>1.759569217536658</v>
      </c>
      <c r="L1083">
        <v>0</v>
      </c>
      <c r="M1083">
        <v>1.3627784695344459E-3</v>
      </c>
      <c r="N1083">
        <v>0.15018592003437306</v>
      </c>
      <c r="O1083">
        <v>1.844124022380747E-2</v>
      </c>
      <c r="P1083">
        <v>2.0321547682558252E-2</v>
      </c>
      <c r="Q1083">
        <v>2.3020152894444087E-3</v>
      </c>
      <c r="R1083">
        <v>1.3544740427152804E-3</v>
      </c>
      <c r="S1083">
        <v>0.15611722905859343</v>
      </c>
      <c r="T1083">
        <v>1.0688136760235629</v>
      </c>
      <c r="U1083">
        <v>2.4183562589564271E-2</v>
      </c>
      <c r="V1083">
        <v>0.20954714101485905</v>
      </c>
      <c r="W1083">
        <v>8.8032741802607992E-2</v>
      </c>
      <c r="X1083">
        <v>1.7946016402082762E-2</v>
      </c>
      <c r="Y1083">
        <v>3.6864318420228117E-3</v>
      </c>
    </row>
    <row r="1084" spans="1:25" x14ac:dyDescent="0.25">
      <c r="A1084" s="827"/>
      <c r="B1084" s="1066">
        <v>834</v>
      </c>
      <c r="C1084" s="831">
        <v>0.99661087696074824</v>
      </c>
      <c r="D1084" s="831">
        <v>0.9608438898288385</v>
      </c>
      <c r="E1084" s="831">
        <v>0.99514288027495978</v>
      </c>
      <c r="F1084" s="831">
        <v>1.0418547456037879</v>
      </c>
      <c r="G1084" s="831">
        <v>1.0329458906449815</v>
      </c>
      <c r="H1084" s="831">
        <v>0.98878526052345483</v>
      </c>
      <c r="I1084" s="831">
        <v>1.0221074712547105</v>
      </c>
      <c r="K1084">
        <v>1.7488771195460744</v>
      </c>
      <c r="L1084">
        <v>0</v>
      </c>
      <c r="M1084">
        <v>1.4141787647966267E-3</v>
      </c>
      <c r="N1084">
        <v>0.14031168524783524</v>
      </c>
      <c r="O1084">
        <v>1.8224360014775697E-2</v>
      </c>
      <c r="P1084">
        <v>1.9892985556533092E-2</v>
      </c>
      <c r="Q1084">
        <v>2.1911325894510975E-3</v>
      </c>
      <c r="R1084">
        <v>1.4053999729901057E-3</v>
      </c>
      <c r="S1084">
        <v>0.15842916468262871</v>
      </c>
      <c r="T1084">
        <v>1.0717935302202171</v>
      </c>
      <c r="U1084">
        <v>2.3401839612093394E-2</v>
      </c>
      <c r="V1084">
        <v>0.21030769162744301</v>
      </c>
      <c r="W1084">
        <v>8.415029426878573E-2</v>
      </c>
      <c r="X1084">
        <v>1.635817908161466E-2</v>
      </c>
      <c r="Y1084">
        <v>3.8250354365024831E-3</v>
      </c>
    </row>
    <row r="1085" spans="1:25" x14ac:dyDescent="0.25">
      <c r="A1085" s="827"/>
      <c r="B1085" s="1066">
        <v>835</v>
      </c>
      <c r="C1085" s="831">
        <v>1.0151058811261047</v>
      </c>
      <c r="D1085" s="831">
        <v>0.98287039115964014</v>
      </c>
      <c r="E1085" s="831">
        <v>1.0321106890788769</v>
      </c>
      <c r="F1085" s="831">
        <v>0.97349869243141329</v>
      </c>
      <c r="G1085" s="831">
        <v>1.0054364974263656</v>
      </c>
      <c r="H1085" s="831">
        <v>0.97736151060109699</v>
      </c>
      <c r="I1085" s="831">
        <v>0.95830821525503107</v>
      </c>
      <c r="K1085">
        <v>1.7237242126013417</v>
      </c>
      <c r="L1085">
        <v>0</v>
      </c>
      <c r="M1085">
        <v>1.256383398493053E-3</v>
      </c>
      <c r="N1085">
        <v>0.13982123963333012</v>
      </c>
      <c r="O1085">
        <v>1.7708946230400285E-2</v>
      </c>
      <c r="P1085">
        <v>2.0127170184849018E-2</v>
      </c>
      <c r="Q1085">
        <v>2.2133280057137004E-3</v>
      </c>
      <c r="R1085">
        <v>1.2484781854094447E-3</v>
      </c>
      <c r="S1085">
        <v>0.14368372094719142</v>
      </c>
      <c r="T1085">
        <v>1.0685321242314394</v>
      </c>
      <c r="U1085">
        <v>2.2975463281160773E-2</v>
      </c>
      <c r="V1085">
        <v>0.20616008980462852</v>
      </c>
      <c r="W1085">
        <v>8.1781096395994388E-2</v>
      </c>
      <c r="X1085">
        <v>1.7330993039756271E-2</v>
      </c>
      <c r="Y1085">
        <v>3.397946059961297E-3</v>
      </c>
    </row>
    <row r="1086" spans="1:25" x14ac:dyDescent="0.25">
      <c r="A1086" s="827"/>
      <c r="B1086" s="1066">
        <v>836</v>
      </c>
      <c r="C1086" s="831">
        <v>0.98641495086239461</v>
      </c>
      <c r="D1086" s="831">
        <v>0.99730121882366074</v>
      </c>
      <c r="E1086" s="831">
        <v>0.98661029206379858</v>
      </c>
      <c r="F1086" s="831">
        <v>0.97878460080083174</v>
      </c>
      <c r="G1086" s="831">
        <v>0.98215527224566923</v>
      </c>
      <c r="H1086" s="831">
        <v>0.98945325055794286</v>
      </c>
      <c r="I1086" s="831">
        <v>0.99450970718246667</v>
      </c>
      <c r="K1086">
        <v>1.7389676054043184</v>
      </c>
      <c r="L1086">
        <v>0</v>
      </c>
      <c r="M1086">
        <v>1.4312650223162321E-3</v>
      </c>
      <c r="N1086">
        <v>0.13828229630497832</v>
      </c>
      <c r="O1086">
        <v>1.8103965874852548E-2</v>
      </c>
      <c r="P1086">
        <v>1.9678893728656055E-2</v>
      </c>
      <c r="Q1086">
        <v>2.1646478359772033E-3</v>
      </c>
      <c r="R1086">
        <v>1.4223588755592482E-3</v>
      </c>
      <c r="S1086">
        <v>0.15339893711356622</v>
      </c>
      <c r="T1086">
        <v>1.0725536323355433</v>
      </c>
      <c r="U1086">
        <v>2.3643729120197268E-2</v>
      </c>
      <c r="V1086">
        <v>0.20791388962069504</v>
      </c>
      <c r="W1086">
        <v>8.3421918360874273E-2</v>
      </c>
      <c r="X1086">
        <v>1.5943409276941194E-2</v>
      </c>
      <c r="Y1086">
        <v>3.8711919787949591E-3</v>
      </c>
    </row>
    <row r="1087" spans="1:25" x14ac:dyDescent="0.25">
      <c r="A1087" s="827"/>
      <c r="B1087" s="1066">
        <v>837</v>
      </c>
      <c r="C1087" s="831">
        <v>0.99732020786972997</v>
      </c>
      <c r="D1087" s="831">
        <v>0.99164432843353989</v>
      </c>
      <c r="E1087" s="831">
        <v>1.0206528525220129</v>
      </c>
      <c r="F1087" s="831">
        <v>1.0004742828731432</v>
      </c>
      <c r="G1087" s="831">
        <v>1.0037125102547941</v>
      </c>
      <c r="H1087" s="831">
        <v>0.9959473118802088</v>
      </c>
      <c r="I1087" s="831">
        <v>1.0017156812240813</v>
      </c>
      <c r="K1087">
        <v>1.7419303020844872</v>
      </c>
      <c r="L1087">
        <v>0</v>
      </c>
      <c r="M1087">
        <v>1.3296960188339424E-3</v>
      </c>
      <c r="N1087">
        <v>0.14282418168160618</v>
      </c>
      <c r="O1087">
        <v>1.7952233731626258E-2</v>
      </c>
      <c r="P1087">
        <v>2.0132584902652496E-2</v>
      </c>
      <c r="Q1087">
        <v>2.2200384132297899E-3</v>
      </c>
      <c r="R1087">
        <v>1.3214796633668644E-3</v>
      </c>
      <c r="S1087">
        <v>0.15365234695893018</v>
      </c>
      <c r="T1087">
        <v>1.0695374351789961</v>
      </c>
      <c r="U1087">
        <v>2.3385195360795866E-2</v>
      </c>
      <c r="V1087">
        <v>0.20724943796428083</v>
      </c>
      <c r="W1087">
        <v>8.4183010282704668E-2</v>
      </c>
      <c r="X1087">
        <v>1.7205421947100147E-2</v>
      </c>
      <c r="Y1087">
        <v>3.596632018030654E-3</v>
      </c>
    </row>
    <row r="1088" spans="1:25" x14ac:dyDescent="0.25">
      <c r="A1088" s="827"/>
      <c r="B1088" s="1066">
        <v>838</v>
      </c>
      <c r="C1088" s="831">
        <v>1.0073006420209938</v>
      </c>
      <c r="D1088" s="831">
        <v>1.0088289933839443</v>
      </c>
      <c r="E1088" s="831">
        <v>0.98377144142253903</v>
      </c>
      <c r="F1088" s="831">
        <v>0.97441133733677321</v>
      </c>
      <c r="G1088" s="831">
        <v>1.0153011695519798</v>
      </c>
      <c r="H1088" s="831">
        <v>0.98545045245362461</v>
      </c>
      <c r="I1088" s="831">
        <v>1.0069357439463487</v>
      </c>
      <c r="K1088">
        <v>1.7249111108543853</v>
      </c>
      <c r="L1088">
        <v>0</v>
      </c>
      <c r="M1088">
        <v>1.3969889874002434E-3</v>
      </c>
      <c r="N1088">
        <v>0.13377840558643236</v>
      </c>
      <c r="O1088">
        <v>1.7636574094497367E-2</v>
      </c>
      <c r="P1088">
        <v>1.955762104908523E-2</v>
      </c>
      <c r="Q1088">
        <v>2.1046831983472809E-3</v>
      </c>
      <c r="R1088">
        <v>1.3882526535437692E-3</v>
      </c>
      <c r="S1088">
        <v>0.15108575395554694</v>
      </c>
      <c r="T1088">
        <v>1.0728071312257847</v>
      </c>
      <c r="U1088">
        <v>2.3153492537749287E-2</v>
      </c>
      <c r="V1088">
        <v>0.20459985343727116</v>
      </c>
      <c r="W1088">
        <v>8.0863398716786078E-2</v>
      </c>
      <c r="X1088">
        <v>1.5554567301160917E-2</v>
      </c>
      <c r="Y1088">
        <v>3.7783660855818932E-3</v>
      </c>
    </row>
    <row r="1089" spans="1:25" x14ac:dyDescent="0.25">
      <c r="A1089" s="827"/>
      <c r="B1089" s="1066">
        <v>839</v>
      </c>
      <c r="C1089" s="831">
        <v>0.99655318311085739</v>
      </c>
      <c r="D1089" s="831">
        <v>0.96338629253132879</v>
      </c>
      <c r="E1089" s="831">
        <v>1.0277878740860318</v>
      </c>
      <c r="F1089" s="831">
        <v>1.0335692834638128</v>
      </c>
      <c r="G1089" s="831">
        <v>0.98097268261599901</v>
      </c>
      <c r="H1089" s="831">
        <v>0.97325082725601086</v>
      </c>
      <c r="I1089" s="831">
        <v>1.0039442234292464</v>
      </c>
      <c r="K1089">
        <v>1.7445224273609399</v>
      </c>
      <c r="L1089">
        <v>0</v>
      </c>
      <c r="M1089">
        <v>1.2978406527091502E-3</v>
      </c>
      <c r="N1089">
        <v>0.14250742474305972</v>
      </c>
      <c r="O1089">
        <v>1.8203512987680248E-2</v>
      </c>
      <c r="P1089">
        <v>2.0277592111936107E-2</v>
      </c>
      <c r="Q1089">
        <v>2.2616679883667276E-3</v>
      </c>
      <c r="R1089">
        <v>1.2896536592177116E-3</v>
      </c>
      <c r="S1089">
        <v>0.15430889222579811</v>
      </c>
      <c r="T1089">
        <v>1.0689108233322298</v>
      </c>
      <c r="U1089">
        <v>2.3403194424104046E-2</v>
      </c>
      <c r="V1089">
        <v>0.21005929285177216</v>
      </c>
      <c r="W1089">
        <v>8.3594051689471927E-2</v>
      </c>
      <c r="X1089">
        <v>1.7494149873836989E-2</v>
      </c>
      <c r="Y1089">
        <v>3.510012126176108E-3</v>
      </c>
    </row>
    <row r="1090" spans="1:25" x14ac:dyDescent="0.25">
      <c r="A1090" s="827"/>
      <c r="B1090" s="1066">
        <v>840</v>
      </c>
      <c r="C1090" s="831">
        <v>0.99473708105993819</v>
      </c>
      <c r="D1090" s="831">
        <v>1.0228387607377691</v>
      </c>
      <c r="E1090" s="831">
        <v>0.98388317961685545</v>
      </c>
      <c r="F1090" s="831">
        <v>1.0043265652658504</v>
      </c>
      <c r="G1090" s="831">
        <v>1.0260498397333189</v>
      </c>
      <c r="H1090" s="831">
        <v>0.98222039173786257</v>
      </c>
      <c r="I1090" s="831">
        <v>1.0035951146542219</v>
      </c>
      <c r="K1090">
        <v>1.7264402434202777</v>
      </c>
      <c r="L1090">
        <v>0</v>
      </c>
      <c r="M1090">
        <v>1.4009121907186165E-3</v>
      </c>
      <c r="N1090">
        <v>0.13419707738765896</v>
      </c>
      <c r="O1090">
        <v>1.7748307341277296E-2</v>
      </c>
      <c r="P1090">
        <v>1.9568280670005305E-2</v>
      </c>
      <c r="Q1090">
        <v>2.1206332707305623E-3</v>
      </c>
      <c r="R1090">
        <v>1.3921127128375228E-3</v>
      </c>
      <c r="S1090">
        <v>0.15138636798835234</v>
      </c>
      <c r="T1090">
        <v>1.0727971476858298</v>
      </c>
      <c r="U1090">
        <v>2.3445921884657158E-2</v>
      </c>
      <c r="V1090">
        <v>0.20468459569345226</v>
      </c>
      <c r="W1090">
        <v>8.111019596994179E-2</v>
      </c>
      <c r="X1090">
        <v>1.5601643111740265E-2</v>
      </c>
      <c r="Y1090">
        <v>3.788871894511285E-3</v>
      </c>
    </row>
    <row r="1091" spans="1:25" x14ac:dyDescent="0.25">
      <c r="A1091" s="827"/>
      <c r="B1091" s="1066">
        <v>841</v>
      </c>
      <c r="C1091" s="831">
        <v>0.99591636168385067</v>
      </c>
      <c r="D1091" s="831">
        <v>1.0238330361561661</v>
      </c>
      <c r="E1091" s="831">
        <v>0.98332927812471205</v>
      </c>
      <c r="F1091" s="831">
        <v>0.98361015364388016</v>
      </c>
      <c r="G1091" s="831">
        <v>1.0018682090908217</v>
      </c>
      <c r="H1091" s="831">
        <v>0.9930927261906537</v>
      </c>
      <c r="I1091" s="831">
        <v>0.99782178891017725</v>
      </c>
      <c r="K1091">
        <v>1.727874440223778</v>
      </c>
      <c r="L1091">
        <v>0</v>
      </c>
      <c r="M1091">
        <v>1.4157680266478367E-3</v>
      </c>
      <c r="N1091">
        <v>0.13539567017377377</v>
      </c>
      <c r="O1091">
        <v>1.7719512290994451E-2</v>
      </c>
      <c r="P1091">
        <v>1.9552922791999092E-2</v>
      </c>
      <c r="Q1091">
        <v>2.1161699866674758E-3</v>
      </c>
      <c r="R1091">
        <v>1.406971905722689E-3</v>
      </c>
      <c r="S1091">
        <v>0.15105055402619363</v>
      </c>
      <c r="T1091">
        <v>1.0728466420623959</v>
      </c>
      <c r="U1091">
        <v>2.341815919046706E-2</v>
      </c>
      <c r="V1091">
        <v>0.20446824310313427</v>
      </c>
      <c r="W1091">
        <v>8.1866018093249421E-2</v>
      </c>
      <c r="X1091">
        <v>1.562003090661376E-2</v>
      </c>
      <c r="Y1091">
        <v>3.8293137192130892E-3</v>
      </c>
    </row>
    <row r="1092" spans="1:25" x14ac:dyDescent="0.25">
      <c r="A1092" s="827"/>
      <c r="B1092" s="1066">
        <v>842</v>
      </c>
      <c r="C1092" s="831">
        <v>1.0422963781875838</v>
      </c>
      <c r="D1092" s="831">
        <v>0.99716422113282366</v>
      </c>
      <c r="E1092" s="831">
        <v>0.99068555174696016</v>
      </c>
      <c r="F1092" s="831">
        <v>0.97077864498786837</v>
      </c>
      <c r="G1092" s="831">
        <v>1.0010179528886209</v>
      </c>
      <c r="H1092" s="831">
        <v>1.0263226751302443</v>
      </c>
      <c r="I1092" s="831">
        <v>1.0052869969078662</v>
      </c>
      <c r="K1092">
        <v>1.7225822049087358</v>
      </c>
      <c r="L1092">
        <v>0</v>
      </c>
      <c r="M1092">
        <v>1.3931039050746091E-3</v>
      </c>
      <c r="N1092">
        <v>0.13634481158419534</v>
      </c>
      <c r="O1092">
        <v>1.7134410746639184E-2</v>
      </c>
      <c r="P1092">
        <v>1.9582645182225352E-2</v>
      </c>
      <c r="Q1092">
        <v>2.0571599699748871E-3</v>
      </c>
      <c r="R1092">
        <v>1.3847467244908292E-3</v>
      </c>
      <c r="S1092">
        <v>0.14931227946987871</v>
      </c>
      <c r="T1092">
        <v>1.0721902569241202</v>
      </c>
      <c r="U1092">
        <v>2.237609991397841E-2</v>
      </c>
      <c r="V1092">
        <v>0.20206139502700096</v>
      </c>
      <c r="W1092">
        <v>8.2022223867899896E-2</v>
      </c>
      <c r="X1092">
        <v>1.5740455300975207E-2</v>
      </c>
      <c r="Y1092">
        <v>3.7688241024289915E-3</v>
      </c>
    </row>
    <row r="1093" spans="1:25" x14ac:dyDescent="0.25">
      <c r="A1093" s="827"/>
      <c r="B1093" s="1066">
        <v>843</v>
      </c>
      <c r="C1093" s="831">
        <v>0.99364180704913652</v>
      </c>
      <c r="D1093" s="831">
        <v>0.97666640360284696</v>
      </c>
      <c r="E1093" s="831">
        <v>0.99971452117760407</v>
      </c>
      <c r="F1093" s="831">
        <v>1.015956227933148</v>
      </c>
      <c r="G1093" s="831">
        <v>0.95792653361200142</v>
      </c>
      <c r="H1093" s="831">
        <v>1.0069234734656836</v>
      </c>
      <c r="I1093" s="831">
        <v>1.0395058175095728</v>
      </c>
      <c r="K1093">
        <v>1.7549666830063848</v>
      </c>
      <c r="L1093">
        <v>0</v>
      </c>
      <c r="M1093">
        <v>1.4200168032134778E-3</v>
      </c>
      <c r="N1093">
        <v>0.14292439625555423</v>
      </c>
      <c r="O1093">
        <v>1.8143575460573279E-2</v>
      </c>
      <c r="P1093">
        <v>1.9986996300524553E-2</v>
      </c>
      <c r="Q1093">
        <v>2.1944675527130423E-3</v>
      </c>
      <c r="R1093">
        <v>1.4113488380186386E-3</v>
      </c>
      <c r="S1093">
        <v>0.16188854125513163</v>
      </c>
      <c r="T1093">
        <v>1.0713874072774709</v>
      </c>
      <c r="U1093">
        <v>2.3471765914887557E-2</v>
      </c>
      <c r="V1093">
        <v>0.20907987660662891</v>
      </c>
      <c r="W1093">
        <v>8.5449043021804574E-2</v>
      </c>
      <c r="X1093">
        <v>1.6608055040220653E-2</v>
      </c>
      <c r="Y1093">
        <v>3.8412262860673214E-3</v>
      </c>
    </row>
    <row r="1094" spans="1:25" x14ac:dyDescent="0.25">
      <c r="A1094" s="827"/>
      <c r="B1094" s="1066">
        <v>844</v>
      </c>
      <c r="C1094" s="831">
        <v>0.97119103743810775</v>
      </c>
      <c r="D1094" s="831">
        <v>1.0209285933514558</v>
      </c>
      <c r="E1094" s="831">
        <v>1.0025323030761506</v>
      </c>
      <c r="F1094" s="831">
        <v>1.0061431259962568</v>
      </c>
      <c r="G1094" s="831">
        <v>1.0037487163780257</v>
      </c>
      <c r="H1094" s="831">
        <v>0.95963068726695788</v>
      </c>
      <c r="I1094" s="831">
        <v>0.97894585192352346</v>
      </c>
      <c r="K1094">
        <v>1.7312755148482843</v>
      </c>
      <c r="L1094">
        <v>0</v>
      </c>
      <c r="M1094">
        <v>1.3490802610194852E-3</v>
      </c>
      <c r="N1094">
        <v>0.13693547197768974</v>
      </c>
      <c r="O1094">
        <v>1.8193965619537327E-2</v>
      </c>
      <c r="P1094">
        <v>1.9844455185900708E-2</v>
      </c>
      <c r="Q1094">
        <v>2.214838782433344E-3</v>
      </c>
      <c r="R1094">
        <v>1.3404081821686766E-3</v>
      </c>
      <c r="S1094">
        <v>0.14974598573783501</v>
      </c>
      <c r="T1094">
        <v>1.0711374817431853</v>
      </c>
      <c r="U1094">
        <v>2.4014356598497225E-2</v>
      </c>
      <c r="V1094">
        <v>0.2074311079768574</v>
      </c>
      <c r="W1094">
        <v>8.1710923384313017E-2</v>
      </c>
      <c r="X1094">
        <v>1.6407450714460953E-2</v>
      </c>
      <c r="Y1094">
        <v>3.6481492064246398E-3</v>
      </c>
    </row>
    <row r="1095" spans="1:25" x14ac:dyDescent="0.25">
      <c r="A1095" s="827"/>
      <c r="B1095" s="1066">
        <v>845</v>
      </c>
      <c r="C1095" s="831">
        <v>0.97627459098449598</v>
      </c>
      <c r="D1095" s="831">
        <v>1.0295198002133914</v>
      </c>
      <c r="E1095" s="831">
        <v>0.99924530428238367</v>
      </c>
      <c r="F1095" s="831">
        <v>1.0165110935723796</v>
      </c>
      <c r="G1095" s="831">
        <v>1.0063668589048085</v>
      </c>
      <c r="H1095" s="831">
        <v>1.0005369587545592</v>
      </c>
      <c r="I1095" s="831">
        <v>1.0404371452740668</v>
      </c>
      <c r="K1095">
        <v>1.7481240270306024</v>
      </c>
      <c r="L1095">
        <v>0</v>
      </c>
      <c r="M1095">
        <v>1.4036676747386479E-3</v>
      </c>
      <c r="N1095">
        <v>0.14106348869242036</v>
      </c>
      <c r="O1095">
        <v>1.8030857087722302E-2</v>
      </c>
      <c r="P1095">
        <v>1.9931573984594848E-2</v>
      </c>
      <c r="Q1095">
        <v>2.1892295690991975E-3</v>
      </c>
      <c r="R1095">
        <v>1.3950077662694927E-3</v>
      </c>
      <c r="S1095">
        <v>0.16086475326725408</v>
      </c>
      <c r="T1095">
        <v>1.0714290539737197</v>
      </c>
      <c r="U1095">
        <v>2.3889311586798835E-2</v>
      </c>
      <c r="V1095">
        <v>0.20609461172927696</v>
      </c>
      <c r="W1095">
        <v>8.4363568432768682E-2</v>
      </c>
      <c r="X1095">
        <v>1.6479487339815517E-2</v>
      </c>
      <c r="Y1095">
        <v>3.7967512755989999E-3</v>
      </c>
    </row>
    <row r="1096" spans="1:25" x14ac:dyDescent="0.25">
      <c r="A1096" s="827"/>
      <c r="B1096" s="1066">
        <v>846</v>
      </c>
      <c r="C1096" s="831">
        <v>1.0015489607175077</v>
      </c>
      <c r="D1096" s="831">
        <v>0.99906687593743371</v>
      </c>
      <c r="E1096" s="831">
        <v>0.98044452317013708</v>
      </c>
      <c r="F1096" s="831">
        <v>0.99670524898735424</v>
      </c>
      <c r="G1096" s="831">
        <v>0.98517363433726346</v>
      </c>
      <c r="H1096" s="831">
        <v>1.0054569659126453</v>
      </c>
      <c r="I1096" s="831">
        <v>1.0160240811950878</v>
      </c>
      <c r="K1096">
        <v>1.7376849671742138</v>
      </c>
      <c r="L1096">
        <v>0</v>
      </c>
      <c r="M1096">
        <v>1.4499489657493912E-3</v>
      </c>
      <c r="N1096">
        <v>0.13743620414772545</v>
      </c>
      <c r="O1096">
        <v>1.7816120319568148E-2</v>
      </c>
      <c r="P1096">
        <v>1.9592360518707115E-2</v>
      </c>
      <c r="Q1096">
        <v>2.1172559518718012E-3</v>
      </c>
      <c r="R1096">
        <v>1.4410688844300984E-3</v>
      </c>
      <c r="S1096">
        <v>0.15540201495961736</v>
      </c>
      <c r="T1096">
        <v>1.0731045984671597</v>
      </c>
      <c r="U1096">
        <v>2.3286458089472696E-2</v>
      </c>
      <c r="V1096">
        <v>0.20610143058433886</v>
      </c>
      <c r="W1096">
        <v>8.3266099484602604E-2</v>
      </c>
      <c r="X1096">
        <v>1.564919027727979E-2</v>
      </c>
      <c r="Y1096">
        <v>3.9221144551886472E-3</v>
      </c>
    </row>
    <row r="1097" spans="1:25" x14ac:dyDescent="0.25">
      <c r="A1097" s="827"/>
      <c r="B1097" s="1066">
        <v>847</v>
      </c>
      <c r="C1097" s="831">
        <v>0.99458581627957054</v>
      </c>
      <c r="D1097" s="831">
        <v>0.99345671871351338</v>
      </c>
      <c r="E1097" s="831">
        <v>0.99959701350411223</v>
      </c>
      <c r="F1097" s="831">
        <v>1.0293924394271574</v>
      </c>
      <c r="G1097" s="831">
        <v>1.0029610877649366</v>
      </c>
      <c r="H1097" s="831">
        <v>0.97675571866870259</v>
      </c>
      <c r="I1097" s="831">
        <v>1.0122156433349423</v>
      </c>
      <c r="K1097">
        <v>1.7359537015532516</v>
      </c>
      <c r="L1097">
        <v>0</v>
      </c>
      <c r="M1097">
        <v>1.3659118057772056E-3</v>
      </c>
      <c r="N1097">
        <v>0.13740120063075661</v>
      </c>
      <c r="O1097">
        <v>1.7986693108151836E-2</v>
      </c>
      <c r="P1097">
        <v>1.9856453675311071E-2</v>
      </c>
      <c r="Q1097">
        <v>2.178301577429992E-3</v>
      </c>
      <c r="R1097">
        <v>1.3573045487054328E-3</v>
      </c>
      <c r="S1097">
        <v>0.15416542841086253</v>
      </c>
      <c r="T1097">
        <v>1.0713978362294265</v>
      </c>
      <c r="U1097">
        <v>2.3449487733039849E-2</v>
      </c>
      <c r="V1097">
        <v>0.20737544586707343</v>
      </c>
      <c r="W1097">
        <v>8.215354186340687E-2</v>
      </c>
      <c r="X1097">
        <v>1.6303784168611064E-2</v>
      </c>
      <c r="Y1097">
        <v>3.694135546251958E-3</v>
      </c>
    </row>
    <row r="1098" spans="1:25" x14ac:dyDescent="0.25">
      <c r="A1098" s="827"/>
      <c r="B1098" s="1066">
        <v>848</v>
      </c>
      <c r="C1098" s="831">
        <v>1.0222240604327901</v>
      </c>
      <c r="D1098" s="831">
        <v>1.008151382255396</v>
      </c>
      <c r="E1098" s="831">
        <v>0.98900132005087038</v>
      </c>
      <c r="F1098" s="831">
        <v>0.98366519884876746</v>
      </c>
      <c r="G1098" s="831">
        <v>0.99695820897920551</v>
      </c>
      <c r="H1098" s="831">
        <v>0.97724149046395381</v>
      </c>
      <c r="I1098" s="831">
        <v>0.99380073145906167</v>
      </c>
      <c r="K1098">
        <v>1.7135037569226255</v>
      </c>
      <c r="L1098">
        <v>0</v>
      </c>
      <c r="M1098">
        <v>1.3506161741112157E-3</v>
      </c>
      <c r="N1098">
        <v>0.13145454122786085</v>
      </c>
      <c r="O1098">
        <v>1.7384383149581458E-2</v>
      </c>
      <c r="P1098">
        <v>1.954070831870169E-2</v>
      </c>
      <c r="Q1098">
        <v>2.0854911466172527E-3</v>
      </c>
      <c r="R1098">
        <v>1.3420993551503699E-3</v>
      </c>
      <c r="S1098">
        <v>0.14640810377021879</v>
      </c>
      <c r="T1098">
        <v>1.0723403576473352</v>
      </c>
      <c r="U1098">
        <v>2.2815475394336596E-2</v>
      </c>
      <c r="V1098">
        <v>0.20311204457087095</v>
      </c>
      <c r="W1098">
        <v>7.9172174778838575E-2</v>
      </c>
      <c r="X1098">
        <v>1.5546241715438907E-2</v>
      </c>
      <c r="Y1098">
        <v>3.6527520217857854E-3</v>
      </c>
    </row>
    <row r="1099" spans="1:25" x14ac:dyDescent="0.25">
      <c r="A1099" s="827"/>
      <c r="B1099" s="1066">
        <v>849</v>
      </c>
      <c r="C1099" s="831">
        <v>1.0330724245609986</v>
      </c>
      <c r="D1099" s="831">
        <v>0.99500703316836492</v>
      </c>
      <c r="E1099" s="831">
        <v>0.99966920611379129</v>
      </c>
      <c r="F1099" s="831">
        <v>1.0023513808054585</v>
      </c>
      <c r="G1099" s="831">
        <v>1.0357152734331641</v>
      </c>
      <c r="H1099" s="831">
        <v>0.99903585404796091</v>
      </c>
      <c r="I1099" s="831">
        <v>0.98281370187523276</v>
      </c>
      <c r="K1099">
        <v>1.7174816813413545</v>
      </c>
      <c r="L1099">
        <v>0</v>
      </c>
      <c r="M1099">
        <v>1.3438680407259946E-3</v>
      </c>
      <c r="N1099">
        <v>0.13523313375993262</v>
      </c>
      <c r="O1099">
        <v>1.7304372694351991E-2</v>
      </c>
      <c r="P1099">
        <v>1.9670625968498973E-2</v>
      </c>
      <c r="Q1099">
        <v>2.096089129059126E-3</v>
      </c>
      <c r="R1099">
        <v>1.3355874948243415E-3</v>
      </c>
      <c r="S1099">
        <v>0.14554266437394653</v>
      </c>
      <c r="T1099">
        <v>1.0713914289839253</v>
      </c>
      <c r="U1099">
        <v>2.2575888528061333E-2</v>
      </c>
      <c r="V1099">
        <v>0.20318058330486538</v>
      </c>
      <c r="W1099">
        <v>8.0853238117808826E-2</v>
      </c>
      <c r="X1099">
        <v>1.6006908142194604E-2</v>
      </c>
      <c r="Y1099">
        <v>3.6350288846125171E-3</v>
      </c>
    </row>
    <row r="1100" spans="1:25" x14ac:dyDescent="0.25">
      <c r="A1100" s="827"/>
      <c r="B1100" s="1066">
        <v>850</v>
      </c>
      <c r="C1100" s="831">
        <v>0.98927876728457997</v>
      </c>
      <c r="D1100" s="831">
        <v>1.0449835215812842</v>
      </c>
      <c r="E1100" s="831">
        <v>0.97540742494176325</v>
      </c>
      <c r="F1100" s="831">
        <v>1.0409464134042681</v>
      </c>
      <c r="G1100" s="831">
        <v>0.99864052265852399</v>
      </c>
      <c r="H1100" s="831">
        <v>1.0058272636983043</v>
      </c>
      <c r="I1100" s="831">
        <v>0.95958237176863614</v>
      </c>
      <c r="K1100">
        <v>1.7229425362698532</v>
      </c>
      <c r="L1100">
        <v>0</v>
      </c>
      <c r="M1100">
        <v>1.4542851440370378E-3</v>
      </c>
      <c r="N1100">
        <v>0.13569764967417208</v>
      </c>
      <c r="O1100">
        <v>1.7674591197593015E-2</v>
      </c>
      <c r="P1100">
        <v>1.9362623812907816E-2</v>
      </c>
      <c r="Q1100">
        <v>2.0973217765328524E-3</v>
      </c>
      <c r="R1100">
        <v>1.4453495051395071E-3</v>
      </c>
      <c r="S1100">
        <v>0.14587487523249634</v>
      </c>
      <c r="T1100">
        <v>1.073555768216784</v>
      </c>
      <c r="U1100">
        <v>2.357528400444699E-2</v>
      </c>
      <c r="V1100">
        <v>0.20333868689106568</v>
      </c>
      <c r="W1100">
        <v>8.2501064414948075E-2</v>
      </c>
      <c r="X1100">
        <v>1.5339841794149236E-2</v>
      </c>
      <c r="Y1100">
        <v>3.9337648936534205E-3</v>
      </c>
    </row>
    <row r="1101" spans="1:25" x14ac:dyDescent="0.25">
      <c r="A1101" s="827"/>
      <c r="B1101" s="1066">
        <v>851</v>
      </c>
      <c r="C1101" s="831">
        <v>1.0169720491170511</v>
      </c>
      <c r="D1101" s="831">
        <v>1.0021681218484302</v>
      </c>
      <c r="E1101" s="831">
        <v>0.98341179073312013</v>
      </c>
      <c r="F1101" s="831">
        <v>1.0218148389783503</v>
      </c>
      <c r="G1101" s="831">
        <v>0.98290481329628709</v>
      </c>
      <c r="H1101" s="831">
        <v>1.0228025710132924</v>
      </c>
      <c r="I1101" s="831">
        <v>1.0220209341289623</v>
      </c>
      <c r="K1101">
        <v>1.7350620920667135</v>
      </c>
      <c r="L1101">
        <v>0</v>
      </c>
      <c r="M1101">
        <v>1.4415478492001592E-3</v>
      </c>
      <c r="N1101">
        <v>0.13792302692369351</v>
      </c>
      <c r="O1101">
        <v>1.7521312991616109E-2</v>
      </c>
      <c r="P1101">
        <v>1.9596996735064175E-2</v>
      </c>
      <c r="Q1101">
        <v>2.0890342927255014E-3</v>
      </c>
      <c r="R1101">
        <v>1.4328667526495528E-3</v>
      </c>
      <c r="S1101">
        <v>0.15500069984765955</v>
      </c>
      <c r="T1101">
        <v>1.0728392683411296</v>
      </c>
      <c r="U1101">
        <v>2.293330275748692E-2</v>
      </c>
      <c r="V1101">
        <v>0.2041894572585618</v>
      </c>
      <c r="W1101">
        <v>8.3389402882367139E-2</v>
      </c>
      <c r="X1101">
        <v>1.5688480176644322E-2</v>
      </c>
      <c r="Y1101">
        <v>3.8997909563140173E-3</v>
      </c>
    </row>
    <row r="1102" spans="1:25" x14ac:dyDescent="0.25">
      <c r="A1102" s="827"/>
      <c r="B1102" s="1066">
        <v>852</v>
      </c>
      <c r="C1102" s="831">
        <v>1.0179717587069825</v>
      </c>
      <c r="D1102" s="831">
        <v>0.97985933478791809</v>
      </c>
      <c r="E1102" s="831">
        <v>0.98950799262404021</v>
      </c>
      <c r="F1102" s="831">
        <v>0.99112899937244858</v>
      </c>
      <c r="G1102" s="831">
        <v>0.95806882907472057</v>
      </c>
      <c r="H1102" s="831">
        <v>1.0121821689733674</v>
      </c>
      <c r="I1102" s="831">
        <v>0.98332525030522977</v>
      </c>
      <c r="K1102">
        <v>1.7322381066454147</v>
      </c>
      <c r="L1102">
        <v>0</v>
      </c>
      <c r="M1102">
        <v>1.4214573206302661E-3</v>
      </c>
      <c r="N1102">
        <v>0.1386002171552089</v>
      </c>
      <c r="O1102">
        <v>1.7683704955520171E-2</v>
      </c>
      <c r="P1102">
        <v>1.9633673166685555E-2</v>
      </c>
      <c r="Q1102">
        <v>2.1175232289086113E-3</v>
      </c>
      <c r="R1102">
        <v>1.4128233191602244E-3</v>
      </c>
      <c r="S1102">
        <v>0.14964414747436336</v>
      </c>
      <c r="T1102">
        <v>1.072295191152802</v>
      </c>
      <c r="U1102">
        <v>2.2910780872670986E-2</v>
      </c>
      <c r="V1102">
        <v>0.20614010460440266</v>
      </c>
      <c r="W1102">
        <v>8.3446704892155762E-2</v>
      </c>
      <c r="X1102">
        <v>1.5929453806494045E-2</v>
      </c>
      <c r="Y1102">
        <v>3.8452393376721392E-3</v>
      </c>
    </row>
    <row r="1103" spans="1:25" x14ac:dyDescent="0.25">
      <c r="A1103" s="827"/>
      <c r="B1103" s="1066">
        <v>853</v>
      </c>
      <c r="C1103" s="831">
        <v>1.0052526847777363</v>
      </c>
      <c r="D1103" s="831">
        <v>1.0383627805364173</v>
      </c>
      <c r="E1103" s="831">
        <v>1.0010840133664323</v>
      </c>
      <c r="F1103" s="831">
        <v>1.028976922898398</v>
      </c>
      <c r="G1103" s="831">
        <v>1.0054738106337746</v>
      </c>
      <c r="H1103" s="831">
        <v>0.97963156741900315</v>
      </c>
      <c r="I1103" s="831">
        <v>1.006563977673832</v>
      </c>
      <c r="K1103">
        <v>1.718541439088547</v>
      </c>
      <c r="L1103">
        <v>0</v>
      </c>
      <c r="M1103">
        <v>1.3244479162630503E-3</v>
      </c>
      <c r="N1103">
        <v>0.13384745068592904</v>
      </c>
      <c r="O1103">
        <v>1.7443643026441882E-2</v>
      </c>
      <c r="P1103">
        <v>1.9734261431339602E-2</v>
      </c>
      <c r="Q1103">
        <v>2.1233121569395278E-3</v>
      </c>
      <c r="R1103">
        <v>1.3160966655359897E-3</v>
      </c>
      <c r="S1103">
        <v>0.14913031049346631</v>
      </c>
      <c r="T1103">
        <v>1.0712659015772541</v>
      </c>
      <c r="U1103">
        <v>2.3200662133481223E-2</v>
      </c>
      <c r="V1103">
        <v>0.20223158122082238</v>
      </c>
      <c r="W1103">
        <v>7.9947353718720526E-2</v>
      </c>
      <c r="X1103">
        <v>1.6043332622440402E-2</v>
      </c>
      <c r="Y1103">
        <v>3.5819812724397705E-3</v>
      </c>
    </row>
    <row r="1104" spans="1:25" x14ac:dyDescent="0.25">
      <c r="A1104" s="827"/>
      <c r="B1104" s="1066">
        <v>854</v>
      </c>
      <c r="C1104" s="831">
        <v>0.98779686347594697</v>
      </c>
      <c r="D1104" s="831">
        <v>1.0319525997100945</v>
      </c>
      <c r="E1104" s="831">
        <v>0.96777094749838721</v>
      </c>
      <c r="F1104" s="831">
        <v>0.99215681879521855</v>
      </c>
      <c r="G1104" s="831">
        <v>0.97777697881902981</v>
      </c>
      <c r="H1104" s="831">
        <v>1.0155088448767455</v>
      </c>
      <c r="I1104" s="831">
        <v>1.007381969788256</v>
      </c>
      <c r="K1104">
        <v>1.7365153755501566</v>
      </c>
      <c r="L1104">
        <v>0</v>
      </c>
      <c r="M1104">
        <v>1.5026880906270502E-3</v>
      </c>
      <c r="N1104">
        <v>0.1369241848793892</v>
      </c>
      <c r="O1104">
        <v>1.7801559541289702E-2</v>
      </c>
      <c r="P1104">
        <v>1.9396198208732403E-2</v>
      </c>
      <c r="Q1104">
        <v>2.0938675330676544E-3</v>
      </c>
      <c r="R1104">
        <v>1.4935522304369531E-3</v>
      </c>
      <c r="S1104">
        <v>0.15486759262543792</v>
      </c>
      <c r="T1104">
        <v>1.074241578434681</v>
      </c>
      <c r="U1104">
        <v>2.3610651906945553E-2</v>
      </c>
      <c r="V1104">
        <v>0.20462260251221015</v>
      </c>
      <c r="W1104">
        <v>8.3691685247136965E-2</v>
      </c>
      <c r="X1104">
        <v>1.52096336995653E-2</v>
      </c>
      <c r="Y1104">
        <v>4.0649568218889456E-3</v>
      </c>
    </row>
    <row r="1105" spans="1:25" x14ac:dyDescent="0.25">
      <c r="A1105" s="827"/>
      <c r="B1105" s="1066">
        <v>855</v>
      </c>
      <c r="C1105" s="831">
        <v>1.0244838182840719</v>
      </c>
      <c r="D1105" s="831">
        <v>0.987362276514827</v>
      </c>
      <c r="E1105" s="831">
        <v>0.97255196109674957</v>
      </c>
      <c r="F1105" s="831">
        <v>0.96375819489545456</v>
      </c>
      <c r="G1105" s="831">
        <v>0.9726372787912333</v>
      </c>
      <c r="H1105" s="831">
        <v>1.022016705446382</v>
      </c>
      <c r="I1105" s="831">
        <v>0.96844824801311913</v>
      </c>
      <c r="K1105">
        <v>1.7253141961349749</v>
      </c>
      <c r="L1105">
        <v>0</v>
      </c>
      <c r="M1105">
        <v>1.4727319354231403E-3</v>
      </c>
      <c r="N1105">
        <v>0.13621831204642318</v>
      </c>
      <c r="O1105">
        <v>1.7510573641772879E-2</v>
      </c>
      <c r="P1105">
        <v>1.9342390397089144E-2</v>
      </c>
      <c r="Q1105">
        <v>2.0622857071986959E-3</v>
      </c>
      <c r="R1105">
        <v>1.4638670127201088E-3</v>
      </c>
      <c r="S1105">
        <v>0.14665039033067226</v>
      </c>
      <c r="T1105">
        <v>1.0738119533193204</v>
      </c>
      <c r="U1105">
        <v>2.2765150100044117E-2</v>
      </c>
      <c r="V1105">
        <v>0.20476064391710327</v>
      </c>
      <c r="W1105">
        <v>8.2982568006910104E-2</v>
      </c>
      <c r="X1105">
        <v>1.5234630146148129E-2</v>
      </c>
      <c r="Y1105">
        <v>3.9841634449930855E-3</v>
      </c>
    </row>
    <row r="1106" spans="1:25" x14ac:dyDescent="0.25">
      <c r="A1106" s="827"/>
      <c r="B1106" s="1066">
        <v>856</v>
      </c>
      <c r="C1106" s="831">
        <v>1.0182487366264577</v>
      </c>
      <c r="D1106" s="831">
        <v>0.9907546703950183</v>
      </c>
      <c r="E1106" s="831">
        <v>1.0437282025327612</v>
      </c>
      <c r="F1106" s="831">
        <v>1.0230592618909631</v>
      </c>
      <c r="G1106" s="831">
        <v>1.0244367304165072</v>
      </c>
      <c r="H1106" s="831">
        <v>0.98141198565671517</v>
      </c>
      <c r="I1106" s="831">
        <v>1.0258645764984273</v>
      </c>
      <c r="K1106">
        <v>1.7328766728366427</v>
      </c>
      <c r="L1106">
        <v>0</v>
      </c>
      <c r="M1106">
        <v>1.2226924214856292E-3</v>
      </c>
      <c r="N1106">
        <v>0.14106869075084086</v>
      </c>
      <c r="O1106">
        <v>1.759041091206771E-2</v>
      </c>
      <c r="P1106">
        <v>2.0399391108786639E-2</v>
      </c>
      <c r="Q1106">
        <v>2.2252677473622979E-3</v>
      </c>
      <c r="R1106">
        <v>1.2150259209187386E-3</v>
      </c>
      <c r="S1106">
        <v>0.15312411900810854</v>
      </c>
      <c r="T1106">
        <v>1.0675178900868001</v>
      </c>
      <c r="U1106">
        <v>2.2904548819350994E-2</v>
      </c>
      <c r="V1106">
        <v>0.20509691320904225</v>
      </c>
      <c r="W1106">
        <v>8.1874348038809969E-2</v>
      </c>
      <c r="X1106">
        <v>1.7775859632485635E-2</v>
      </c>
      <c r="Y1106">
        <v>3.3069000235536211E-3</v>
      </c>
    </row>
    <row r="1107" spans="1:25" x14ac:dyDescent="0.25">
      <c r="A1107" s="827"/>
      <c r="B1107" s="1066">
        <v>857</v>
      </c>
      <c r="C1107" s="831">
        <v>1.0275764614529732</v>
      </c>
      <c r="D1107" s="831">
        <v>1.010010586324275</v>
      </c>
      <c r="E1107" s="831">
        <v>0.96842495548607399</v>
      </c>
      <c r="F1107" s="831">
        <v>0.99106428177656636</v>
      </c>
      <c r="G1107" s="831">
        <v>0.99554869117627354</v>
      </c>
      <c r="H1107" s="831">
        <v>0.99856326688593122</v>
      </c>
      <c r="I1107" s="831">
        <v>1.0183045939328563</v>
      </c>
      <c r="K1107">
        <v>1.7179216407381275</v>
      </c>
      <c r="L1107">
        <v>0</v>
      </c>
      <c r="M1107">
        <v>1.4322935425336331E-3</v>
      </c>
      <c r="N1107">
        <v>0.13076414950027754</v>
      </c>
      <c r="O1107">
        <v>1.7279420385422926E-2</v>
      </c>
      <c r="P1107">
        <v>1.9306948930982722E-2</v>
      </c>
      <c r="Q1107">
        <v>2.0302718672870561E-3</v>
      </c>
      <c r="R1107">
        <v>1.4234532081941662E-3</v>
      </c>
      <c r="S1107">
        <v>0.150632754122486</v>
      </c>
      <c r="T1107">
        <v>1.0741827582639263</v>
      </c>
      <c r="U1107">
        <v>2.2696635017627403E-2</v>
      </c>
      <c r="V1107">
        <v>0.20240139596771772</v>
      </c>
      <c r="W1107">
        <v>7.9889940676786578E-2</v>
      </c>
      <c r="X1107">
        <v>1.487203594846976E-2</v>
      </c>
      <c r="Y1107">
        <v>3.8741703914805517E-3</v>
      </c>
    </row>
    <row r="1108" spans="1:25" x14ac:dyDescent="0.25">
      <c r="A1108" s="827"/>
      <c r="B1108" s="1066">
        <v>858</v>
      </c>
      <c r="C1108" s="831">
        <v>1.0089896519381822</v>
      </c>
      <c r="D1108" s="831">
        <v>0.97257473761110491</v>
      </c>
      <c r="E1108" s="831">
        <v>1.0255060057677654</v>
      </c>
      <c r="F1108" s="831">
        <v>1.0280585287105743</v>
      </c>
      <c r="G1108" s="831">
        <v>1.0143029499405964</v>
      </c>
      <c r="H1108" s="831">
        <v>1.0357521897955124</v>
      </c>
      <c r="I1108" s="831">
        <v>1.0146786434018691</v>
      </c>
      <c r="K1108">
        <v>1.7560570273460729</v>
      </c>
      <c r="L1108">
        <v>0</v>
      </c>
      <c r="M1108">
        <v>1.3648634557445354E-3</v>
      </c>
      <c r="N1108">
        <v>0.1488649909656391</v>
      </c>
      <c r="O1108">
        <v>1.7901705505982871E-2</v>
      </c>
      <c r="P1108">
        <v>2.0262480499182278E-2</v>
      </c>
      <c r="Q1108">
        <v>2.2209064554886463E-3</v>
      </c>
      <c r="R1108">
        <v>1.3567668515940172E-3</v>
      </c>
      <c r="S1108">
        <v>0.15799832205194092</v>
      </c>
      <c r="T1108">
        <v>1.0691110116547464</v>
      </c>
      <c r="U1108">
        <v>2.3114734480678367E-2</v>
      </c>
      <c r="V1108">
        <v>0.20779459588303176</v>
      </c>
      <c r="W1108">
        <v>8.7457304848288495E-2</v>
      </c>
      <c r="X1108">
        <v>1.764639949327839E-2</v>
      </c>
      <c r="Y1108">
        <v>3.6926721119664905E-3</v>
      </c>
    </row>
    <row r="1109" spans="1:25" x14ac:dyDescent="0.25">
      <c r="A1109" s="827"/>
      <c r="B1109" s="1066">
        <v>859</v>
      </c>
      <c r="C1109" s="831">
        <v>0.98765993942024688</v>
      </c>
      <c r="D1109" s="831">
        <v>0.97965264909955485</v>
      </c>
      <c r="E1109" s="831">
        <v>1.0126241862639733</v>
      </c>
      <c r="F1109" s="831">
        <v>0.98516026244438859</v>
      </c>
      <c r="G1109" s="831">
        <v>0.99973225324774206</v>
      </c>
      <c r="H1109" s="831">
        <v>0.99448441326586268</v>
      </c>
      <c r="I1109" s="831">
        <v>1.0041133936053606</v>
      </c>
      <c r="K1109">
        <v>1.7496223706512632</v>
      </c>
      <c r="L1109">
        <v>0</v>
      </c>
      <c r="M1109">
        <v>1.3711899783080742E-3</v>
      </c>
      <c r="N1109">
        <v>0.14365185808833444</v>
      </c>
      <c r="O1109">
        <v>1.8228173391472091E-2</v>
      </c>
      <c r="P1109">
        <v>2.0092582754411552E-2</v>
      </c>
      <c r="Q1109">
        <v>2.2339624210797244E-3</v>
      </c>
      <c r="R1109">
        <v>1.3627132340567919E-3</v>
      </c>
      <c r="S1109">
        <v>0.15620759580687391</v>
      </c>
      <c r="T1109">
        <v>1.0702448347617657</v>
      </c>
      <c r="U1109">
        <v>2.3613925165369573E-2</v>
      </c>
      <c r="V1109">
        <v>0.20945692667652391</v>
      </c>
      <c r="W1109">
        <v>8.513189094224051E-2</v>
      </c>
      <c r="X1109">
        <v>1.7060241182638724E-2</v>
      </c>
      <c r="Y1109">
        <v>3.7088562048057105E-3</v>
      </c>
    </row>
    <row r="1110" spans="1:25" x14ac:dyDescent="0.25">
      <c r="A1110" s="827"/>
      <c r="B1110" s="1066">
        <v>860</v>
      </c>
      <c r="C1110" s="831">
        <v>1.0220994137133306</v>
      </c>
      <c r="D1110" s="831">
        <v>1.002152449548712</v>
      </c>
      <c r="E1110" s="831">
        <v>1.0076442908914485</v>
      </c>
      <c r="F1110" s="831">
        <v>1.0090447621419543</v>
      </c>
      <c r="G1110" s="831">
        <v>1.0227590451393416</v>
      </c>
      <c r="H1110" s="831">
        <v>1.0213938976395425</v>
      </c>
      <c r="I1110" s="831">
        <v>1.007763170520342</v>
      </c>
      <c r="K1110">
        <v>1.7327223916823822</v>
      </c>
      <c r="L1110">
        <v>0</v>
      </c>
      <c r="M1110">
        <v>1.3611376194196435E-3</v>
      </c>
      <c r="N1110">
        <v>0.14042953200246724</v>
      </c>
      <c r="O1110">
        <v>1.7433540737591725E-2</v>
      </c>
      <c r="P1110">
        <v>1.9876150514849311E-2</v>
      </c>
      <c r="Q1110">
        <v>2.1299473241450013E-3</v>
      </c>
      <c r="R1110">
        <v>1.3529294641949478E-3</v>
      </c>
      <c r="S1110">
        <v>0.15197301859696885</v>
      </c>
      <c r="T1110">
        <v>1.0706848351962255</v>
      </c>
      <c r="U1110">
        <v>2.2818257779418365E-2</v>
      </c>
      <c r="V1110">
        <v>0.20366046884981551</v>
      </c>
      <c r="W1110">
        <v>8.3504311127967482E-2</v>
      </c>
      <c r="X1110">
        <v>1.6538309699697423E-2</v>
      </c>
      <c r="Y1110">
        <v>3.6822280084606398E-3</v>
      </c>
    </row>
    <row r="1111" spans="1:25" x14ac:dyDescent="0.25">
      <c r="A1111" s="827"/>
      <c r="B1111" s="1066">
        <v>861</v>
      </c>
      <c r="C1111" s="831">
        <v>1.0260249537451906</v>
      </c>
      <c r="D1111" s="831">
        <v>0.97888307911656569</v>
      </c>
      <c r="E1111" s="831">
        <v>0.98519738882952712</v>
      </c>
      <c r="F1111" s="831">
        <v>1.0300240677086361</v>
      </c>
      <c r="G1111" s="831">
        <v>1.0119851998463283</v>
      </c>
      <c r="H1111" s="831">
        <v>0.97100288272035462</v>
      </c>
      <c r="I1111" s="831">
        <v>1.0088887322357576</v>
      </c>
      <c r="K1111">
        <v>1.7193271939280623</v>
      </c>
      <c r="L1111">
        <v>0</v>
      </c>
      <c r="M1111">
        <v>1.365854695838217E-3</v>
      </c>
      <c r="N1111">
        <v>0.13136889885989758</v>
      </c>
      <c r="O1111">
        <v>1.7552850126867612E-2</v>
      </c>
      <c r="P1111">
        <v>1.955997332050699E-2</v>
      </c>
      <c r="Q1111">
        <v>2.0925299222833947E-3</v>
      </c>
      <c r="R1111">
        <v>1.3572073008689142E-3</v>
      </c>
      <c r="S1111">
        <v>0.14945760433635435</v>
      </c>
      <c r="T1111">
        <v>1.0726797614844357</v>
      </c>
      <c r="U1111">
        <v>2.2730955824389481E-2</v>
      </c>
      <c r="V1111">
        <v>0.20538746383411607</v>
      </c>
      <c r="W1111">
        <v>7.9328669774263685E-2</v>
      </c>
      <c r="X1111">
        <v>1.5483262970216511E-2</v>
      </c>
      <c r="Y1111">
        <v>3.6938708696986956E-3</v>
      </c>
    </row>
    <row r="1112" spans="1:25" x14ac:dyDescent="0.25">
      <c r="A1112" s="827"/>
      <c r="B1112" s="1066">
        <v>862</v>
      </c>
      <c r="C1112" s="831">
        <v>1.0260760153358421</v>
      </c>
      <c r="D1112" s="831">
        <v>1.0174465918479672</v>
      </c>
      <c r="E1112" s="831">
        <v>0.99081758028835387</v>
      </c>
      <c r="F1112" s="831">
        <v>0.99520004862111011</v>
      </c>
      <c r="G1112" s="831">
        <v>0.99117787625289089</v>
      </c>
      <c r="H1112" s="831">
        <v>0.97813929017167367</v>
      </c>
      <c r="I1112" s="831">
        <v>1.0320811413293958</v>
      </c>
      <c r="K1112">
        <v>1.7153225156283121</v>
      </c>
      <c r="L1112">
        <v>0</v>
      </c>
      <c r="M1112">
        <v>1.3360971031424096E-3</v>
      </c>
      <c r="N1112">
        <v>0.1307789988898313</v>
      </c>
      <c r="O1112">
        <v>1.7247378130717233E-2</v>
      </c>
      <c r="P1112">
        <v>1.9609494647544495E-2</v>
      </c>
      <c r="Q1112">
        <v>2.0744071707211255E-3</v>
      </c>
      <c r="R1112">
        <v>1.3276733192711439E-3</v>
      </c>
      <c r="S1112">
        <v>0.15096650296786743</v>
      </c>
      <c r="T1112">
        <v>1.0721784949000617</v>
      </c>
      <c r="U1112">
        <v>2.2729824642348285E-2</v>
      </c>
      <c r="V1112">
        <v>0.20190250242609026</v>
      </c>
      <c r="W1112">
        <v>7.8666792722832585E-2</v>
      </c>
      <c r="X1112">
        <v>1.5563053806504809E-2</v>
      </c>
      <c r="Y1112">
        <v>3.613489107663982E-3</v>
      </c>
    </row>
    <row r="1113" spans="1:25" x14ac:dyDescent="0.25">
      <c r="A1113" s="827"/>
      <c r="B1113" s="1066">
        <v>863</v>
      </c>
      <c r="C1113" s="831">
        <v>1.028085114346893</v>
      </c>
      <c r="D1113" s="831">
        <v>0.97318467368530548</v>
      </c>
      <c r="E1113" s="831">
        <v>0.99525645449298883</v>
      </c>
      <c r="F1113" s="831">
        <v>1.0213470401908999</v>
      </c>
      <c r="G1113" s="831">
        <v>1.0028360180542759</v>
      </c>
      <c r="H1113" s="831">
        <v>0.95610148155044516</v>
      </c>
      <c r="I1113" s="831">
        <v>0.99944180856446663</v>
      </c>
      <c r="K1113">
        <v>1.7150637436691127</v>
      </c>
      <c r="L1113">
        <v>0</v>
      </c>
      <c r="M1113">
        <v>1.3175933443410374E-3</v>
      </c>
      <c r="N1113">
        <v>0.13074609103052617</v>
      </c>
      <c r="O1113">
        <v>1.756419767994323E-2</v>
      </c>
      <c r="P1113">
        <v>1.9667749554243063E-2</v>
      </c>
      <c r="Q1113">
        <v>2.1142526724564552E-3</v>
      </c>
      <c r="R1113">
        <v>1.3091255662067377E-3</v>
      </c>
      <c r="S1113">
        <v>0.14706779503384532</v>
      </c>
      <c r="T1113">
        <v>1.0717834312754912</v>
      </c>
      <c r="U1113">
        <v>2.2685405685616968E-2</v>
      </c>
      <c r="V1113">
        <v>0.20570917194757238</v>
      </c>
      <c r="W1113">
        <v>7.8407326960935761E-2</v>
      </c>
      <c r="X1113">
        <v>1.5763781368528719E-2</v>
      </c>
      <c r="Y1113">
        <v>3.5630082380878215E-3</v>
      </c>
    </row>
    <row r="1114" spans="1:25" x14ac:dyDescent="0.25">
      <c r="A1114" s="827"/>
      <c r="B1114" s="1066">
        <v>864</v>
      </c>
      <c r="C1114" s="831">
        <v>1.0310438265120232</v>
      </c>
      <c r="D1114" s="831">
        <v>1.0013761129047447</v>
      </c>
      <c r="E1114" s="831">
        <v>0.98886838133869037</v>
      </c>
      <c r="F1114" s="831">
        <v>0.98123929482615857</v>
      </c>
      <c r="G1114" s="831">
        <v>1.0298956306657097</v>
      </c>
      <c r="H1114" s="831">
        <v>1.0257548818209166</v>
      </c>
      <c r="I1114" s="831">
        <v>1.0400067709849206</v>
      </c>
      <c r="K1114">
        <v>1.732149737587765</v>
      </c>
      <c r="L1114">
        <v>0</v>
      </c>
      <c r="M1114">
        <v>1.4102246142048483E-3</v>
      </c>
      <c r="N1114">
        <v>0.13724101959442125</v>
      </c>
      <c r="O1114">
        <v>1.728836943057848E-2</v>
      </c>
      <c r="P1114">
        <v>1.9659954104883536E-2</v>
      </c>
      <c r="Q1114">
        <v>2.0725511415406231E-3</v>
      </c>
      <c r="R1114">
        <v>1.4017571360092353E-3</v>
      </c>
      <c r="S1114">
        <v>0.15584051470360313</v>
      </c>
      <c r="T1114">
        <v>1.0723522098514344</v>
      </c>
      <c r="U1114">
        <v>2.2620307011780773E-2</v>
      </c>
      <c r="V1114">
        <v>0.20281805562470989</v>
      </c>
      <c r="W1114">
        <v>8.2664820677521927E-2</v>
      </c>
      <c r="X1114">
        <v>1.5785282090383528E-2</v>
      </c>
      <c r="Y1114">
        <v>3.815120835101442E-3</v>
      </c>
    </row>
    <row r="1115" spans="1:25" x14ac:dyDescent="0.25">
      <c r="A1115" s="827"/>
      <c r="B1115" s="1066">
        <v>865</v>
      </c>
      <c r="C1115" s="831">
        <v>1.01171619568528</v>
      </c>
      <c r="D1115" s="831">
        <v>0.99202334830697181</v>
      </c>
      <c r="E1115" s="831">
        <v>1.0030820593978398</v>
      </c>
      <c r="F1115" s="831">
        <v>1.0131714055669292</v>
      </c>
      <c r="G1115" s="831">
        <v>0.97013860587461986</v>
      </c>
      <c r="H1115" s="831">
        <v>1.0198878135520368</v>
      </c>
      <c r="I1115" s="831">
        <v>0.96647443439042358</v>
      </c>
      <c r="K1115">
        <v>1.7336107657196518</v>
      </c>
      <c r="L1115">
        <v>0</v>
      </c>
      <c r="M1115">
        <v>1.3927352107097155E-3</v>
      </c>
      <c r="N1115">
        <v>0.14166465353973604</v>
      </c>
      <c r="O1115">
        <v>1.7693720518368899E-2</v>
      </c>
      <c r="P1115">
        <v>1.9787447089795865E-2</v>
      </c>
      <c r="Q1115">
        <v>2.1500793679683468E-3</v>
      </c>
      <c r="R1115">
        <v>1.3843310771084051E-3</v>
      </c>
      <c r="S1115">
        <v>0.14776179799699632</v>
      </c>
      <c r="T1115">
        <v>1.071088755594537</v>
      </c>
      <c r="U1115">
        <v>2.3052440988656688E-2</v>
      </c>
      <c r="V1115">
        <v>0.20566458545488223</v>
      </c>
      <c r="W1115">
        <v>8.4501148590460859E-2</v>
      </c>
      <c r="X1115">
        <v>1.6486847864578873E-2</v>
      </c>
      <c r="Y1115">
        <v>3.7676928472721548E-3</v>
      </c>
    </row>
    <row r="1116" spans="1:25" x14ac:dyDescent="0.25">
      <c r="A1116" s="827"/>
      <c r="B1116" s="1066">
        <v>866</v>
      </c>
      <c r="C1116" s="831">
        <v>0.99616110668844449</v>
      </c>
      <c r="D1116" s="831">
        <v>0.95847564656950957</v>
      </c>
      <c r="E1116" s="831">
        <v>0.99750349658019466</v>
      </c>
      <c r="F1116" s="831">
        <v>0.98784655693677226</v>
      </c>
      <c r="G1116" s="831">
        <v>1.000696094041168</v>
      </c>
      <c r="H1116" s="831">
        <v>0.99963390776044991</v>
      </c>
      <c r="I1116" s="831">
        <v>0.98638216257006284</v>
      </c>
      <c r="K1116">
        <v>1.7478663802795391</v>
      </c>
      <c r="L1116">
        <v>0</v>
      </c>
      <c r="M1116">
        <v>1.4248490645275074E-3</v>
      </c>
      <c r="N1116">
        <v>0.14242255431065057</v>
      </c>
      <c r="O1116">
        <v>1.8253080434322864E-2</v>
      </c>
      <c r="P1116">
        <v>1.9867722954150051E-2</v>
      </c>
      <c r="Q1116">
        <v>2.199355123772089E-3</v>
      </c>
      <c r="R1116">
        <v>1.4161018241265735E-3</v>
      </c>
      <c r="S1116">
        <v>0.15390429011643986</v>
      </c>
      <c r="T1116">
        <v>1.0715837257916847</v>
      </c>
      <c r="U1116">
        <v>2.3412405625666981E-2</v>
      </c>
      <c r="V1116">
        <v>0.21059373378658633</v>
      </c>
      <c r="W1116">
        <v>8.5278053462875245E-2</v>
      </c>
      <c r="X1116">
        <v>1.6506043566358767E-2</v>
      </c>
      <c r="Y1116">
        <v>3.8541623474316698E-3</v>
      </c>
    </row>
    <row r="1117" spans="1:25" x14ac:dyDescent="0.25">
      <c r="A1117" s="827"/>
      <c r="B1117" s="1066">
        <v>867</v>
      </c>
      <c r="C1117" s="831">
        <v>0.97653019109459316</v>
      </c>
      <c r="D1117" s="831">
        <v>1.0117628097804829</v>
      </c>
      <c r="E1117" s="831">
        <v>0.98451848139841325</v>
      </c>
      <c r="F1117" s="831">
        <v>0.99047566816939903</v>
      </c>
      <c r="G1117" s="831">
        <v>0.99272994026167383</v>
      </c>
      <c r="H1117" s="831">
        <v>1.0121228037091241</v>
      </c>
      <c r="I1117" s="831">
        <v>1.0284286975712924</v>
      </c>
      <c r="K1117">
        <v>1.7526752060518735</v>
      </c>
      <c r="L1117">
        <v>0</v>
      </c>
      <c r="M1117">
        <v>1.4757519045775979E-3</v>
      </c>
      <c r="N1117">
        <v>0.14167340042858148</v>
      </c>
      <c r="O1117">
        <v>1.8168417108754442E-2</v>
      </c>
      <c r="P1117">
        <v>1.9752652050484903E-2</v>
      </c>
      <c r="Q1117">
        <v>2.1703082102587992E-3</v>
      </c>
      <c r="R1117">
        <v>1.4667641053977168E-3</v>
      </c>
      <c r="S1117">
        <v>0.16098740780724577</v>
      </c>
      <c r="T1117">
        <v>1.0727403939186977</v>
      </c>
      <c r="U1117">
        <v>2.3883058722599194E-2</v>
      </c>
      <c r="V1117">
        <v>0.20767229554368197</v>
      </c>
      <c r="W1117">
        <v>8.5591339784818546E-2</v>
      </c>
      <c r="X1117">
        <v>1.6052871899694132E-2</v>
      </c>
      <c r="Y1117">
        <v>3.9920483762351886E-3</v>
      </c>
    </row>
    <row r="1118" spans="1:25" x14ac:dyDescent="0.25">
      <c r="A1118" s="827"/>
      <c r="B1118" s="1066">
        <v>868</v>
      </c>
      <c r="C1118" s="831">
        <v>1.0037252598399202</v>
      </c>
      <c r="D1118" s="831">
        <v>1.0193721184577829</v>
      </c>
      <c r="E1118" s="831">
        <v>0.99526542424839326</v>
      </c>
      <c r="F1118" s="831">
        <v>1.0032023891037083</v>
      </c>
      <c r="G1118" s="831">
        <v>0.95219443913969404</v>
      </c>
      <c r="H1118" s="831">
        <v>0.98241090284003207</v>
      </c>
      <c r="I1118" s="831">
        <v>0.99121951312700807</v>
      </c>
      <c r="K1118">
        <v>1.7220633666313205</v>
      </c>
      <c r="L1118">
        <v>0</v>
      </c>
      <c r="M1118">
        <v>1.3578783561387043E-3</v>
      </c>
      <c r="N1118">
        <v>0.13476749829359821</v>
      </c>
      <c r="O1118">
        <v>1.7616378022166861E-2</v>
      </c>
      <c r="P1118">
        <v>1.967078710356113E-2</v>
      </c>
      <c r="Q1118">
        <v>2.1286456905927191E-3</v>
      </c>
      <c r="R1118">
        <v>1.3493531706211316E-3</v>
      </c>
      <c r="S1118">
        <v>0.14840238157612501</v>
      </c>
      <c r="T1118">
        <v>1.0717826337114669</v>
      </c>
      <c r="U1118">
        <v>2.3235967880316982E-2</v>
      </c>
      <c r="V1118">
        <v>0.20403845108763147</v>
      </c>
      <c r="W1118">
        <v>8.0818433277949311E-2</v>
      </c>
      <c r="X1118">
        <v>1.5938220657149924E-2</v>
      </c>
      <c r="Y1118">
        <v>3.6724945162775698E-3</v>
      </c>
    </row>
    <row r="1119" spans="1:25" x14ac:dyDescent="0.25">
      <c r="A1119" s="827"/>
      <c r="B1119" s="1066">
        <v>869</v>
      </c>
      <c r="C1119" s="831">
        <v>1.0186045729877167</v>
      </c>
      <c r="D1119" s="831">
        <v>1.0192372937735092</v>
      </c>
      <c r="E1119" s="831">
        <v>0.98524997873345177</v>
      </c>
      <c r="F1119" s="831">
        <v>1.0269742202119665</v>
      </c>
      <c r="G1119" s="831">
        <v>1.0171272446638977</v>
      </c>
      <c r="H1119" s="831">
        <v>0.98639954084235115</v>
      </c>
      <c r="I1119" s="831">
        <v>0.99267905461981065</v>
      </c>
      <c r="K1119">
        <v>1.7146014240710046</v>
      </c>
      <c r="L1119">
        <v>0</v>
      </c>
      <c r="M1119">
        <v>1.3721509377130259E-3</v>
      </c>
      <c r="N1119">
        <v>0.13200649057899189</v>
      </c>
      <c r="O1119">
        <v>1.7360083720109065E-2</v>
      </c>
      <c r="P1119">
        <v>1.9487284731916365E-2</v>
      </c>
      <c r="Q1119">
        <v>2.0765292562212158E-3</v>
      </c>
      <c r="R1119">
        <v>1.3635710710427193E-3</v>
      </c>
      <c r="S1119">
        <v>0.14673458230945841</v>
      </c>
      <c r="T1119">
        <v>1.0726750654647812</v>
      </c>
      <c r="U1119">
        <v>2.289654741083165E-2</v>
      </c>
      <c r="V1119">
        <v>0.20250670996546602</v>
      </c>
      <c r="W1119">
        <v>7.9710788918553141E-2</v>
      </c>
      <c r="X1119">
        <v>1.5444730627050216E-2</v>
      </c>
      <c r="Y1119">
        <v>3.711190954295519E-3</v>
      </c>
    </row>
    <row r="1120" spans="1:25" x14ac:dyDescent="0.25">
      <c r="A1120" s="827"/>
      <c r="B1120" s="1066">
        <v>870</v>
      </c>
      <c r="C1120" s="831">
        <v>1.0198833063238506</v>
      </c>
      <c r="D1120" s="831">
        <v>0.99641142161969187</v>
      </c>
      <c r="E1120" s="831">
        <v>0.99799601617137179</v>
      </c>
      <c r="F1120" s="831">
        <v>1.0033557002475215</v>
      </c>
      <c r="G1120" s="831">
        <v>1.0078458202511213</v>
      </c>
      <c r="H1120" s="831">
        <v>0.97721369097221045</v>
      </c>
      <c r="I1120" s="831">
        <v>1.0089455820322422</v>
      </c>
      <c r="K1120">
        <v>1.7211128606334216</v>
      </c>
      <c r="L1120">
        <v>0</v>
      </c>
      <c r="M1120">
        <v>1.3353591940676141E-3</v>
      </c>
      <c r="N1120">
        <v>0.13366054599686658</v>
      </c>
      <c r="O1120">
        <v>1.7516952142909124E-2</v>
      </c>
      <c r="P1120">
        <v>1.9725491429627158E-2</v>
      </c>
      <c r="Q1120">
        <v>2.1185165582223325E-3</v>
      </c>
      <c r="R1120">
        <v>1.3269463663984707E-3</v>
      </c>
      <c r="S1120">
        <v>0.1497037738522333</v>
      </c>
      <c r="T1120">
        <v>1.0715399786439739</v>
      </c>
      <c r="U1120">
        <v>2.2867839637819701E-2</v>
      </c>
      <c r="V1120">
        <v>0.20440839238952718</v>
      </c>
      <c r="W1120">
        <v>8.0004635467231799E-2</v>
      </c>
      <c r="X1120">
        <v>1.5963636761094937E-2</v>
      </c>
      <c r="Y1120">
        <v>3.6115105815845154E-3</v>
      </c>
    </row>
    <row r="1121" spans="1:25" x14ac:dyDescent="0.25">
      <c r="A1121" s="827"/>
      <c r="B1121" s="1066">
        <v>871</v>
      </c>
      <c r="C1121" s="831">
        <v>1.0031640463792102</v>
      </c>
      <c r="D1121" s="831">
        <v>1.0221785453092658</v>
      </c>
      <c r="E1121" s="831">
        <v>0.97245241799435878</v>
      </c>
      <c r="F1121" s="831">
        <v>1.030367837770642</v>
      </c>
      <c r="G1121" s="831">
        <v>1.0134978458441311</v>
      </c>
      <c r="H1121" s="831">
        <v>1.0048014856597192</v>
      </c>
      <c r="I1121" s="831">
        <v>1.0172780957920504</v>
      </c>
      <c r="K1121">
        <v>1.7296429849884316</v>
      </c>
      <c r="L1121">
        <v>0</v>
      </c>
      <c r="M1121">
        <v>1.4560081641568098E-3</v>
      </c>
      <c r="N1121">
        <v>0.13461337769357556</v>
      </c>
      <c r="O1121">
        <v>1.7604349278750979E-2</v>
      </c>
      <c r="P1121">
        <v>1.9431265093708891E-2</v>
      </c>
      <c r="Q1121">
        <v>2.0790024895647667E-3</v>
      </c>
      <c r="R1121">
        <v>1.4470686091363164E-3</v>
      </c>
      <c r="S1121">
        <v>0.1538295956657445</v>
      </c>
      <c r="T1121">
        <v>1.0738208895954553</v>
      </c>
      <c r="U1121">
        <v>2.3248967088167483E-2</v>
      </c>
      <c r="V1121">
        <v>0.20384761445858141</v>
      </c>
      <c r="W1121">
        <v>8.2010555540814045E-2</v>
      </c>
      <c r="X1121">
        <v>1.5227863911058846E-2</v>
      </c>
      <c r="Y1121">
        <v>3.9384437280302548E-3</v>
      </c>
    </row>
    <row r="1122" spans="1:25" x14ac:dyDescent="0.25">
      <c r="A1122" s="827"/>
      <c r="B1122" s="1066">
        <v>872</v>
      </c>
      <c r="C1122" s="831">
        <v>0.99359515864860448</v>
      </c>
      <c r="D1122" s="831">
        <v>1.011812589376748</v>
      </c>
      <c r="E1122" s="831">
        <v>1.0338930530964181</v>
      </c>
      <c r="F1122" s="831">
        <v>0.97892395642645036</v>
      </c>
      <c r="G1122" s="831">
        <v>1.013358830859991</v>
      </c>
      <c r="H1122" s="831">
        <v>0.99446865530256334</v>
      </c>
      <c r="I1122" s="831">
        <v>1.0132919852976612</v>
      </c>
      <c r="K1122">
        <v>1.741452458766126</v>
      </c>
      <c r="L1122">
        <v>0</v>
      </c>
      <c r="M1122">
        <v>1.2841538391863501E-3</v>
      </c>
      <c r="N1122">
        <v>0.14371803054426502</v>
      </c>
      <c r="O1122">
        <v>1.7855977691309283E-2</v>
      </c>
      <c r="P1122">
        <v>2.0305666052449923E-2</v>
      </c>
      <c r="Q1122">
        <v>2.2409669374367541E-3</v>
      </c>
      <c r="R1122">
        <v>1.2761940621473938E-3</v>
      </c>
      <c r="S1122">
        <v>0.15460489505623901</v>
      </c>
      <c r="T1122">
        <v>1.0683761871486708</v>
      </c>
      <c r="U1122">
        <v>2.3472867893221536E-2</v>
      </c>
      <c r="V1122">
        <v>0.20579512226312333</v>
      </c>
      <c r="W1122">
        <v>8.3960186982795462E-2</v>
      </c>
      <c r="X1122">
        <v>1.7657138433747499E-2</v>
      </c>
      <c r="Y1122">
        <v>3.4733795399056852E-3</v>
      </c>
    </row>
    <row r="1123" spans="1:25" x14ac:dyDescent="0.25">
      <c r="A1123" s="827"/>
      <c r="B1123" s="1066">
        <v>873</v>
      </c>
      <c r="C1123" s="831">
        <v>0.96788837738946232</v>
      </c>
      <c r="D1123" s="831">
        <v>0.99291152667145066</v>
      </c>
      <c r="E1123" s="831">
        <v>1.0325138610049773</v>
      </c>
      <c r="F1123" s="831">
        <v>0.98938401609386828</v>
      </c>
      <c r="G1123" s="831">
        <v>0.97811232084866306</v>
      </c>
      <c r="H1123" s="831">
        <v>1.0039650303772978</v>
      </c>
      <c r="I1123" s="831">
        <v>0.99009129436086607</v>
      </c>
      <c r="K1123">
        <v>1.760676153484537</v>
      </c>
      <c r="L1123">
        <v>0</v>
      </c>
      <c r="M1123">
        <v>1.3461730909683956E-3</v>
      </c>
      <c r="N1123">
        <v>0.15002579429067317</v>
      </c>
      <c r="O1123">
        <v>1.8487423283517455E-2</v>
      </c>
      <c r="P1123">
        <v>2.0393965538396168E-2</v>
      </c>
      <c r="Q1123">
        <v>2.3134842303254347E-3</v>
      </c>
      <c r="R1123">
        <v>1.3379204888952045E-3</v>
      </c>
      <c r="S1123">
        <v>0.15699503906553858</v>
      </c>
      <c r="T1123">
        <v>1.0684968406071738</v>
      </c>
      <c r="U1123">
        <v>2.4096299163347195E-2</v>
      </c>
      <c r="V1123">
        <v>0.21042930032180096</v>
      </c>
      <c r="W1123">
        <v>8.7726048719264954E-2</v>
      </c>
      <c r="X1123">
        <v>1.8078832341169176E-2</v>
      </c>
      <c r="Y1123">
        <v>3.6413785254021161E-3</v>
      </c>
    </row>
    <row r="1124" spans="1:25" x14ac:dyDescent="0.25">
      <c r="A1124" s="827"/>
      <c r="B1124" s="1066">
        <v>874</v>
      </c>
      <c r="C1124" s="831">
        <v>0.98019625153925671</v>
      </c>
      <c r="D1124" s="831">
        <v>0.99315769838425183</v>
      </c>
      <c r="E1124" s="831">
        <v>0.97120088451662034</v>
      </c>
      <c r="F1124" s="831">
        <v>0.98444472377962078</v>
      </c>
      <c r="G1124" s="831">
        <v>1.0030024192690665</v>
      </c>
      <c r="H1124" s="831">
        <v>0.98322614880540271</v>
      </c>
      <c r="I1124" s="831">
        <v>0.97356635260411661</v>
      </c>
      <c r="K1124">
        <v>1.736462212331678</v>
      </c>
      <c r="L1124">
        <v>0</v>
      </c>
      <c r="M1124">
        <v>1.4811194015764142E-3</v>
      </c>
      <c r="N1124">
        <v>0.13638527236932838</v>
      </c>
      <c r="O1124">
        <v>1.8253233752299043E-2</v>
      </c>
      <c r="P1124">
        <v>1.945163782433534E-2</v>
      </c>
      <c r="Q1124">
        <v>2.147823631212303E-3</v>
      </c>
      <c r="R1124">
        <v>1.4718478153867402E-3</v>
      </c>
      <c r="S1124">
        <v>0.15093731547852754</v>
      </c>
      <c r="T1124">
        <v>1.073933275127432</v>
      </c>
      <c r="U1124">
        <v>2.3793733001609106E-2</v>
      </c>
      <c r="V1124">
        <v>0.20900193297468536</v>
      </c>
      <c r="W1124">
        <v>8.31626526345286E-2</v>
      </c>
      <c r="X1124">
        <v>1.5398722564929549E-2</v>
      </c>
      <c r="Y1124">
        <v>4.0058845589807648E-3</v>
      </c>
    </row>
    <row r="1125" spans="1:25" x14ac:dyDescent="0.25">
      <c r="A1125" s="827"/>
      <c r="B1125" s="1066">
        <v>875</v>
      </c>
      <c r="C1125" s="831">
        <v>0.98620298108466742</v>
      </c>
      <c r="D1125" s="831">
        <v>0.96888481255789594</v>
      </c>
      <c r="E1125" s="831">
        <v>0.99594678431217043</v>
      </c>
      <c r="F1125" s="831">
        <v>1.023601937818265</v>
      </c>
      <c r="G1125" s="831">
        <v>1.0064987476994858</v>
      </c>
      <c r="H1125" s="831">
        <v>1.0115602906201806</v>
      </c>
      <c r="I1125" s="831">
        <v>1.0033256876466752</v>
      </c>
      <c r="K1125">
        <v>1.7566802642644341</v>
      </c>
      <c r="L1125">
        <v>0</v>
      </c>
      <c r="M1125">
        <v>1.4540326099232556E-3</v>
      </c>
      <c r="N1125">
        <v>0.14464700932195332</v>
      </c>
      <c r="O1125">
        <v>1.834700646046962E-2</v>
      </c>
      <c r="P1125">
        <v>1.9910703927612353E-2</v>
      </c>
      <c r="Q1125">
        <v>2.2092036894967898E-3</v>
      </c>
      <c r="R1125">
        <v>1.445203532870484E-3</v>
      </c>
      <c r="S1125">
        <v>0.15830169833735402</v>
      </c>
      <c r="T1125">
        <v>1.0717220580654119</v>
      </c>
      <c r="U1125">
        <v>2.3648810990869334E-2</v>
      </c>
      <c r="V1125">
        <v>0.21068087284702874</v>
      </c>
      <c r="W1125">
        <v>8.6702500425627674E-2</v>
      </c>
      <c r="X1125">
        <v>1.6585861670406481E-2</v>
      </c>
      <c r="Y1125">
        <v>3.9333676052568847E-3</v>
      </c>
    </row>
    <row r="1126" spans="1:25" x14ac:dyDescent="0.25">
      <c r="A1126" s="827"/>
      <c r="B1126" s="1066">
        <v>876</v>
      </c>
      <c r="C1126" s="831">
        <v>0.95585787154559276</v>
      </c>
      <c r="D1126" s="831">
        <v>0.99778866127585297</v>
      </c>
      <c r="E1126" s="831">
        <v>0.97456440967576996</v>
      </c>
      <c r="F1126" s="831">
        <v>0.98612241778381438</v>
      </c>
      <c r="G1126" s="831">
        <v>0.9882905382791356</v>
      </c>
      <c r="H1126" s="831">
        <v>1.0458182964148492</v>
      </c>
      <c r="I1126" s="831">
        <v>1.0024229488650997</v>
      </c>
      <c r="K1126">
        <v>1.7738752348166893</v>
      </c>
      <c r="L1126">
        <v>0</v>
      </c>
      <c r="M1126">
        <v>1.6007918444147225E-3</v>
      </c>
      <c r="N1126">
        <v>0.14901456823301007</v>
      </c>
      <c r="O1126">
        <v>1.8678581596119265E-2</v>
      </c>
      <c r="P1126">
        <v>1.9709335070116275E-2</v>
      </c>
      <c r="Q1126">
        <v>2.2062733499762623E-3</v>
      </c>
      <c r="R1126">
        <v>1.591367286064753E-3</v>
      </c>
      <c r="S1126">
        <v>0.16377770548303991</v>
      </c>
      <c r="T1126">
        <v>1.0736313696210515</v>
      </c>
      <c r="U1126">
        <v>2.4399577167881006E-2</v>
      </c>
      <c r="V1126">
        <v>0.21136213698373624</v>
      </c>
      <c r="W1126">
        <v>9.065064455817598E-2</v>
      </c>
      <c r="X1126">
        <v>1.6123290153349665E-2</v>
      </c>
      <c r="Y1126">
        <v>4.331177158583395E-3</v>
      </c>
    </row>
    <row r="1127" spans="1:25" x14ac:dyDescent="0.25">
      <c r="A1127" s="827"/>
      <c r="B1127" s="1066">
        <v>877</v>
      </c>
      <c r="C1127" s="831">
        <v>0.99134617940286884</v>
      </c>
      <c r="D1127" s="831">
        <v>0.97481748964911197</v>
      </c>
      <c r="E1127" s="831">
        <v>0.97955418032303077</v>
      </c>
      <c r="F1127" s="831">
        <v>0.98434114156130315</v>
      </c>
      <c r="G1127" s="831">
        <v>1.0045917458721982</v>
      </c>
      <c r="H1127" s="831">
        <v>0.99469861617870725</v>
      </c>
      <c r="I1127" s="831">
        <v>0.99936845041604427</v>
      </c>
      <c r="K1127">
        <v>1.7440600054531314</v>
      </c>
      <c r="L1127">
        <v>0</v>
      </c>
      <c r="M1127">
        <v>1.4681660450776631E-3</v>
      </c>
      <c r="N1127">
        <v>0.13876992454302828</v>
      </c>
      <c r="O1127">
        <v>1.8201251021877581E-2</v>
      </c>
      <c r="P1127">
        <v>1.9626908627784625E-2</v>
      </c>
      <c r="Q1127">
        <v>2.1566890726415931E-3</v>
      </c>
      <c r="R1127">
        <v>1.4590954479181449E-3</v>
      </c>
      <c r="S1127">
        <v>0.1552263027495781</v>
      </c>
      <c r="T1127">
        <v>1.0731842765859383</v>
      </c>
      <c r="U1127">
        <v>2.3526118708957284E-2</v>
      </c>
      <c r="V1127">
        <v>0.20951447272746562</v>
      </c>
      <c r="W1127">
        <v>8.4126094722274489E-2</v>
      </c>
      <c r="X1127">
        <v>1.5765860472197718E-2</v>
      </c>
      <c r="Y1127">
        <v>3.9711768185480539E-3</v>
      </c>
    </row>
    <row r="1128" spans="1:25" x14ac:dyDescent="0.25">
      <c r="A1128" s="827"/>
      <c r="B1128" s="1066">
        <v>878</v>
      </c>
      <c r="C1128" s="831">
        <v>1.0271516118957034</v>
      </c>
      <c r="D1128" s="831">
        <v>0.99648353028789727</v>
      </c>
      <c r="E1128" s="831">
        <v>1.0206318231378617</v>
      </c>
      <c r="F1128" s="831">
        <v>1.0064033234356937</v>
      </c>
      <c r="G1128" s="831">
        <v>1.0038768797109845</v>
      </c>
      <c r="H1128" s="831">
        <v>0.9727651297151757</v>
      </c>
      <c r="I1128" s="831">
        <v>1.0037998551322191</v>
      </c>
      <c r="K1128">
        <v>1.7178593055285194</v>
      </c>
      <c r="L1128">
        <v>0</v>
      </c>
      <c r="M1128">
        <v>1.2583055204879367E-3</v>
      </c>
      <c r="N1128">
        <v>0.13512684989771756</v>
      </c>
      <c r="O1128">
        <v>1.7392428749380337E-2</v>
      </c>
      <c r="P1128">
        <v>1.9988712208804899E-2</v>
      </c>
      <c r="Q1128">
        <v>2.1516271044934405E-3</v>
      </c>
      <c r="R1128">
        <v>1.2503418348583243E-3</v>
      </c>
      <c r="S1128">
        <v>0.14756931551031427</v>
      </c>
      <c r="T1128">
        <v>1.0695392848732748</v>
      </c>
      <c r="U1128">
        <v>2.2706022780083344E-2</v>
      </c>
      <c r="V1128">
        <v>0.20364979003894068</v>
      </c>
      <c r="W1128">
        <v>7.9647201253198546E-2</v>
      </c>
      <c r="X1128">
        <v>1.6693018498532892E-2</v>
      </c>
      <c r="Y1128">
        <v>3.4030182994092724E-3</v>
      </c>
    </row>
    <row r="1129" spans="1:25" x14ac:dyDescent="0.25">
      <c r="A1129" s="827"/>
      <c r="B1129" s="1066">
        <v>879</v>
      </c>
      <c r="C1129" s="831">
        <v>0.96591107308348412</v>
      </c>
      <c r="D1129" s="831">
        <v>1.0273880352467957</v>
      </c>
      <c r="E1129" s="831">
        <v>1.0240159563668341</v>
      </c>
      <c r="F1129" s="831">
        <v>1.0000941274769481</v>
      </c>
      <c r="G1129" s="831">
        <v>0.98370551856919919</v>
      </c>
      <c r="H1129" s="831">
        <v>1.0181074376349919</v>
      </c>
      <c r="I1129" s="831">
        <v>0.97237357024168802</v>
      </c>
      <c r="K1129">
        <v>1.7526376129374435</v>
      </c>
      <c r="L1129">
        <v>0</v>
      </c>
      <c r="M1129">
        <v>1.3714188983294882E-3</v>
      </c>
      <c r="N1129">
        <v>0.14887000273937204</v>
      </c>
      <c r="O1129">
        <v>1.8241377500169194E-2</v>
      </c>
      <c r="P1129">
        <v>2.0186916503562115E-2</v>
      </c>
      <c r="Q1129">
        <v>2.2698867615694703E-3</v>
      </c>
      <c r="R1129">
        <v>1.3631053503147929E-3</v>
      </c>
      <c r="S1129">
        <v>0.15333906751595219</v>
      </c>
      <c r="T1129">
        <v>1.0692418402498538</v>
      </c>
      <c r="U1129">
        <v>2.414562639172417E-2</v>
      </c>
      <c r="V1129">
        <v>0.20743850968874838</v>
      </c>
      <c r="W1129">
        <v>8.7547940297436622E-2</v>
      </c>
      <c r="X1129">
        <v>1.7654835421070211E-2</v>
      </c>
      <c r="Y1129">
        <v>3.7099234159988998E-3</v>
      </c>
    </row>
    <row r="1130" spans="1:25" x14ac:dyDescent="0.25">
      <c r="A1130" s="827"/>
      <c r="B1130" s="1066">
        <v>880</v>
      </c>
      <c r="C1130" s="831">
        <v>1.0148295824840869</v>
      </c>
      <c r="D1130" s="831">
        <v>1.0134318402705518</v>
      </c>
      <c r="E1130" s="831">
        <v>0.98085027586592444</v>
      </c>
      <c r="F1130" s="831">
        <v>1.0253029280338681</v>
      </c>
      <c r="G1130" s="831">
        <v>0.98959151774096388</v>
      </c>
      <c r="H1130" s="831">
        <v>0.9752980634036551</v>
      </c>
      <c r="I1130" s="831">
        <v>0.99019396535703863</v>
      </c>
      <c r="K1130">
        <v>1.7138756881217152</v>
      </c>
      <c r="L1130">
        <v>0</v>
      </c>
      <c r="M1130">
        <v>1.3779468909493721E-3</v>
      </c>
      <c r="N1130">
        <v>0.13075068296725101</v>
      </c>
      <c r="O1130">
        <v>1.746971733036284E-2</v>
      </c>
      <c r="P1130">
        <v>1.9437577188854409E-2</v>
      </c>
      <c r="Q1130">
        <v>2.0793696438482566E-3</v>
      </c>
      <c r="R1130">
        <v>1.3692367282994954E-3</v>
      </c>
      <c r="S1130">
        <v>0.14648673072340582</v>
      </c>
      <c r="T1130">
        <v>1.0730682969295351</v>
      </c>
      <c r="U1130">
        <v>2.2981718606600528E-2</v>
      </c>
      <c r="V1130">
        <v>0.20340329178979272</v>
      </c>
      <c r="W1130">
        <v>7.9193368498735983E-2</v>
      </c>
      <c r="X1130">
        <v>1.5287033600313239E-2</v>
      </c>
      <c r="Y1130">
        <v>3.7266110056650499E-3</v>
      </c>
    </row>
    <row r="1131" spans="1:25" x14ac:dyDescent="0.25">
      <c r="A1131" s="827"/>
      <c r="B1131" s="1066">
        <v>881</v>
      </c>
      <c r="C1131" s="831">
        <v>0.99741290101365809</v>
      </c>
      <c r="D1131" s="831">
        <v>0.98694700980621097</v>
      </c>
      <c r="E1131" s="831">
        <v>0.96236840864974194</v>
      </c>
      <c r="F1131" s="831">
        <v>1.016404981924216</v>
      </c>
      <c r="G1131" s="831">
        <v>0.97975882774043377</v>
      </c>
      <c r="H1131" s="831">
        <v>1.0366952266339242</v>
      </c>
      <c r="I1131" s="831">
        <v>1.0216757988376786</v>
      </c>
      <c r="K1131">
        <v>1.7514762832351507</v>
      </c>
      <c r="L1131">
        <v>0</v>
      </c>
      <c r="M1131">
        <v>1.5678179557905908E-3</v>
      </c>
      <c r="N1131">
        <v>0.1404921684180491</v>
      </c>
      <c r="O1131">
        <v>1.79892632105835E-2</v>
      </c>
      <c r="P1131">
        <v>1.942798702729322E-2</v>
      </c>
      <c r="Q1131">
        <v>2.096621507136322E-3</v>
      </c>
      <c r="R1131">
        <v>1.5585146179491376E-3</v>
      </c>
      <c r="S1131">
        <v>0.16002318318640213</v>
      </c>
      <c r="T1131">
        <v>1.0747280844645557</v>
      </c>
      <c r="U1131">
        <v>2.3383022091052558E-2</v>
      </c>
      <c r="V1131">
        <v>0.20767867550196489</v>
      </c>
      <c r="W1131">
        <v>8.6198463988161972E-2</v>
      </c>
      <c r="X1131">
        <v>1.5226354151940812E-2</v>
      </c>
      <c r="Y1131">
        <v>4.2417630258518241E-3</v>
      </c>
    </row>
    <row r="1132" spans="1:25" x14ac:dyDescent="0.25">
      <c r="A1132" s="827"/>
      <c r="B1132" s="1066">
        <v>882</v>
      </c>
      <c r="C1132" s="831">
        <v>0.96774483847384207</v>
      </c>
      <c r="D1132" s="831">
        <v>0.9951248421266039</v>
      </c>
      <c r="E1132" s="831">
        <v>0.97800479311779653</v>
      </c>
      <c r="F1132" s="831">
        <v>1.0174489315168938</v>
      </c>
      <c r="G1132" s="831">
        <v>0.96868807221817221</v>
      </c>
      <c r="H1132" s="831">
        <v>0.99537679246286859</v>
      </c>
      <c r="I1132" s="831">
        <v>1.0041617585983631</v>
      </c>
      <c r="K1132">
        <v>1.7524396372713715</v>
      </c>
      <c r="L1132">
        <v>0</v>
      </c>
      <c r="M1132">
        <v>1.4958542850749773E-3</v>
      </c>
      <c r="N1132">
        <v>0.14070515241047174</v>
      </c>
      <c r="O1132">
        <v>1.8471512657133024E-2</v>
      </c>
      <c r="P1132">
        <v>1.9666385210706992E-2</v>
      </c>
      <c r="Q1132">
        <v>2.1889927474947868E-3</v>
      </c>
      <c r="R1132">
        <v>1.4866032698269778E-3</v>
      </c>
      <c r="S1132">
        <v>0.15846134552150021</v>
      </c>
      <c r="T1132">
        <v>1.0733230045785793</v>
      </c>
      <c r="U1132">
        <v>2.4099873201166716E-2</v>
      </c>
      <c r="V1132">
        <v>0.21023020880552487</v>
      </c>
      <c r="W1132">
        <v>8.539111607883465E-2</v>
      </c>
      <c r="X1132">
        <v>1.5865253033374587E-2</v>
      </c>
      <c r="Y1132">
        <v>4.0460440418328414E-3</v>
      </c>
    </row>
    <row r="1133" spans="1:25" x14ac:dyDescent="0.25">
      <c r="A1133" s="827"/>
      <c r="B1133" s="1066">
        <v>883</v>
      </c>
      <c r="C1133" s="831">
        <v>0.99156280948507924</v>
      </c>
      <c r="D1133" s="831">
        <v>0.98063658177753277</v>
      </c>
      <c r="E1133" s="831">
        <v>1.0131520591868857</v>
      </c>
      <c r="F1133" s="831">
        <v>0.98294494399395926</v>
      </c>
      <c r="G1133" s="831">
        <v>1.0216229164907242</v>
      </c>
      <c r="H1133" s="831">
        <v>1.0012959583187711</v>
      </c>
      <c r="I1133" s="831">
        <v>0.97279792172293933</v>
      </c>
      <c r="K1133">
        <v>1.7444010498665845</v>
      </c>
      <c r="L1133">
        <v>0</v>
      </c>
      <c r="M1133">
        <v>1.3729915068674515E-3</v>
      </c>
      <c r="N1133">
        <v>0.14408281100311815</v>
      </c>
      <c r="O1133">
        <v>1.814815214020115E-2</v>
      </c>
      <c r="P1133">
        <v>2.0021657435199441E-2</v>
      </c>
      <c r="Q1133">
        <v>2.2255125541645717E-3</v>
      </c>
      <c r="R1133">
        <v>1.3645606694079545E-3</v>
      </c>
      <c r="S1133">
        <v>0.15116129932030209</v>
      </c>
      <c r="T1133">
        <v>1.0701982493466864</v>
      </c>
      <c r="U1133">
        <v>2.3520978878195955E-2</v>
      </c>
      <c r="V1133">
        <v>0.20892842044193641</v>
      </c>
      <c r="W1133">
        <v>8.5356725088697016E-2</v>
      </c>
      <c r="X1133">
        <v>1.7051790180716696E-2</v>
      </c>
      <c r="Y1133">
        <v>3.7138843148246761E-3</v>
      </c>
    </row>
    <row r="1134" spans="1:25" x14ac:dyDescent="0.25">
      <c r="A1134" s="827"/>
      <c r="B1134" s="1066">
        <v>884</v>
      </c>
      <c r="C1134" s="831">
        <v>1.0093832074633726</v>
      </c>
      <c r="D1134" s="831">
        <v>0.97384355477247431</v>
      </c>
      <c r="E1134" s="831">
        <v>1.0129763237080573</v>
      </c>
      <c r="F1134" s="831">
        <v>0.9585210263208942</v>
      </c>
      <c r="G1134" s="831">
        <v>1.0181649579064977</v>
      </c>
      <c r="H1134" s="831">
        <v>1.0034444763762569</v>
      </c>
      <c r="I1134" s="831">
        <v>0.96322917495439431</v>
      </c>
      <c r="K1134">
        <v>1.7356860300233139</v>
      </c>
      <c r="L1134">
        <v>0</v>
      </c>
      <c r="M1134">
        <v>1.3564181082696273E-3</v>
      </c>
      <c r="N1134">
        <v>0.14226824277238856</v>
      </c>
      <c r="O1134">
        <v>1.7884127074684199E-2</v>
      </c>
      <c r="P1134">
        <v>1.9946698317813427E-2</v>
      </c>
      <c r="Q1134">
        <v>2.1914860481699904E-3</v>
      </c>
      <c r="R1134">
        <v>1.3481116365363073E-3</v>
      </c>
      <c r="S1134">
        <v>0.14760703728330962</v>
      </c>
      <c r="T1134">
        <v>1.0702137570415826</v>
      </c>
      <c r="U1134">
        <v>2.3105722114115379E-2</v>
      </c>
      <c r="V1134">
        <v>0.20763097040666981</v>
      </c>
      <c r="W1134">
        <v>8.4291792057205134E-2</v>
      </c>
      <c r="X1134">
        <v>1.6885387909338346E-2</v>
      </c>
      <c r="Y1134">
        <v>3.669115469770281E-3</v>
      </c>
    </row>
    <row r="1135" spans="1:25" x14ac:dyDescent="0.25">
      <c r="A1135" s="827"/>
      <c r="B1135" s="1066">
        <v>885</v>
      </c>
      <c r="C1135" s="831">
        <v>1.0085019508297817</v>
      </c>
      <c r="D1135" s="831">
        <v>0.96559913481210202</v>
      </c>
      <c r="E1135" s="831">
        <v>0.95642647542265657</v>
      </c>
      <c r="F1135" s="831">
        <v>0.99103137854970325</v>
      </c>
      <c r="G1135" s="831">
        <v>1.0186274578556687</v>
      </c>
      <c r="H1135" s="831">
        <v>1.0110094349907812</v>
      </c>
      <c r="I1135" s="831">
        <v>1.0200773111002945</v>
      </c>
      <c r="K1135">
        <v>1.7426885961225702</v>
      </c>
      <c r="L1135">
        <v>0</v>
      </c>
      <c r="M1135">
        <v>1.5463457241135493E-3</v>
      </c>
      <c r="N1135">
        <v>0.13600328868725028</v>
      </c>
      <c r="O1135">
        <v>1.7969072986964235E-2</v>
      </c>
      <c r="P1135">
        <v>1.9321203631771287E-2</v>
      </c>
      <c r="Q1135">
        <v>2.0777373229219128E-3</v>
      </c>
      <c r="R1135">
        <v>1.5369536396382377E-3</v>
      </c>
      <c r="S1135">
        <v>0.15756853346061761</v>
      </c>
      <c r="T1135">
        <v>1.0752644240500624</v>
      </c>
      <c r="U1135">
        <v>2.3125912527103883E-2</v>
      </c>
      <c r="V1135">
        <v>0.20852238669108755</v>
      </c>
      <c r="W1135">
        <v>8.3794131603641908E-2</v>
      </c>
      <c r="X1135">
        <v>1.4868216095161795E-2</v>
      </c>
      <c r="Y1135">
        <v>4.1830811504641437E-3</v>
      </c>
    </row>
    <row r="1136" spans="1:25" x14ac:dyDescent="0.25">
      <c r="A1136" s="827"/>
      <c r="B1136" s="1066">
        <v>886</v>
      </c>
      <c r="C1136" s="831">
        <v>1.0073369534745182</v>
      </c>
      <c r="D1136" s="831">
        <v>1.0163594316177953</v>
      </c>
      <c r="E1136" s="831">
        <v>0.98784242748671869</v>
      </c>
      <c r="F1136" s="831">
        <v>0.99989661730727109</v>
      </c>
      <c r="G1136" s="831">
        <v>0.99451949548954843</v>
      </c>
      <c r="H1136" s="831">
        <v>1.0090503156796533</v>
      </c>
      <c r="I1136" s="831">
        <v>1.0203619048741996</v>
      </c>
      <c r="K1136">
        <v>1.7325467480301469</v>
      </c>
      <c r="L1136">
        <v>0</v>
      </c>
      <c r="M1136">
        <v>1.4134521477524513E-3</v>
      </c>
      <c r="N1136">
        <v>0.13710165806837041</v>
      </c>
      <c r="O1136">
        <v>1.757671667804294E-2</v>
      </c>
      <c r="P1136">
        <v>1.9647693722833218E-2</v>
      </c>
      <c r="Q1136">
        <v>2.1074848536868636E-3</v>
      </c>
      <c r="R1136">
        <v>1.4048143964532219E-3</v>
      </c>
      <c r="S1136">
        <v>0.15432732571143232</v>
      </c>
      <c r="T1136">
        <v>1.0724437015604626</v>
      </c>
      <c r="U1136">
        <v>2.3152657924301174E-2</v>
      </c>
      <c r="V1136">
        <v>0.20392528293440118</v>
      </c>
      <c r="W1136">
        <v>8.2639345091044744E-2</v>
      </c>
      <c r="X1136">
        <v>1.5810077546663394E-2</v>
      </c>
      <c r="Y1136">
        <v>3.8234416902043402E-3</v>
      </c>
    </row>
    <row r="1137" spans="1:25" x14ac:dyDescent="0.25">
      <c r="A1137" s="827"/>
      <c r="B1137" s="1066">
        <v>887</v>
      </c>
      <c r="C1137" s="831">
        <v>0.96761648052927485</v>
      </c>
      <c r="D1137" s="831">
        <v>0.96996930502072864</v>
      </c>
      <c r="E1137" s="831">
        <v>1.0359693936939089</v>
      </c>
      <c r="F1137" s="831">
        <v>0.97829134286584318</v>
      </c>
      <c r="G1137" s="831">
        <v>0.96058598308056109</v>
      </c>
      <c r="H1137" s="831">
        <v>1.0347634984508474</v>
      </c>
      <c r="I1137" s="831">
        <v>0.98962148734196109</v>
      </c>
      <c r="K1137">
        <v>1.77812498162836</v>
      </c>
      <c r="L1137">
        <v>0</v>
      </c>
      <c r="M1137">
        <v>1.3924271036967681E-3</v>
      </c>
      <c r="N1137">
        <v>0.15688423601378956</v>
      </c>
      <c r="O1137">
        <v>1.8689917668443783E-2</v>
      </c>
      <c r="P1137">
        <v>2.0526193846099567E-2</v>
      </c>
      <c r="Q1137">
        <v>2.3422716860211504E-3</v>
      </c>
      <c r="R1137">
        <v>1.384160929766067E-3</v>
      </c>
      <c r="S1137">
        <v>0.16079177439358128</v>
      </c>
      <c r="T1137">
        <v>1.0681946824464774</v>
      </c>
      <c r="U1137">
        <v>2.4103070139468934E-2</v>
      </c>
      <c r="V1137">
        <v>0.21271849231887169</v>
      </c>
      <c r="W1137">
        <v>9.1524893659165302E-2</v>
      </c>
      <c r="X1137">
        <v>1.8590485868074862E-2</v>
      </c>
      <c r="Y1137">
        <v>3.7672297622953679E-3</v>
      </c>
    </row>
    <row r="1138" spans="1:25" x14ac:dyDescent="0.25">
      <c r="A1138" s="827"/>
      <c r="B1138" s="1066">
        <v>888</v>
      </c>
      <c r="C1138" s="831">
        <v>1.0245877317689402</v>
      </c>
      <c r="D1138" s="831">
        <v>0.9949612461013877</v>
      </c>
      <c r="E1138" s="831">
        <v>0.96837902628991424</v>
      </c>
      <c r="F1138" s="831">
        <v>1.0237546565162017</v>
      </c>
      <c r="G1138" s="831">
        <v>1.0016756576307602</v>
      </c>
      <c r="H1138" s="831">
        <v>0.98520623594356249</v>
      </c>
      <c r="I1138" s="831">
        <v>0.9863659328533364</v>
      </c>
      <c r="K1138">
        <v>1.7146598829931972</v>
      </c>
      <c r="L1138">
        <v>0</v>
      </c>
      <c r="M1138">
        <v>1.4270509358865219E-3</v>
      </c>
      <c r="N1138">
        <v>0.13025688869583835</v>
      </c>
      <c r="O1138">
        <v>1.744803549310444E-2</v>
      </c>
      <c r="P1138">
        <v>1.9271793394709285E-2</v>
      </c>
      <c r="Q1138">
        <v>2.0474693641333187E-3</v>
      </c>
      <c r="R1138">
        <v>1.4181344421681993E-3</v>
      </c>
      <c r="S1138">
        <v>0.14632319224447038</v>
      </c>
      <c r="T1138">
        <v>1.0741868885209183</v>
      </c>
      <c r="U1138">
        <v>2.2762841263028875E-2</v>
      </c>
      <c r="V1138">
        <v>0.2040535362807997</v>
      </c>
      <c r="W1138">
        <v>7.9582588316035999E-2</v>
      </c>
      <c r="X1138">
        <v>1.4875871450187372E-2</v>
      </c>
      <c r="Y1138">
        <v>3.8596944636886178E-3</v>
      </c>
    </row>
    <row r="1139" spans="1:25" x14ac:dyDescent="0.25">
      <c r="A1139" s="827"/>
      <c r="B1139" s="1066">
        <v>889</v>
      </c>
      <c r="C1139" s="831">
        <v>1.0357578949014032</v>
      </c>
      <c r="D1139" s="831">
        <v>0.99644392264120751</v>
      </c>
      <c r="E1139" s="831">
        <v>0.99503726930892267</v>
      </c>
      <c r="F1139" s="831">
        <v>0.99334969912346416</v>
      </c>
      <c r="G1139" s="831">
        <v>0.99652473179263312</v>
      </c>
      <c r="H1139" s="831">
        <v>0.96799845232746384</v>
      </c>
      <c r="I1139" s="831">
        <v>1.0304272661027229</v>
      </c>
      <c r="K1139">
        <v>1.7131019033271617</v>
      </c>
      <c r="L1139">
        <v>0</v>
      </c>
      <c r="M1139">
        <v>1.3106104654659158E-3</v>
      </c>
      <c r="N1139">
        <v>0.12997320633500808</v>
      </c>
      <c r="O1139">
        <v>1.7248222866450211E-2</v>
      </c>
      <c r="P1139">
        <v>1.9661031060032957E-2</v>
      </c>
      <c r="Q1139">
        <v>2.0798150730779287E-3</v>
      </c>
      <c r="R1139">
        <v>1.3022749289262044E-3</v>
      </c>
      <c r="S1139">
        <v>0.14988663021139415</v>
      </c>
      <c r="T1139">
        <v>1.0718029215142257</v>
      </c>
      <c r="U1139">
        <v>2.2517354695638897E-2</v>
      </c>
      <c r="V1139">
        <v>0.202782434523053</v>
      </c>
      <c r="W1139">
        <v>7.7955564787602308E-2</v>
      </c>
      <c r="X1139">
        <v>1.5658694735496428E-2</v>
      </c>
      <c r="Y1139">
        <v>3.5443630617221842E-3</v>
      </c>
    </row>
    <row r="1140" spans="1:25" x14ac:dyDescent="0.25">
      <c r="A1140" s="827"/>
      <c r="B1140" s="1066">
        <v>890</v>
      </c>
      <c r="C1140" s="831">
        <v>1.0210444476792564</v>
      </c>
      <c r="D1140" s="831">
        <v>1.0177116158293911</v>
      </c>
      <c r="E1140" s="831">
        <v>0.97871493774460205</v>
      </c>
      <c r="F1140" s="831">
        <v>0.98303364005345328</v>
      </c>
      <c r="G1140" s="831">
        <v>1.0003696650199971</v>
      </c>
      <c r="H1140" s="831">
        <v>0.99129571951106876</v>
      </c>
      <c r="I1140" s="831">
        <v>0.98490834929838189</v>
      </c>
      <c r="K1140">
        <v>1.7132722792319912</v>
      </c>
      <c r="L1140">
        <v>0</v>
      </c>
      <c r="M1140">
        <v>1.3956194351135056E-3</v>
      </c>
      <c r="N1140">
        <v>0.13156267274002018</v>
      </c>
      <c r="O1140">
        <v>1.7330330413799819E-2</v>
      </c>
      <c r="P1140">
        <v>1.9382106917076813E-2</v>
      </c>
      <c r="Q1140">
        <v>2.0590115131314383E-3</v>
      </c>
      <c r="R1140">
        <v>1.3869369748390034E-3</v>
      </c>
      <c r="S1140">
        <v>0.1456645199294663</v>
      </c>
      <c r="T1140">
        <v>1.0732594089319627</v>
      </c>
      <c r="U1140">
        <v>2.2841834115364175E-2</v>
      </c>
      <c r="V1140">
        <v>0.20239140120285759</v>
      </c>
      <c r="W1140">
        <v>7.9803350631153264E-2</v>
      </c>
      <c r="X1140">
        <v>1.5211540055570382E-2</v>
      </c>
      <c r="Y1140">
        <v>3.7747852418608886E-3</v>
      </c>
    </row>
    <row r="1141" spans="1:25" x14ac:dyDescent="0.25">
      <c r="A1141" s="827"/>
      <c r="B1141" s="1066">
        <v>891</v>
      </c>
      <c r="C1141" s="831">
        <v>1.0077003377186458</v>
      </c>
      <c r="D1141" s="831">
        <v>1.0040227480685167</v>
      </c>
      <c r="E1141" s="831">
        <v>0.98041591165034858</v>
      </c>
      <c r="F1141" s="831">
        <v>1.0211721335096764</v>
      </c>
      <c r="G1141" s="831">
        <v>0.98716457523493772</v>
      </c>
      <c r="H1141" s="831">
        <v>0.98678454283153294</v>
      </c>
      <c r="I1141" s="831">
        <v>1.0080038295231861</v>
      </c>
      <c r="K1141">
        <v>1.7261520797339815</v>
      </c>
      <c r="L1141">
        <v>0</v>
      </c>
      <c r="M1141">
        <v>1.4112575494913536E-3</v>
      </c>
      <c r="N1141">
        <v>0.13374090495274468</v>
      </c>
      <c r="O1141">
        <v>1.7667726846867054E-2</v>
      </c>
      <c r="P1141">
        <v>1.9523757592763369E-2</v>
      </c>
      <c r="Q1141">
        <v>2.1004110237221024E-3</v>
      </c>
      <c r="R1141">
        <v>1.4024473329332307E-3</v>
      </c>
      <c r="S1141">
        <v>0.15158127942945987</v>
      </c>
      <c r="T1141">
        <v>1.0731071584918304</v>
      </c>
      <c r="U1141">
        <v>2.3144308903481743E-2</v>
      </c>
      <c r="V1141">
        <v>0.20499225009284572</v>
      </c>
      <c r="W1141">
        <v>8.1028900564800749E-2</v>
      </c>
      <c r="X1141">
        <v>1.5457192728416079E-2</v>
      </c>
      <c r="Y1141">
        <v>3.816999323605204E-3</v>
      </c>
    </row>
    <row r="1142" spans="1:25" x14ac:dyDescent="0.25">
      <c r="A1142" s="827"/>
      <c r="B1142" s="1066">
        <v>892</v>
      </c>
      <c r="C1142" s="831">
        <v>0.99046000467917772</v>
      </c>
      <c r="D1142" s="831">
        <v>0.97100446857362699</v>
      </c>
      <c r="E1142" s="831">
        <v>1.0144917781950515</v>
      </c>
      <c r="F1142" s="831">
        <v>0.9850681833622863</v>
      </c>
      <c r="G1142" s="831">
        <v>0.97672182948651587</v>
      </c>
      <c r="H1142" s="831">
        <v>1.0206285968620445</v>
      </c>
      <c r="I1142" s="831">
        <v>1.0111956600713943</v>
      </c>
      <c r="K1142">
        <v>1.7602193581341479</v>
      </c>
      <c r="L1142">
        <v>0</v>
      </c>
      <c r="M1142">
        <v>1.4033750470558673E-3</v>
      </c>
      <c r="N1142">
        <v>0.14790380030860312</v>
      </c>
      <c r="O1142">
        <v>1.8250010822520046E-2</v>
      </c>
      <c r="P1142">
        <v>2.0168266072800617E-2</v>
      </c>
      <c r="Q1142">
        <v>2.2391601649153032E-3</v>
      </c>
      <c r="R1142">
        <v>1.3949277545470895E-3</v>
      </c>
      <c r="S1142">
        <v>0.15938656311156171</v>
      </c>
      <c r="T1142">
        <v>1.0700800648849791</v>
      </c>
      <c r="U1142">
        <v>2.3547167768634594E-2</v>
      </c>
      <c r="V1142">
        <v>0.20998862077351024</v>
      </c>
      <c r="W1142">
        <v>8.7540819337578138E-2</v>
      </c>
      <c r="X1142">
        <v>1.7326798671485299E-2</v>
      </c>
      <c r="Y1142">
        <v>3.796533510066476E-3</v>
      </c>
    </row>
    <row r="1143" spans="1:25" x14ac:dyDescent="0.25">
      <c r="A1143" s="827"/>
      <c r="B1143" s="1066">
        <v>893</v>
      </c>
      <c r="C1143" s="831">
        <v>1.0151246753640222</v>
      </c>
      <c r="D1143" s="831">
        <v>0.98844374449705097</v>
      </c>
      <c r="E1143" s="831">
        <v>0.9995948796585632</v>
      </c>
      <c r="F1143" s="831">
        <v>1.0015850245737403</v>
      </c>
      <c r="G1143" s="831">
        <v>1.0026797637146769</v>
      </c>
      <c r="H1143" s="831">
        <v>0.99336908798615864</v>
      </c>
      <c r="I1143" s="831">
        <v>0.99122371407638044</v>
      </c>
      <c r="K1143">
        <v>1.7281398771331375</v>
      </c>
      <c r="L1143">
        <v>0</v>
      </c>
      <c r="M1143">
        <v>1.3641661898619675E-3</v>
      </c>
      <c r="N1143">
        <v>0.13723960057957604</v>
      </c>
      <c r="O1143">
        <v>1.7663242480327038E-2</v>
      </c>
      <c r="P1143">
        <v>1.9761145685630931E-2</v>
      </c>
      <c r="Q1143">
        <v>2.1382339240254345E-3</v>
      </c>
      <c r="R1143">
        <v>1.3557171984835603E-3</v>
      </c>
      <c r="S1143">
        <v>0.1493954200789829</v>
      </c>
      <c r="T1143">
        <v>1.0713980256156839</v>
      </c>
      <c r="U1143">
        <v>2.2975037908461563E-2</v>
      </c>
      <c r="V1143">
        <v>0.20563658446161553</v>
      </c>
      <c r="W1143">
        <v>8.2057039430864426E-2</v>
      </c>
      <c r="X1143">
        <v>1.6194180657130845E-2</v>
      </c>
      <c r="Y1143">
        <v>3.6898153022178813E-3</v>
      </c>
    </row>
    <row r="1144" spans="1:25" x14ac:dyDescent="0.25">
      <c r="A1144" s="827"/>
      <c r="B1144" s="1066">
        <v>894</v>
      </c>
      <c r="C1144" s="831">
        <v>0.96876155751017834</v>
      </c>
      <c r="D1144" s="831">
        <v>0.97383276997109647</v>
      </c>
      <c r="E1144" s="831">
        <v>1.0117835352764222</v>
      </c>
      <c r="F1144" s="831">
        <v>1.0338399589684073</v>
      </c>
      <c r="G1144" s="831">
        <v>1.0076987519991873</v>
      </c>
      <c r="H1144" s="831">
        <v>0.99582229154880109</v>
      </c>
      <c r="I1144" s="831">
        <v>1.0180902837503543</v>
      </c>
      <c r="K1144">
        <v>1.7648318477348413</v>
      </c>
      <c r="L1144">
        <v>0</v>
      </c>
      <c r="M1144">
        <v>1.4061007133997557E-3</v>
      </c>
      <c r="N1144">
        <v>0.14692651962631528</v>
      </c>
      <c r="O1144">
        <v>1.8634129574250306E-2</v>
      </c>
      <c r="P1144">
        <v>2.0204623261367984E-2</v>
      </c>
      <c r="Q1144">
        <v>2.2806703657566817E-3</v>
      </c>
      <c r="R1144">
        <v>1.3974240940182376E-3</v>
      </c>
      <c r="S1144">
        <v>0.16197472821138775</v>
      </c>
      <c r="T1144">
        <v>1.0703190449771793</v>
      </c>
      <c r="U1144">
        <v>2.4074580290164044E-2</v>
      </c>
      <c r="V1144">
        <v>0.21219833910259595</v>
      </c>
      <c r="W1144">
        <v>8.7122216702906555E-2</v>
      </c>
      <c r="X1144">
        <v>1.73023445191102E-2</v>
      </c>
      <c r="Y1144">
        <v>3.8033277231888552E-3</v>
      </c>
    </row>
    <row r="1145" spans="1:25" x14ac:dyDescent="0.25">
      <c r="A1145" s="827"/>
      <c r="B1145" s="1066">
        <v>895</v>
      </c>
      <c r="C1145" s="831">
        <v>0.99978223771494712</v>
      </c>
      <c r="D1145" s="831">
        <v>1.0219341156724284</v>
      </c>
      <c r="E1145" s="831">
        <v>1.0447720626203374</v>
      </c>
      <c r="F1145" s="831">
        <v>1.0165754041933812</v>
      </c>
      <c r="G1145" s="831">
        <v>0.98790765840846051</v>
      </c>
      <c r="H1145" s="831">
        <v>1.0240085247778199</v>
      </c>
      <c r="I1145" s="831">
        <v>0.98095985903544081</v>
      </c>
      <c r="K1145">
        <v>1.7409061068012512</v>
      </c>
      <c r="L1145">
        <v>0</v>
      </c>
      <c r="M1145">
        <v>1.2784172135431727E-3</v>
      </c>
      <c r="N1145">
        <v>0.14801276687349521</v>
      </c>
      <c r="O1145">
        <v>1.7665805498969074E-2</v>
      </c>
      <c r="P1145">
        <v>2.0365767048970078E-2</v>
      </c>
      <c r="Q1145">
        <v>2.2427658089238457E-3</v>
      </c>
      <c r="R1145">
        <v>1.2707153994068329E-3</v>
      </c>
      <c r="S1145">
        <v>0.15019382254575411</v>
      </c>
      <c r="T1145">
        <v>1.0674270098919301</v>
      </c>
      <c r="U1145">
        <v>2.3327607771476314E-2</v>
      </c>
      <c r="V1145">
        <v>0.2042263998401701</v>
      </c>
      <c r="W1145">
        <v>8.5845113823629138E-2</v>
      </c>
      <c r="X1145">
        <v>1.8148281086101899E-2</v>
      </c>
      <c r="Y1145">
        <v>3.4584684259665634E-3</v>
      </c>
    </row>
    <row r="1146" spans="1:25" x14ac:dyDescent="0.25">
      <c r="A1146" s="827"/>
      <c r="B1146" s="1066">
        <v>896</v>
      </c>
      <c r="C1146" s="831">
        <v>1.011342235467884</v>
      </c>
      <c r="D1146" s="831">
        <v>1.0287541592759042</v>
      </c>
      <c r="E1146" s="831">
        <v>0.98893557179209379</v>
      </c>
      <c r="F1146" s="831">
        <v>1.0187018715441827</v>
      </c>
      <c r="G1146" s="831">
        <v>1.0323399428010696</v>
      </c>
      <c r="H1146" s="831">
        <v>0.97148702330368564</v>
      </c>
      <c r="I1146" s="831">
        <v>1.0172721159237337</v>
      </c>
      <c r="K1146">
        <v>1.7155880112944868</v>
      </c>
      <c r="L1146">
        <v>0</v>
      </c>
      <c r="M1146">
        <v>1.3449565960196046E-3</v>
      </c>
      <c r="N1146">
        <v>0.13087061861138982</v>
      </c>
      <c r="O1146">
        <v>1.7411495429507796E-2</v>
      </c>
      <c r="P1146">
        <v>1.9579839726048529E-2</v>
      </c>
      <c r="Q1146">
        <v>2.0920377110037877E-3</v>
      </c>
      <c r="R1146">
        <v>1.3364112927224945E-3</v>
      </c>
      <c r="S1146">
        <v>0.14980525973355571</v>
      </c>
      <c r="T1146">
        <v>1.0723462193764939</v>
      </c>
      <c r="U1146">
        <v>2.3060965003121145E-2</v>
      </c>
      <c r="V1146">
        <v>0.20242614993473204</v>
      </c>
      <c r="W1146">
        <v>7.8824064539473562E-2</v>
      </c>
      <c r="X1146">
        <v>1.5542635541530648E-2</v>
      </c>
      <c r="Y1146">
        <v>3.6372709909263841E-3</v>
      </c>
    </row>
    <row r="1147" spans="1:25" x14ac:dyDescent="0.25">
      <c r="A1147" s="827"/>
      <c r="B1147" s="1066">
        <v>897</v>
      </c>
      <c r="C1147" s="831">
        <v>0.98413408293944871</v>
      </c>
      <c r="D1147" s="831">
        <v>1.0308695349470582</v>
      </c>
      <c r="E1147" s="831">
        <v>1.0296864379674691</v>
      </c>
      <c r="F1147" s="831">
        <v>1.0241629199378992</v>
      </c>
      <c r="G1147" s="831">
        <v>0.97673886534669341</v>
      </c>
      <c r="H1147" s="831">
        <v>0.97438113947273419</v>
      </c>
      <c r="I1147" s="831">
        <v>1.0387975987194584</v>
      </c>
      <c r="K1147">
        <v>1.7386602925325385</v>
      </c>
      <c r="L1147">
        <v>0</v>
      </c>
      <c r="M1147">
        <v>1.2709204575480136E-3</v>
      </c>
      <c r="N1147">
        <v>0.14037255372891852</v>
      </c>
      <c r="O1147">
        <v>1.7876283977599838E-2</v>
      </c>
      <c r="P1147">
        <v>2.0279994750805927E-2</v>
      </c>
      <c r="Q1147">
        <v>2.2375948102407624E-3</v>
      </c>
      <c r="R1147">
        <v>1.2628682072427259E-3</v>
      </c>
      <c r="S1147">
        <v>0.15728733897965794</v>
      </c>
      <c r="T1147">
        <v>1.068744412820293</v>
      </c>
      <c r="U1147">
        <v>2.3698526758307734E-2</v>
      </c>
      <c r="V1147">
        <v>0.20511485256518566</v>
      </c>
      <c r="W1147">
        <v>8.2236963560549645E-2</v>
      </c>
      <c r="X1147">
        <v>1.7382711875563412E-2</v>
      </c>
      <c r="Y1147">
        <v>3.4371109557220663E-3</v>
      </c>
    </row>
    <row r="1148" spans="1:25" x14ac:dyDescent="0.25">
      <c r="A1148" s="827"/>
      <c r="B1148" s="1066">
        <v>898</v>
      </c>
      <c r="C1148" s="831">
        <v>1.0189596887163341</v>
      </c>
      <c r="D1148" s="831">
        <v>0.96843490947858424</v>
      </c>
      <c r="E1148" s="831">
        <v>1.0036229397448988</v>
      </c>
      <c r="F1148" s="831">
        <v>0.9787342490877422</v>
      </c>
      <c r="G1148" s="831">
        <v>1.0004628437342984</v>
      </c>
      <c r="H1148" s="831">
        <v>0.97836443067209589</v>
      </c>
      <c r="I1148" s="831">
        <v>0.9907294638036519</v>
      </c>
      <c r="K1148">
        <v>1.7275080277824086</v>
      </c>
      <c r="L1148">
        <v>0</v>
      </c>
      <c r="M1148">
        <v>1.3395644521777422E-3</v>
      </c>
      <c r="N1148">
        <v>0.1364522537836988</v>
      </c>
      <c r="O1148">
        <v>1.7760951782396544E-2</v>
      </c>
      <c r="P1148">
        <v>1.9828959687396452E-2</v>
      </c>
      <c r="Q1148">
        <v>2.1551194449400532E-3</v>
      </c>
      <c r="R1148">
        <v>1.3311547778297515E-3</v>
      </c>
      <c r="S1148">
        <v>0.14896759839537149</v>
      </c>
      <c r="T1148">
        <v>1.0710408272830996</v>
      </c>
      <c r="U1148">
        <v>2.2888567778068331E-2</v>
      </c>
      <c r="V1148">
        <v>0.2071220034956549</v>
      </c>
      <c r="W1148">
        <v>8.1361972371078409E-2</v>
      </c>
      <c r="X1148">
        <v>1.6315218944851179E-2</v>
      </c>
      <c r="Y1148">
        <v>3.6229644901980061E-3</v>
      </c>
    </row>
    <row r="1149" spans="1:25" x14ac:dyDescent="0.25">
      <c r="A1149" s="827"/>
      <c r="B1149" s="1066">
        <v>899</v>
      </c>
      <c r="C1149" s="831">
        <v>1.0191834244908717</v>
      </c>
      <c r="D1149" s="831">
        <v>1.002135132210799</v>
      </c>
      <c r="E1149" s="831">
        <v>0.97621448780485964</v>
      </c>
      <c r="F1149" s="831">
        <v>0.98954889378751854</v>
      </c>
      <c r="G1149" s="831">
        <v>0.98067180141409305</v>
      </c>
      <c r="H1149" s="831">
        <v>0.99433306654456055</v>
      </c>
      <c r="I1149" s="831">
        <v>1.0316138124806937</v>
      </c>
      <c r="K1149">
        <v>1.7259910675633319</v>
      </c>
      <c r="L1149">
        <v>0</v>
      </c>
      <c r="M1149">
        <v>1.4196916983501855E-3</v>
      </c>
      <c r="N1149">
        <v>0.13279670811581495</v>
      </c>
      <c r="O1149">
        <v>1.7483556716429403E-2</v>
      </c>
      <c r="P1149">
        <v>1.9482270134677859E-2</v>
      </c>
      <c r="Q1149">
        <v>2.0693321228971301E-3</v>
      </c>
      <c r="R1149">
        <v>1.4108974579708326E-3</v>
      </c>
      <c r="S1149">
        <v>0.15405156548620214</v>
      </c>
      <c r="T1149">
        <v>1.073483416004972</v>
      </c>
      <c r="U1149">
        <v>2.2883543175708364E-2</v>
      </c>
      <c r="V1149">
        <v>0.20396161294797399</v>
      </c>
      <c r="W1149">
        <v>8.0692023862106638E-2</v>
      </c>
      <c r="X1149">
        <v>1.5255835458554062E-2</v>
      </c>
      <c r="Y1149">
        <v>3.8399977783745852E-3</v>
      </c>
    </row>
    <row r="1150" spans="1:25" x14ac:dyDescent="0.25">
      <c r="A1150" s="827"/>
      <c r="B1150" s="1066">
        <v>900</v>
      </c>
      <c r="C1150" s="831">
        <v>1.0004698352849914</v>
      </c>
      <c r="D1150" s="831">
        <v>0.98946709685950851</v>
      </c>
      <c r="E1150" s="831">
        <v>0.99786890659749683</v>
      </c>
      <c r="F1150" s="831">
        <v>0.9966151416685628</v>
      </c>
      <c r="G1150" s="831">
        <v>1.0108690017658808</v>
      </c>
      <c r="H1150" s="831">
        <v>1.0002737545856897</v>
      </c>
      <c r="I1150" s="831">
        <v>1.0088052731706003</v>
      </c>
      <c r="K1150">
        <v>1.7403724159924243</v>
      </c>
      <c r="L1150">
        <v>0</v>
      </c>
      <c r="M1150">
        <v>1.3981879471667582E-3</v>
      </c>
      <c r="N1150">
        <v>0.1399148866302368</v>
      </c>
      <c r="O1150">
        <v>1.7913563491716685E-2</v>
      </c>
      <c r="P1150">
        <v>1.9834829638637735E-2</v>
      </c>
      <c r="Q1150">
        <v>2.1649597985924944E-3</v>
      </c>
      <c r="R1150">
        <v>1.3895872880440414E-3</v>
      </c>
      <c r="S1150">
        <v>0.15470829930861593</v>
      </c>
      <c r="T1150">
        <v>1.0715512680421744</v>
      </c>
      <c r="U1150">
        <v>2.3311575297679583E-2</v>
      </c>
      <c r="V1150">
        <v>0.2071105192427507</v>
      </c>
      <c r="W1150">
        <v>8.3755564781135397E-2</v>
      </c>
      <c r="X1150">
        <v>1.6333551899277474E-2</v>
      </c>
      <c r="Y1150">
        <v>3.7819985207294881E-3</v>
      </c>
    </row>
    <row r="1151" spans="1:25" x14ac:dyDescent="0.25">
      <c r="A1151" s="827"/>
      <c r="B1151" s="1066">
        <v>901</v>
      </c>
      <c r="C1151" s="831">
        <v>1.0250379334515258</v>
      </c>
      <c r="D1151" s="831">
        <v>1.0336892167608971</v>
      </c>
      <c r="E1151" s="831">
        <v>1.029212820100432</v>
      </c>
      <c r="F1151" s="831">
        <v>1.0124645651848578</v>
      </c>
      <c r="G1151" s="831">
        <v>0.97093421789954915</v>
      </c>
      <c r="H1151" s="831">
        <v>1.0058408571082476</v>
      </c>
      <c r="I1151" s="831">
        <v>1.0271880686189705</v>
      </c>
      <c r="K1151">
        <v>1.7237499728808776</v>
      </c>
      <c r="L1151">
        <v>0</v>
      </c>
      <c r="M1151">
        <v>1.2593123417583912E-3</v>
      </c>
      <c r="N1151">
        <v>0.13891360258191668</v>
      </c>
      <c r="O1151">
        <v>1.7141792577807895E-2</v>
      </c>
      <c r="P1151">
        <v>2.0115401705569899E-2</v>
      </c>
      <c r="Q1151">
        <v>2.1451250897514661E-3</v>
      </c>
      <c r="R1151">
        <v>1.2515814966276516E-3</v>
      </c>
      <c r="S1151">
        <v>0.15138423980954127</v>
      </c>
      <c r="T1151">
        <v>1.0687859129721262</v>
      </c>
      <c r="U1151">
        <v>2.2752843711618679E-2</v>
      </c>
      <c r="V1151">
        <v>0.20061926433198285</v>
      </c>
      <c r="W1151">
        <v>8.1408083058843145E-2</v>
      </c>
      <c r="X1151">
        <v>1.7085045636759964E-2</v>
      </c>
      <c r="Y1151">
        <v>3.406392250090989E-3</v>
      </c>
    </row>
    <row r="1152" spans="1:25" x14ac:dyDescent="0.25">
      <c r="A1152" s="827"/>
      <c r="B1152" s="1066">
        <v>902</v>
      </c>
      <c r="C1152" s="831">
        <v>1.0175787819325595</v>
      </c>
      <c r="D1152" s="831">
        <v>1.0370107537491871</v>
      </c>
      <c r="E1152" s="831">
        <v>1.014555948919476</v>
      </c>
      <c r="F1152" s="831">
        <v>0.99586015662627936</v>
      </c>
      <c r="G1152" s="831">
        <v>1.0155155879015996</v>
      </c>
      <c r="H1152" s="831">
        <v>1.0119885340974912</v>
      </c>
      <c r="I1152" s="831">
        <v>0.97786361935391497</v>
      </c>
      <c r="K1152">
        <v>1.719401095736981</v>
      </c>
      <c r="L1152">
        <v>0</v>
      </c>
      <c r="M1152">
        <v>1.3145395297836906E-3</v>
      </c>
      <c r="N1152">
        <v>0.1385572210861282</v>
      </c>
      <c r="O1152">
        <v>1.7242474476774298E-2</v>
      </c>
      <c r="P1152">
        <v>1.9844678015175313E-2</v>
      </c>
      <c r="Q1152">
        <v>2.1270931354639834E-3</v>
      </c>
      <c r="R1152">
        <v>1.3065166133371441E-3</v>
      </c>
      <c r="S1152">
        <v>0.14539605061040101</v>
      </c>
      <c r="T1152">
        <v>1.0700744057141385</v>
      </c>
      <c r="U1152">
        <v>2.2919628742660753E-2</v>
      </c>
      <c r="V1152">
        <v>0.20108759866866308</v>
      </c>
      <c r="W1152">
        <v>8.2005231961712097E-2</v>
      </c>
      <c r="X1152">
        <v>1.6598828713889197E-2</v>
      </c>
      <c r="Y1152">
        <v>3.5559075284178725E-3</v>
      </c>
    </row>
    <row r="1153" spans="1:25" x14ac:dyDescent="0.25">
      <c r="A1153" s="827"/>
      <c r="B1153" s="1066">
        <v>903</v>
      </c>
      <c r="C1153" s="831">
        <v>1.0277388139775983</v>
      </c>
      <c r="D1153" s="831">
        <v>0.96082142940030557</v>
      </c>
      <c r="E1153" s="831">
        <v>0.9977355882743687</v>
      </c>
      <c r="F1153" s="831">
        <v>1.0270359764774404</v>
      </c>
      <c r="G1153" s="831">
        <v>1.0199723957297342</v>
      </c>
      <c r="H1153" s="831">
        <v>0.99786054144176528</v>
      </c>
      <c r="I1153" s="831">
        <v>0.99782493837549269</v>
      </c>
      <c r="K1153">
        <v>1.7313621664011101</v>
      </c>
      <c r="L1153">
        <v>0</v>
      </c>
      <c r="M1153">
        <v>1.3764159277563407E-3</v>
      </c>
      <c r="N1153">
        <v>0.13767907109176442</v>
      </c>
      <c r="O1153">
        <v>1.7672572445341001E-2</v>
      </c>
      <c r="P1153">
        <v>1.9766494883739178E-2</v>
      </c>
      <c r="Q1153">
        <v>2.1303421360180119E-3</v>
      </c>
      <c r="R1153">
        <v>1.3679492814574795E-3</v>
      </c>
      <c r="S1153">
        <v>0.15062639614442055</v>
      </c>
      <c r="T1153">
        <v>1.0715631095332632</v>
      </c>
      <c r="U1153">
        <v>2.2693049616409229E-2</v>
      </c>
      <c r="V1153">
        <v>0.20692879888577961</v>
      </c>
      <c r="W1153">
        <v>8.2424695572771448E-2</v>
      </c>
      <c r="X1153">
        <v>1.6162995738131618E-2</v>
      </c>
      <c r="Y1153">
        <v>3.7231069997678205E-3</v>
      </c>
    </row>
    <row r="1154" spans="1:25" x14ac:dyDescent="0.25">
      <c r="A1154" s="827"/>
      <c r="B1154" s="1066">
        <v>904</v>
      </c>
      <c r="C1154" s="831">
        <v>0.98502506388347499</v>
      </c>
      <c r="D1154" s="831">
        <v>1.0226244988483586</v>
      </c>
      <c r="E1154" s="831">
        <v>1.0084274510242248</v>
      </c>
      <c r="F1154" s="831">
        <v>1.0256218707710538</v>
      </c>
      <c r="G1154" s="831">
        <v>0.98573901964625832</v>
      </c>
      <c r="H1154" s="831">
        <v>0.98412449281823799</v>
      </c>
      <c r="I1154" s="831">
        <v>1.0213170748640765</v>
      </c>
      <c r="K1154">
        <v>1.7380833143272161</v>
      </c>
      <c r="L1154">
        <v>0</v>
      </c>
      <c r="M1154">
        <v>1.3462308489741591E-3</v>
      </c>
      <c r="N1154">
        <v>0.13919678432924124</v>
      </c>
      <c r="O1154">
        <v>1.7924996150747025E-2</v>
      </c>
      <c r="P1154">
        <v>1.9978870986986176E-2</v>
      </c>
      <c r="Q1154">
        <v>2.1953205338984543E-3</v>
      </c>
      <c r="R1154">
        <v>1.3377913413636371E-3</v>
      </c>
      <c r="S1154">
        <v>0.15573238287747954</v>
      </c>
      <c r="T1154">
        <v>1.0706155766614898</v>
      </c>
      <c r="U1154">
        <v>2.3677090820769336E-2</v>
      </c>
      <c r="V1154">
        <v>0.20575092783223684</v>
      </c>
      <c r="W1154">
        <v>8.2727181237110967E-2</v>
      </c>
      <c r="X1154">
        <v>1.665159537647376E-2</v>
      </c>
      <c r="Y1154">
        <v>3.6410270283946606E-3</v>
      </c>
    </row>
    <row r="1155" spans="1:25" x14ac:dyDescent="0.25">
      <c r="A1155" s="827"/>
      <c r="B1155" s="1066">
        <v>905</v>
      </c>
      <c r="C1155" s="831">
        <v>1.0013646087586068</v>
      </c>
      <c r="D1155" s="831">
        <v>0.99885321060739607</v>
      </c>
      <c r="E1155" s="831">
        <v>0.98183014519667866</v>
      </c>
      <c r="F1155" s="831">
        <v>0.96735750230325257</v>
      </c>
      <c r="G1155" s="831">
        <v>0.99607472041174772</v>
      </c>
      <c r="H1155" s="831">
        <v>0.98680835974497139</v>
      </c>
      <c r="I1155" s="831">
        <v>0.96899180720525246</v>
      </c>
      <c r="K1155">
        <v>1.7250758045799683</v>
      </c>
      <c r="L1155">
        <v>0</v>
      </c>
      <c r="M1155">
        <v>1.4193205545956519E-3</v>
      </c>
      <c r="N1155">
        <v>0.1350993266695325</v>
      </c>
      <c r="O1155">
        <v>1.7821126983865659E-2</v>
      </c>
      <c r="P1155">
        <v>1.9498155367370668E-2</v>
      </c>
      <c r="Q1155">
        <v>2.120796609259702E-3</v>
      </c>
      <c r="R1155">
        <v>1.4104639386161592E-3</v>
      </c>
      <c r="S1155">
        <v>0.14695271280921823</v>
      </c>
      <c r="T1155">
        <v>1.0729806563263886</v>
      </c>
      <c r="U1155">
        <v>2.3290745143485909E-2</v>
      </c>
      <c r="V1155">
        <v>0.2061413131969525</v>
      </c>
      <c r="W1155">
        <v>8.1771699872332154E-2</v>
      </c>
      <c r="X1155">
        <v>1.5569310335938698E-2</v>
      </c>
      <c r="Y1155">
        <v>3.8388178816007815E-3</v>
      </c>
    </row>
    <row r="1156" spans="1:25" x14ac:dyDescent="0.25">
      <c r="A1156" s="827"/>
      <c r="B1156" s="1066">
        <v>906</v>
      </c>
      <c r="C1156" s="831">
        <v>0.97206279309189558</v>
      </c>
      <c r="D1156" s="831">
        <v>0.9910664785824308</v>
      </c>
      <c r="E1156" s="831">
        <v>0.9936025470746721</v>
      </c>
      <c r="F1156" s="831">
        <v>0.96677044316763738</v>
      </c>
      <c r="G1156" s="831">
        <v>1.0092572171922451</v>
      </c>
      <c r="H1156" s="831">
        <v>0.99808219787186725</v>
      </c>
      <c r="I1156" s="831">
        <v>1.0291579249048097</v>
      </c>
      <c r="K1156">
        <v>1.75796179348145</v>
      </c>
      <c r="L1156">
        <v>0</v>
      </c>
      <c r="M1156">
        <v>1.447785893655349E-3</v>
      </c>
      <c r="N1156">
        <v>0.14296515171559762</v>
      </c>
      <c r="O1156">
        <v>1.8423560973504755E-2</v>
      </c>
      <c r="P1156">
        <v>1.992814419850264E-2</v>
      </c>
      <c r="Q1156">
        <v>2.2173403780072808E-3</v>
      </c>
      <c r="R1156">
        <v>1.4388594076562473E-3</v>
      </c>
      <c r="S1156">
        <v>0.16216561106979505</v>
      </c>
      <c r="T1156">
        <v>1.0719305436583331</v>
      </c>
      <c r="U1156">
        <v>2.3992820282854242E-2</v>
      </c>
      <c r="V1156">
        <v>0.21012297162320465</v>
      </c>
      <c r="W1156">
        <v>8.5832452087127947E-2</v>
      </c>
      <c r="X1156">
        <v>1.6476022992757276E-2</v>
      </c>
      <c r="Y1156">
        <v>3.9161009877640473E-3</v>
      </c>
    </row>
    <row r="1157" spans="1:25" x14ac:dyDescent="0.25">
      <c r="A1157" s="827"/>
      <c r="B1157" s="1066">
        <v>907</v>
      </c>
      <c r="C1157" s="831">
        <v>0.99975426162156777</v>
      </c>
      <c r="D1157" s="831">
        <v>0.98882920147896414</v>
      </c>
      <c r="E1157" s="831">
        <v>1.0241679704056847</v>
      </c>
      <c r="F1157" s="831">
        <v>1.0116030558180409</v>
      </c>
      <c r="G1157" s="831">
        <v>1.0388798992738346</v>
      </c>
      <c r="H1157" s="831">
        <v>1.0310453826848527</v>
      </c>
      <c r="I1157" s="831">
        <v>1.0305042584623063</v>
      </c>
      <c r="K1157">
        <v>1.7573887477771433</v>
      </c>
      <c r="L1157">
        <v>0</v>
      </c>
      <c r="M1157">
        <v>1.3647984522986635E-3</v>
      </c>
      <c r="N1157">
        <v>0.1482354083039801</v>
      </c>
      <c r="O1157">
        <v>1.7931629181738639E-2</v>
      </c>
      <c r="P1157">
        <v>2.0274140850407973E-2</v>
      </c>
      <c r="Q1157">
        <v>2.2247215091560166E-3</v>
      </c>
      <c r="R1157">
        <v>1.3566541695097492E-3</v>
      </c>
      <c r="S1157">
        <v>0.16048007721940949</v>
      </c>
      <c r="T1157">
        <v>1.0692284893315269</v>
      </c>
      <c r="U1157">
        <v>2.3328260547221754E-2</v>
      </c>
      <c r="V1157">
        <v>0.20724505106738006</v>
      </c>
      <c r="W1157">
        <v>8.7165829798957123E-2</v>
      </c>
      <c r="X1157">
        <v>1.7590918821672217E-2</v>
      </c>
      <c r="Y1157">
        <v>3.692365428478752E-3</v>
      </c>
    </row>
    <row r="1158" spans="1:25" x14ac:dyDescent="0.25">
      <c r="A1158" s="827"/>
      <c r="B1158" s="1066">
        <v>908</v>
      </c>
      <c r="C1158" s="831">
        <v>1.0090885380648857</v>
      </c>
      <c r="D1158" s="831">
        <v>1.0393388400524866</v>
      </c>
      <c r="E1158" s="831">
        <v>1.0026666499000676</v>
      </c>
      <c r="F1158" s="831">
        <v>0.99655805977831569</v>
      </c>
      <c r="G1158" s="831">
        <v>1.0481912065296575</v>
      </c>
      <c r="H1158" s="831">
        <v>1.0120058378671242</v>
      </c>
      <c r="I1158" s="831">
        <v>0.98399651273269451</v>
      </c>
      <c r="K1158">
        <v>1.7227395090885262</v>
      </c>
      <c r="L1158">
        <v>0</v>
      </c>
      <c r="M1158">
        <v>1.3579050565745412E-3</v>
      </c>
      <c r="N1158">
        <v>0.13793378021268607</v>
      </c>
      <c r="O1158">
        <v>1.7369973386665388E-2</v>
      </c>
      <c r="P1158">
        <v>1.9724284124885458E-2</v>
      </c>
      <c r="Q1158">
        <v>2.1178673676248969E-3</v>
      </c>
      <c r="R1158">
        <v>1.3496161285020492E-3</v>
      </c>
      <c r="S1158">
        <v>0.14740336838671184</v>
      </c>
      <c r="T1158">
        <v>1.0711255732259246</v>
      </c>
      <c r="U1158">
        <v>2.3112469340924733E-2</v>
      </c>
      <c r="V1158">
        <v>0.20175471277382842</v>
      </c>
      <c r="W1158">
        <v>8.2299073018882882E-2</v>
      </c>
      <c r="X1158">
        <v>1.6233485977515449E-2</v>
      </c>
      <c r="Y1158">
        <v>3.6732102009453863E-3</v>
      </c>
    </row>
    <row r="1159" spans="1:25" x14ac:dyDescent="0.25">
      <c r="A1159" s="827"/>
      <c r="B1159" s="1066">
        <v>909</v>
      </c>
      <c r="C1159" s="831">
        <v>1.0132828189703389</v>
      </c>
      <c r="D1159" s="831">
        <v>0.99558552111887777</v>
      </c>
      <c r="E1159" s="831">
        <v>1.0025821631659677</v>
      </c>
      <c r="F1159" s="831">
        <v>0.99930900154207292</v>
      </c>
      <c r="G1159" s="831">
        <v>1.0308024627804555</v>
      </c>
      <c r="H1159" s="831">
        <v>0.98709613690513442</v>
      </c>
      <c r="I1159" s="831">
        <v>1.0308373588824902</v>
      </c>
      <c r="K1159">
        <v>1.7316812800614378</v>
      </c>
      <c r="L1159">
        <v>0</v>
      </c>
      <c r="M1159">
        <v>1.3451049825941347E-3</v>
      </c>
      <c r="N1159">
        <v>0.13657947780227617</v>
      </c>
      <c r="O1159">
        <v>1.7637683653339304E-2</v>
      </c>
      <c r="P1159">
        <v>1.9868673653400993E-2</v>
      </c>
      <c r="Q1159">
        <v>2.14282655335975E-3</v>
      </c>
      <c r="R1159">
        <v>1.3367161647767592E-3</v>
      </c>
      <c r="S1159">
        <v>0.15472446830824263</v>
      </c>
      <c r="T1159">
        <v>1.0711330620597941</v>
      </c>
      <c r="U1159">
        <v>2.3016799911798232E-2</v>
      </c>
      <c r="V1159">
        <v>0.20517183124095828</v>
      </c>
      <c r="W1159">
        <v>8.1495722266776593E-2</v>
      </c>
      <c r="X1159">
        <v>1.6281022677153308E-2</v>
      </c>
      <c r="Y1159">
        <v>3.638100752157048E-3</v>
      </c>
    </row>
    <row r="1160" spans="1:25" x14ac:dyDescent="0.25">
      <c r="A1160" s="827"/>
      <c r="B1160" s="1066">
        <v>910</v>
      </c>
      <c r="C1160" s="831">
        <v>0.99344836793757985</v>
      </c>
      <c r="D1160" s="831">
        <v>1.0108160167498783</v>
      </c>
      <c r="E1160" s="831">
        <v>1.0298298180011516</v>
      </c>
      <c r="F1160" s="831">
        <v>1.010538633295365</v>
      </c>
      <c r="G1160" s="831">
        <v>1.0178852694392058</v>
      </c>
      <c r="H1160" s="831">
        <v>0.99672328827195733</v>
      </c>
      <c r="I1160" s="831">
        <v>0.99416986250589057</v>
      </c>
      <c r="K1160">
        <v>1.7390120802755886</v>
      </c>
      <c r="L1160">
        <v>0</v>
      </c>
      <c r="M1160">
        <v>1.2989494936218554E-3</v>
      </c>
      <c r="N1160">
        <v>0.14355414736798511</v>
      </c>
      <c r="O1160">
        <v>1.7866578707866763E-2</v>
      </c>
      <c r="P1160">
        <v>2.0215050230712968E-2</v>
      </c>
      <c r="Q1160">
        <v>2.2331373204054887E-3</v>
      </c>
      <c r="R1160">
        <v>1.2909168601638115E-3</v>
      </c>
      <c r="S1160">
        <v>0.15193288098903573</v>
      </c>
      <c r="T1160">
        <v>1.0687318510087256</v>
      </c>
      <c r="U1160">
        <v>2.3476336215359866E-2</v>
      </c>
      <c r="V1160">
        <v>0.20589721228756708</v>
      </c>
      <c r="W1160">
        <v>8.4092811981375817E-2</v>
      </c>
      <c r="X1160">
        <v>1.7506656657275528E-2</v>
      </c>
      <c r="Y1160">
        <v>3.513450142737312E-3</v>
      </c>
    </row>
    <row r="1161" spans="1:25" x14ac:dyDescent="0.25">
      <c r="A1161" s="827"/>
      <c r="B1161" s="1066">
        <v>911</v>
      </c>
      <c r="C1161" s="831">
        <v>0.99628267048573149</v>
      </c>
      <c r="D1161" s="831">
        <v>1.0069739845964507</v>
      </c>
      <c r="E1161" s="831">
        <v>0.95710856785302723</v>
      </c>
      <c r="F1161" s="831">
        <v>1.0026386011945678</v>
      </c>
      <c r="G1161" s="831">
        <v>1.0346687092484614</v>
      </c>
      <c r="H1161" s="831">
        <v>1.0053687649527148</v>
      </c>
      <c r="I1161" s="831">
        <v>0.9910196375850161</v>
      </c>
      <c r="K1161">
        <v>1.7316539406294675</v>
      </c>
      <c r="L1161">
        <v>0</v>
      </c>
      <c r="M1161">
        <v>1.5250823632624606E-3</v>
      </c>
      <c r="N1161">
        <v>0.13441154595327248</v>
      </c>
      <c r="O1161">
        <v>1.7846476458596501E-2</v>
      </c>
      <c r="P1161">
        <v>1.9225079897766843E-2</v>
      </c>
      <c r="Q1161">
        <v>2.0721792051048124E-3</v>
      </c>
      <c r="R1161">
        <v>1.5157353233331799E-3</v>
      </c>
      <c r="S1161">
        <v>0.15187467464379881</v>
      </c>
      <c r="T1161">
        <v>1.0752027890009899</v>
      </c>
      <c r="U1161">
        <v>2.3409548905364778E-2</v>
      </c>
      <c r="V1161">
        <v>0.20594312006330123</v>
      </c>
      <c r="W1161">
        <v>8.277359715520248E-2</v>
      </c>
      <c r="X1161">
        <v>1.4778944497902203E-2</v>
      </c>
      <c r="Y1161">
        <v>4.1253318880978673E-3</v>
      </c>
    </row>
    <row r="1162" spans="1:25" x14ac:dyDescent="0.25">
      <c r="A1162" s="827"/>
      <c r="B1162" s="1066">
        <v>912</v>
      </c>
      <c r="C1162" s="831">
        <v>1.0124800343912854</v>
      </c>
      <c r="D1162" s="831">
        <v>1.0152769471122511</v>
      </c>
      <c r="E1162" s="831">
        <v>0.99367905215460961</v>
      </c>
      <c r="F1162" s="831">
        <v>1.0143166598651479</v>
      </c>
      <c r="G1162" s="831">
        <v>0.96007666760799215</v>
      </c>
      <c r="H1162" s="831">
        <v>0.98815792001339331</v>
      </c>
      <c r="I1162" s="831">
        <v>1.0228558593465547</v>
      </c>
      <c r="K1162">
        <v>1.7248780981771277</v>
      </c>
      <c r="L1162">
        <v>0</v>
      </c>
      <c r="M1162">
        <v>1.3610105373843215E-3</v>
      </c>
      <c r="N1162">
        <v>0.13441828375077694</v>
      </c>
      <c r="O1162">
        <v>1.7495859985881306E-2</v>
      </c>
      <c r="P1162">
        <v>1.9694485271718267E-2</v>
      </c>
      <c r="Q1162">
        <v>2.1100143351604488E-3</v>
      </c>
      <c r="R1162">
        <v>1.3525181430736153E-3</v>
      </c>
      <c r="S1162">
        <v>0.15248187135679947</v>
      </c>
      <c r="T1162">
        <v>1.0719237363808802</v>
      </c>
      <c r="U1162">
        <v>2.3035049686016738E-2</v>
      </c>
      <c r="V1162">
        <v>0.20348549480417705</v>
      </c>
      <c r="W1162">
        <v>8.0696897989637528E-2</v>
      </c>
      <c r="X1162">
        <v>1.5863788482428934E-2</v>
      </c>
      <c r="Y1162">
        <v>3.6811085279603436E-3</v>
      </c>
    </row>
    <row r="1163" spans="1:25" x14ac:dyDescent="0.25">
      <c r="A1163" s="827"/>
      <c r="B1163" s="1066">
        <v>913</v>
      </c>
      <c r="C1163" s="831">
        <v>0.99976125534183691</v>
      </c>
      <c r="D1163" s="831">
        <v>0.98635435389602699</v>
      </c>
      <c r="E1163" s="831">
        <v>1.0114354571145989</v>
      </c>
      <c r="F1163" s="831">
        <v>1.009997367927564</v>
      </c>
      <c r="G1163" s="831">
        <v>0.98650103741887796</v>
      </c>
      <c r="H1163" s="831">
        <v>1.0230409049187834</v>
      </c>
      <c r="I1163" s="831">
        <v>1.0158449131762544</v>
      </c>
      <c r="K1163">
        <v>1.7515594364877758</v>
      </c>
      <c r="L1163">
        <v>0</v>
      </c>
      <c r="M1163">
        <v>1.3926777099653471E-3</v>
      </c>
      <c r="N1163">
        <v>0.14538964106655364</v>
      </c>
      <c r="O1163">
        <v>1.7951899479757946E-2</v>
      </c>
      <c r="P1163">
        <v>2.0066787388250351E-2</v>
      </c>
      <c r="Q1163">
        <v>2.1987332980581589E-3</v>
      </c>
      <c r="R1163">
        <v>1.3843037577512373E-3</v>
      </c>
      <c r="S1163">
        <v>0.15777369521786425</v>
      </c>
      <c r="T1163">
        <v>1.0703497801277977</v>
      </c>
      <c r="U1163">
        <v>2.3328097356932267E-2</v>
      </c>
      <c r="V1163">
        <v>0.20747831146221757</v>
      </c>
      <c r="W1163">
        <v>8.6231271900738399E-2</v>
      </c>
      <c r="X1163">
        <v>1.7031974648830384E-2</v>
      </c>
      <c r="Y1163">
        <v>3.7676184929877682E-3</v>
      </c>
    </row>
    <row r="1164" spans="1:25" x14ac:dyDescent="0.25">
      <c r="A1164" s="827"/>
      <c r="B1164" s="1066">
        <v>914</v>
      </c>
      <c r="C1164" s="831">
        <v>0.9799493778729792</v>
      </c>
      <c r="D1164" s="831">
        <v>1.0178007646505396</v>
      </c>
      <c r="E1164" s="831">
        <v>0.976661767636265</v>
      </c>
      <c r="F1164" s="831">
        <v>0.97420909036197412</v>
      </c>
      <c r="G1164" s="831">
        <v>0.99722260305234622</v>
      </c>
      <c r="H1164" s="831">
        <v>1.0211647193996016</v>
      </c>
      <c r="I1164" s="831">
        <v>1.0197172388783733</v>
      </c>
      <c r="K1164">
        <v>1.7494688295377343</v>
      </c>
      <c r="L1164">
        <v>0</v>
      </c>
      <c r="M1164">
        <v>1.5043699498062768E-3</v>
      </c>
      <c r="N1164">
        <v>0.14093573244803939</v>
      </c>
      <c r="O1164">
        <v>1.8056378653749802E-2</v>
      </c>
      <c r="P1164">
        <v>1.9608893156060653E-2</v>
      </c>
      <c r="Q1164">
        <v>2.1408104002234385E-3</v>
      </c>
      <c r="R1164">
        <v>1.4952846148125699E-3</v>
      </c>
      <c r="S1164">
        <v>0.15934488933809571</v>
      </c>
      <c r="T1164">
        <v>1.0734433284376792</v>
      </c>
      <c r="U1164">
        <v>2.3799727235835122E-2</v>
      </c>
      <c r="V1164">
        <v>0.20673897734943808</v>
      </c>
      <c r="W1164">
        <v>8.5610944615415865E-2</v>
      </c>
      <c r="X1164">
        <v>1.5728561437108411E-2</v>
      </c>
      <c r="Y1164">
        <v>4.0696718010790169E-3</v>
      </c>
    </row>
    <row r="1165" spans="1:25" x14ac:dyDescent="0.25">
      <c r="A1165" s="827"/>
      <c r="B1165" s="1066">
        <v>915</v>
      </c>
      <c r="C1165" s="831">
        <v>0.98422485480602118</v>
      </c>
      <c r="D1165" s="831">
        <v>0.99192873295947503</v>
      </c>
      <c r="E1165" s="831">
        <v>0.99844630049965777</v>
      </c>
      <c r="F1165" s="831">
        <v>0.96437714343594616</v>
      </c>
      <c r="G1165" s="831">
        <v>0.97691716979635812</v>
      </c>
      <c r="H1165" s="831">
        <v>1.0009612274356963</v>
      </c>
      <c r="I1165" s="831">
        <v>0.97681795626166301</v>
      </c>
      <c r="K1165">
        <v>1.7439436660632475</v>
      </c>
      <c r="L1165">
        <v>0</v>
      </c>
      <c r="M1165">
        <v>1.4189166435909127E-3</v>
      </c>
      <c r="N1165">
        <v>0.14224493100658778</v>
      </c>
      <c r="O1165">
        <v>1.8188727578356361E-2</v>
      </c>
      <c r="P1165">
        <v>1.9834469506016777E-2</v>
      </c>
      <c r="Q1165">
        <v>2.1999427543241226E-3</v>
      </c>
      <c r="R1165">
        <v>1.4101926962911309E-3</v>
      </c>
      <c r="S1165">
        <v>0.15216732268461886</v>
      </c>
      <c r="T1165">
        <v>1.0714999909742173</v>
      </c>
      <c r="U1165">
        <v>2.369634112003784E-2</v>
      </c>
      <c r="V1165">
        <v>0.20866339899851824</v>
      </c>
      <c r="W1165">
        <v>8.5116693634991095E-2</v>
      </c>
      <c r="X1165">
        <v>1.6502492103470445E-2</v>
      </c>
      <c r="Y1165">
        <v>3.8380796494070623E-3</v>
      </c>
    </row>
    <row r="1166" spans="1:25" x14ac:dyDescent="0.25">
      <c r="A1166" s="827"/>
      <c r="B1166" s="1066">
        <v>916</v>
      </c>
      <c r="C1166" s="831">
        <v>0.99902007666997183</v>
      </c>
      <c r="D1166" s="831">
        <v>0.97571467170978055</v>
      </c>
      <c r="E1166" s="831">
        <v>0.9747312258517552</v>
      </c>
      <c r="F1166" s="831">
        <v>1.0294979088309375</v>
      </c>
      <c r="G1166" s="831">
        <v>0.97745921509605205</v>
      </c>
      <c r="H1166" s="831">
        <v>0.95076806211174858</v>
      </c>
      <c r="I1166" s="831">
        <v>0.99761622337825695</v>
      </c>
      <c r="K1166">
        <v>1.7252866327013123</v>
      </c>
      <c r="L1166">
        <v>0</v>
      </c>
      <c r="M1166">
        <v>1.4061228867064315E-3</v>
      </c>
      <c r="N1166">
        <v>0.13088532129397956</v>
      </c>
      <c r="O1166">
        <v>1.8053892565816652E-2</v>
      </c>
      <c r="P1166">
        <v>1.9482760115766509E-2</v>
      </c>
      <c r="Q1166">
        <v>2.1289135270404092E-3</v>
      </c>
      <c r="R1166">
        <v>1.3970335143701975E-3</v>
      </c>
      <c r="S1166">
        <v>0.15052051695459914</v>
      </c>
      <c r="T1166">
        <v>1.0736164074704715</v>
      </c>
      <c r="U1166">
        <v>2.334540460492451E-2</v>
      </c>
      <c r="V1166">
        <v>0.20858032091914391</v>
      </c>
      <c r="W1166">
        <v>7.9612754676290004E-2</v>
      </c>
      <c r="X1166">
        <v>1.5267165251473411E-2</v>
      </c>
      <c r="Y1166">
        <v>3.8022646941414349E-3</v>
      </c>
    </row>
    <row r="1167" spans="1:25" x14ac:dyDescent="0.25">
      <c r="A1167" s="827"/>
      <c r="B1167" s="1066">
        <v>917</v>
      </c>
      <c r="C1167" s="831">
        <v>0.97363057307449075</v>
      </c>
      <c r="D1167" s="831">
        <v>1.0294134126099905</v>
      </c>
      <c r="E1167" s="831">
        <v>1.0218245921672615</v>
      </c>
      <c r="F1167" s="831">
        <v>1.0186620555373773</v>
      </c>
      <c r="G1167" s="831">
        <v>1.0110414776481196</v>
      </c>
      <c r="H1167" s="831">
        <v>0.95365796928373903</v>
      </c>
      <c r="I1167" s="831">
        <v>0.9999713522431708</v>
      </c>
      <c r="K1167">
        <v>1.7313944207050405</v>
      </c>
      <c r="L1167">
        <v>0</v>
      </c>
      <c r="M1167">
        <v>1.2791974499619509E-3</v>
      </c>
      <c r="N1167">
        <v>0.13786033939994277</v>
      </c>
      <c r="O1167">
        <v>1.8080665643868888E-2</v>
      </c>
      <c r="P1167">
        <v>2.0116317491507121E-2</v>
      </c>
      <c r="Q1167">
        <v>2.2453572303098015E-3</v>
      </c>
      <c r="R1167">
        <v>1.2709175806643895E-3</v>
      </c>
      <c r="S1167">
        <v>0.15162334289550355</v>
      </c>
      <c r="T1167">
        <v>1.0694343982420023</v>
      </c>
      <c r="U1167">
        <v>2.395418605709582E-2</v>
      </c>
      <c r="V1167">
        <v>0.20639341028996738</v>
      </c>
      <c r="W1167">
        <v>8.1193070297825146E-2</v>
      </c>
      <c r="X1167">
        <v>1.7042594329613719E-2</v>
      </c>
      <c r="Y1167">
        <v>3.4590186967005982E-3</v>
      </c>
    </row>
    <row r="1168" spans="1:25" x14ac:dyDescent="0.25">
      <c r="A1168" s="827"/>
      <c r="B1168" s="1066">
        <v>918</v>
      </c>
      <c r="C1168" s="831">
        <v>1.0303304033622671</v>
      </c>
      <c r="D1168" s="831">
        <v>0.99180273391082518</v>
      </c>
      <c r="E1168" s="831">
        <v>0.99555619379179994</v>
      </c>
      <c r="F1168" s="831">
        <v>0.96959509097413255</v>
      </c>
      <c r="G1168" s="831">
        <v>0.99235885957619474</v>
      </c>
      <c r="H1168" s="831">
        <v>0.99442274369655359</v>
      </c>
      <c r="I1168" s="831">
        <v>0.99585178882451331</v>
      </c>
      <c r="K1168">
        <v>1.7198541640889449</v>
      </c>
      <c r="L1168">
        <v>0</v>
      </c>
      <c r="M1168">
        <v>1.3548634339843465E-3</v>
      </c>
      <c r="N1168">
        <v>0.13460215048660801</v>
      </c>
      <c r="O1168">
        <v>1.7375813442870064E-2</v>
      </c>
      <c r="P1168">
        <v>1.9653689296261118E-2</v>
      </c>
      <c r="Q1168">
        <v>2.0954915303046709E-3</v>
      </c>
      <c r="R1168">
        <v>1.3464786213005335E-3</v>
      </c>
      <c r="S1168">
        <v>0.14774293377992795</v>
      </c>
      <c r="T1168">
        <v>1.0717567809899702</v>
      </c>
      <c r="U1168">
        <v>2.2635969803662025E-2</v>
      </c>
      <c r="V1168">
        <v>0.20375164835661624</v>
      </c>
      <c r="W1168">
        <v>8.0703166616300642E-2</v>
      </c>
      <c r="X1168">
        <v>1.5880233658484722E-2</v>
      </c>
      <c r="Y1168">
        <v>3.6646709406218322E-3</v>
      </c>
    </row>
    <row r="1169" spans="1:25" x14ac:dyDescent="0.25">
      <c r="A1169" s="827"/>
      <c r="B1169" s="1066">
        <v>919</v>
      </c>
      <c r="C1169" s="831">
        <v>0.99959358103695739</v>
      </c>
      <c r="D1169" s="831">
        <v>1.011857796654775</v>
      </c>
      <c r="E1169" s="831">
        <v>1.011295496678573</v>
      </c>
      <c r="F1169" s="831">
        <v>0.99481418221551743</v>
      </c>
      <c r="G1169" s="831">
        <v>0.97724218716650491</v>
      </c>
      <c r="H1169" s="831">
        <v>1.0048498689225227</v>
      </c>
      <c r="I1169" s="831">
        <v>0.95953358522117216</v>
      </c>
      <c r="K1169">
        <v>1.7301398123683747</v>
      </c>
      <c r="L1169">
        <v>0</v>
      </c>
      <c r="M1169">
        <v>1.352829589508827E-3</v>
      </c>
      <c r="N1169">
        <v>0.14115096522914442</v>
      </c>
      <c r="O1169">
        <v>1.7748467750148298E-2</v>
      </c>
      <c r="P1169">
        <v>1.9874012081420551E-2</v>
      </c>
      <c r="Q1169">
        <v>2.1780686313896194E-3</v>
      </c>
      <c r="R1169">
        <v>1.3445307296281635E-3</v>
      </c>
      <c r="S1169">
        <v>0.1462329362239628</v>
      </c>
      <c r="T1169">
        <v>1.070362139865461</v>
      </c>
      <c r="U1169">
        <v>2.3332010469803988E-2</v>
      </c>
      <c r="V1169">
        <v>0.2051464418263125</v>
      </c>
      <c r="W1169">
        <v>8.3725247989637291E-2</v>
      </c>
      <c r="X1169">
        <v>1.673845173936379E-2</v>
      </c>
      <c r="Y1169">
        <v>3.6593694216119597E-3</v>
      </c>
    </row>
    <row r="1170" spans="1:25" x14ac:dyDescent="0.25">
      <c r="A1170" s="827"/>
      <c r="B1170" s="1066">
        <v>920</v>
      </c>
      <c r="C1170" s="831">
        <v>1.0147753604185372</v>
      </c>
      <c r="D1170" s="831">
        <v>0.99106425638497464</v>
      </c>
      <c r="E1170" s="831">
        <v>0.99358090503110408</v>
      </c>
      <c r="F1170" s="831">
        <v>1.0422873185274883</v>
      </c>
      <c r="G1170" s="831">
        <v>1.0141985068902128</v>
      </c>
      <c r="H1170" s="831">
        <v>1.0200046729613144</v>
      </c>
      <c r="I1170" s="831">
        <v>1.0186097164957062</v>
      </c>
      <c r="K1170">
        <v>1.7391758043032262</v>
      </c>
      <c r="L1170">
        <v>0</v>
      </c>
      <c r="M1170">
        <v>1.4173751506802231E-3</v>
      </c>
      <c r="N1170">
        <v>0.13997140174103159</v>
      </c>
      <c r="O1170">
        <v>1.7648119027702192E-2</v>
      </c>
      <c r="P1170">
        <v>1.9757607700836739E-2</v>
      </c>
      <c r="Q1170">
        <v>2.1239664496674748E-3</v>
      </c>
      <c r="R1170">
        <v>1.4088239899405271E-3</v>
      </c>
      <c r="S1170">
        <v>0.15533408359893122</v>
      </c>
      <c r="T1170">
        <v>1.0719324693665095</v>
      </c>
      <c r="U1170">
        <v>2.2982946579116748E-2</v>
      </c>
      <c r="V1170">
        <v>0.20543077339525342</v>
      </c>
      <c r="W1170">
        <v>8.4036334717430314E-2</v>
      </c>
      <c r="X1170">
        <v>1.6132298405571295E-2</v>
      </c>
      <c r="Y1170">
        <v>3.8343544819146465E-3</v>
      </c>
    </row>
    <row r="1171" spans="1:25" x14ac:dyDescent="0.25">
      <c r="A1171" s="827"/>
      <c r="B1171" s="1066">
        <v>921</v>
      </c>
      <c r="C1171" s="831">
        <v>0.99259251475349464</v>
      </c>
      <c r="D1171" s="831">
        <v>1.0365587330742181</v>
      </c>
      <c r="E1171" s="831">
        <v>0.99365614302298477</v>
      </c>
      <c r="F1171" s="831">
        <v>1.014214123365822</v>
      </c>
      <c r="G1171" s="831">
        <v>0.99155196789402866</v>
      </c>
      <c r="H1171" s="831">
        <v>1.0140666443270883</v>
      </c>
      <c r="I1171" s="831">
        <v>1.0257802330620489</v>
      </c>
      <c r="K1171">
        <v>1.7382920789615748</v>
      </c>
      <c r="L1171">
        <v>0</v>
      </c>
      <c r="M1171">
        <v>1.4114770002867016E-3</v>
      </c>
      <c r="N1171">
        <v>0.13941353143012772</v>
      </c>
      <c r="O1171">
        <v>1.7679991133772315E-2</v>
      </c>
      <c r="P1171">
        <v>1.9758653391689758E-2</v>
      </c>
      <c r="Q1171">
        <v>2.1357512777205774E-3</v>
      </c>
      <c r="R1171">
        <v>1.4028804068550759E-3</v>
      </c>
      <c r="S1171">
        <v>0.15653989946316091</v>
      </c>
      <c r="T1171">
        <v>1.0719257747689834</v>
      </c>
      <c r="U1171">
        <v>2.3496578456563531E-2</v>
      </c>
      <c r="V1171">
        <v>0.20371285262989541</v>
      </c>
      <c r="W1171">
        <v>8.3697071153226527E-2</v>
      </c>
      <c r="X1171">
        <v>1.6122393841807445E-2</v>
      </c>
      <c r="Y1171">
        <v>3.8181780080576854E-3</v>
      </c>
    </row>
    <row r="1172" spans="1:25" x14ac:dyDescent="0.25">
      <c r="A1172" s="827"/>
      <c r="B1172" s="1066">
        <v>922</v>
      </c>
      <c r="C1172" s="831">
        <v>1.0227479074139296</v>
      </c>
      <c r="D1172" s="831">
        <v>0.99334362793287601</v>
      </c>
      <c r="E1172" s="831">
        <v>0.96283457448248422</v>
      </c>
      <c r="F1172" s="831">
        <v>1.0131586230750607</v>
      </c>
      <c r="G1172" s="831">
        <v>0.96847528004532224</v>
      </c>
      <c r="H1172" s="831">
        <v>0.9951904435558091</v>
      </c>
      <c r="I1172" s="831">
        <v>0.9877828713111424</v>
      </c>
      <c r="K1172">
        <v>1.7185424197340122</v>
      </c>
      <c r="L1172">
        <v>0</v>
      </c>
      <c r="M1172">
        <v>1.4620504300252618E-3</v>
      </c>
      <c r="N1172">
        <v>0.13117192021634302</v>
      </c>
      <c r="O1172">
        <v>1.7492319417734794E-2</v>
      </c>
      <c r="P1172">
        <v>1.9218130514097799E-2</v>
      </c>
      <c r="Q1172">
        <v>2.0407652023201007E-3</v>
      </c>
      <c r="R1172">
        <v>1.4530081033713293E-3</v>
      </c>
      <c r="S1172">
        <v>0.14759051874774901</v>
      </c>
      <c r="T1172">
        <v>1.0746860625400179</v>
      </c>
      <c r="U1172">
        <v>2.2803789408159646E-2</v>
      </c>
      <c r="V1172">
        <v>0.20438980095532985</v>
      </c>
      <c r="W1172">
        <v>8.0453710145762997E-2</v>
      </c>
      <c r="X1172">
        <v>1.4749835839765453E-2</v>
      </c>
      <c r="Y1172">
        <v>3.9546090733842115E-3</v>
      </c>
    </row>
    <row r="1173" spans="1:25" x14ac:dyDescent="0.25">
      <c r="A1173" s="827"/>
      <c r="B1173" s="1066">
        <v>923</v>
      </c>
      <c r="C1173" s="831">
        <v>0.97364152404855631</v>
      </c>
      <c r="D1173" s="831">
        <v>0.98523233089002571</v>
      </c>
      <c r="E1173" s="831">
        <v>1.0173164392613792</v>
      </c>
      <c r="F1173" s="831">
        <v>0.97107981970807877</v>
      </c>
      <c r="G1173" s="831">
        <v>0.99487648626137482</v>
      </c>
      <c r="H1173" s="831">
        <v>1.0303524472195653</v>
      </c>
      <c r="I1173" s="831">
        <v>0.99024009688145598</v>
      </c>
      <c r="K1173">
        <v>1.7659299617389368</v>
      </c>
      <c r="L1173">
        <v>0</v>
      </c>
      <c r="M1173">
        <v>1.4232268022527144E-3</v>
      </c>
      <c r="N1173">
        <v>0.15132594952231404</v>
      </c>
      <c r="O1173">
        <v>1.8443014449021695E-2</v>
      </c>
      <c r="P1173">
        <v>2.0207833545704643E-2</v>
      </c>
      <c r="Q1173">
        <v>2.2719576143848111E-3</v>
      </c>
      <c r="R1173">
        <v>1.4147306833557243E-3</v>
      </c>
      <c r="S1173">
        <v>0.15853509478392136</v>
      </c>
      <c r="T1173">
        <v>1.0698311076013276</v>
      </c>
      <c r="U1173">
        <v>2.3953916633839098E-2</v>
      </c>
      <c r="V1173">
        <v>0.21050905999092595</v>
      </c>
      <c r="W1173">
        <v>8.9395271715167077E-2</v>
      </c>
      <c r="X1173">
        <v>1.7614821446978804E-2</v>
      </c>
      <c r="Y1173">
        <v>3.850430554249851E-3</v>
      </c>
    </row>
    <row r="1174" spans="1:25" x14ac:dyDescent="0.25">
      <c r="A1174" s="827"/>
      <c r="B1174" s="1066">
        <v>924</v>
      </c>
      <c r="C1174" s="831">
        <v>1.0220970104241645</v>
      </c>
      <c r="D1174" s="831">
        <v>1.0342299107688071</v>
      </c>
      <c r="E1174" s="831">
        <v>1.004566611486194</v>
      </c>
      <c r="F1174" s="831">
        <v>1.0163127198314768</v>
      </c>
      <c r="G1174" s="831">
        <v>1.0419770444704908</v>
      </c>
      <c r="H1174" s="831">
        <v>1.0242287646759465</v>
      </c>
      <c r="I1174" s="831">
        <v>1.0401308849726059</v>
      </c>
      <c r="K1174">
        <v>1.7296279504448158</v>
      </c>
      <c r="L1174">
        <v>0</v>
      </c>
      <c r="M1174">
        <v>1.3543972429894669E-3</v>
      </c>
      <c r="N1174">
        <v>0.1384033445412898</v>
      </c>
      <c r="O1174">
        <v>1.7187059697724848E-2</v>
      </c>
      <c r="P1174">
        <v>1.9838074905199621E-2</v>
      </c>
      <c r="Q1174">
        <v>2.09873142593958E-3</v>
      </c>
      <c r="R1174">
        <v>1.3462316062758503E-3</v>
      </c>
      <c r="S1174">
        <v>0.15502257787423573</v>
      </c>
      <c r="T1174">
        <v>1.0709572334111039</v>
      </c>
      <c r="U1174">
        <v>2.2818311432712717E-2</v>
      </c>
      <c r="V1174">
        <v>0.20087005214433146</v>
      </c>
      <c r="W1174">
        <v>8.247222598578359E-2</v>
      </c>
      <c r="X1174">
        <v>1.6304506016052142E-2</v>
      </c>
      <c r="Y1174">
        <v>3.6639986471531257E-3</v>
      </c>
    </row>
    <row r="1175" spans="1:25" x14ac:dyDescent="0.25">
      <c r="A1175" s="827"/>
      <c r="B1175" s="1066">
        <v>925</v>
      </c>
      <c r="C1175" s="831">
        <v>0.97492433531113198</v>
      </c>
      <c r="D1175" s="831">
        <v>1.0002513479866071</v>
      </c>
      <c r="E1175" s="831">
        <v>1.0077072657270112</v>
      </c>
      <c r="F1175" s="831">
        <v>0.95757267925676581</v>
      </c>
      <c r="G1175" s="831">
        <v>0.97313019116020638</v>
      </c>
      <c r="H1175" s="831">
        <v>0.99510604376771705</v>
      </c>
      <c r="I1175" s="831">
        <v>1.0047012817600778</v>
      </c>
      <c r="K1175">
        <v>1.7506749403131241</v>
      </c>
      <c r="L1175">
        <v>0</v>
      </c>
      <c r="M1175">
        <v>1.3912839438088678E-3</v>
      </c>
      <c r="N1175">
        <v>0.14354498733153884</v>
      </c>
      <c r="O1175">
        <v>1.829284743287668E-2</v>
      </c>
      <c r="P1175">
        <v>2.0033740298829587E-2</v>
      </c>
      <c r="Q1175">
        <v>2.2347265773466742E-3</v>
      </c>
      <c r="R1175">
        <v>1.3826736880391624E-3</v>
      </c>
      <c r="S1175">
        <v>0.15702349900116055</v>
      </c>
      <c r="T1175">
        <v>1.0706792651780332</v>
      </c>
      <c r="U1175">
        <v>2.3922397927281323E-2</v>
      </c>
      <c r="V1175">
        <v>0.2089247408892731</v>
      </c>
      <c r="W1175">
        <v>8.5353211520369163E-2</v>
      </c>
      <c r="X1175">
        <v>1.6910952431601355E-2</v>
      </c>
      <c r="Y1175">
        <v>3.7631819805838363E-3</v>
      </c>
    </row>
    <row r="1176" spans="1:25" x14ac:dyDescent="0.25">
      <c r="A1176" s="827"/>
      <c r="B1176" s="1066">
        <v>926</v>
      </c>
      <c r="C1176" s="831">
        <v>0.97944654040060197</v>
      </c>
      <c r="D1176" s="831">
        <v>0.98104276748343522</v>
      </c>
      <c r="E1176" s="831">
        <v>1.0074536881728724</v>
      </c>
      <c r="F1176" s="831">
        <v>0.97313882314426436</v>
      </c>
      <c r="G1176" s="831">
        <v>0.96759245212177447</v>
      </c>
      <c r="H1176" s="831">
        <v>0.9960383591970019</v>
      </c>
      <c r="I1176" s="831">
        <v>1.0115666177873277</v>
      </c>
      <c r="K1176">
        <v>1.7549194983065619</v>
      </c>
      <c r="L1176">
        <v>0</v>
      </c>
      <c r="M1176">
        <v>1.3991340800588684E-3</v>
      </c>
      <c r="N1176">
        <v>0.14424341139670507</v>
      </c>
      <c r="O1176">
        <v>1.8369200390579779E-2</v>
      </c>
      <c r="P1176">
        <v>2.0070143383178946E-2</v>
      </c>
      <c r="Q1176">
        <v>2.2399035537757728E-3</v>
      </c>
      <c r="R1176">
        <v>1.3904970704389972E-3</v>
      </c>
      <c r="S1176">
        <v>0.15870934610036447</v>
      </c>
      <c r="T1176">
        <v>1.0707016945993073</v>
      </c>
      <c r="U1176">
        <v>2.3811945763537137E-2</v>
      </c>
      <c r="V1176">
        <v>0.21025387564442841</v>
      </c>
      <c r="W1176">
        <v>8.5783305429069479E-2</v>
      </c>
      <c r="X1176">
        <v>1.696083440673421E-2</v>
      </c>
      <c r="Y1176">
        <v>3.7844746484988708E-3</v>
      </c>
    </row>
    <row r="1177" spans="1:25" x14ac:dyDescent="0.25">
      <c r="A1177" s="827"/>
      <c r="B1177" s="1066">
        <v>927</v>
      </c>
      <c r="C1177" s="831">
        <v>0.98881381075836994</v>
      </c>
      <c r="D1177" s="831">
        <v>0.98403597408754107</v>
      </c>
      <c r="E1177" s="831">
        <v>0.97615340929238725</v>
      </c>
      <c r="F1177" s="831">
        <v>1.0140851831245374</v>
      </c>
      <c r="G1177" s="831">
        <v>0.9964455892473163</v>
      </c>
      <c r="H1177" s="831">
        <v>1.0182072698929217</v>
      </c>
      <c r="I1177" s="831">
        <v>0.999129617266729</v>
      </c>
      <c r="K1177">
        <v>1.7496309912875068</v>
      </c>
      <c r="L1177">
        <v>0</v>
      </c>
      <c r="M1177">
        <v>1.5110406237476091E-3</v>
      </c>
      <c r="N1177">
        <v>0.14133643700891987</v>
      </c>
      <c r="O1177">
        <v>1.8170041872826379E-2</v>
      </c>
      <c r="P1177">
        <v>1.9592574430815534E-2</v>
      </c>
      <c r="Q1177">
        <v>2.1472275617474283E-3</v>
      </c>
      <c r="R1177">
        <v>1.5019136063720063E-3</v>
      </c>
      <c r="S1177">
        <v>0.15669621031921238</v>
      </c>
      <c r="T1177">
        <v>1.0734888907647957</v>
      </c>
      <c r="U1177">
        <v>2.3586369490952001E-2</v>
      </c>
      <c r="V1177">
        <v>0.20890496741043443</v>
      </c>
      <c r="W1177">
        <v>8.5884717850407674E-2</v>
      </c>
      <c r="X1177">
        <v>1.5744967863911503E-2</v>
      </c>
      <c r="Y1177">
        <v>4.0877137308573232E-3</v>
      </c>
    </row>
    <row r="1178" spans="1:25" x14ac:dyDescent="0.25">
      <c r="A1178" s="827"/>
      <c r="B1178" s="1066">
        <v>928</v>
      </c>
      <c r="C1178" s="831">
        <v>1.0213856207964032</v>
      </c>
      <c r="D1178" s="831">
        <v>1.0096112702127369</v>
      </c>
      <c r="E1178" s="831">
        <v>0.97118155336935219</v>
      </c>
      <c r="F1178" s="831">
        <v>1.0059983251677393</v>
      </c>
      <c r="G1178" s="831">
        <v>0.99431136219582805</v>
      </c>
      <c r="H1178" s="831">
        <v>1.0035597805648913</v>
      </c>
      <c r="I1178" s="831">
        <v>0.99743005166783449</v>
      </c>
      <c r="K1178">
        <v>1.7198256701833641</v>
      </c>
      <c r="L1178">
        <v>0</v>
      </c>
      <c r="M1178">
        <v>1.440099709327135E-3</v>
      </c>
      <c r="N1178">
        <v>0.13261591060754199</v>
      </c>
      <c r="O1178">
        <v>1.7387265247187301E-2</v>
      </c>
      <c r="P1178">
        <v>1.9330938203856833E-2</v>
      </c>
      <c r="Q1178">
        <v>2.0486418503010187E-3</v>
      </c>
      <c r="R1178">
        <v>1.4312557316268387E-3</v>
      </c>
      <c r="S1178">
        <v>0.14881228903530744</v>
      </c>
      <c r="T1178">
        <v>1.0739350114914226</v>
      </c>
      <c r="U1178">
        <v>2.2834204264710486E-2</v>
      </c>
      <c r="V1178">
        <v>0.2030680124392171</v>
      </c>
      <c r="W1178">
        <v>8.0865327842598506E-2</v>
      </c>
      <c r="X1178">
        <v>1.5041506890756879E-2</v>
      </c>
      <c r="Y1178">
        <v>3.8954062881631276E-3</v>
      </c>
    </row>
    <row r="1179" spans="1:25" x14ac:dyDescent="0.25">
      <c r="A1179" s="827"/>
      <c r="B1179" s="1066">
        <v>929</v>
      </c>
      <c r="C1179" s="831">
        <v>1.009205013672493</v>
      </c>
      <c r="D1179" s="831">
        <v>0.99330051615305726</v>
      </c>
      <c r="E1179" s="831">
        <v>1.0126834606252495</v>
      </c>
      <c r="F1179" s="831">
        <v>1.0044513350086091</v>
      </c>
      <c r="G1179" s="831">
        <v>1.0199493786132803</v>
      </c>
      <c r="H1179" s="831">
        <v>0.9912667744576088</v>
      </c>
      <c r="I1179" s="831">
        <v>0.98288217525062216</v>
      </c>
      <c r="K1179">
        <v>1.7296349569375862</v>
      </c>
      <c r="L1179">
        <v>0</v>
      </c>
      <c r="M1179">
        <v>1.3290487975741963E-3</v>
      </c>
      <c r="N1179">
        <v>0.13925881940327534</v>
      </c>
      <c r="O1179">
        <v>1.7727404076222465E-2</v>
      </c>
      <c r="P1179">
        <v>1.9930861323406619E-2</v>
      </c>
      <c r="Q1179">
        <v>2.1752023707573877E-3</v>
      </c>
      <c r="R1179">
        <v>1.3207965381528144E-3</v>
      </c>
      <c r="S1179">
        <v>0.14855654833839418</v>
      </c>
      <c r="T1179">
        <v>1.0702396032032206</v>
      </c>
      <c r="U1179">
        <v>2.3109801856247825E-2</v>
      </c>
      <c r="V1179">
        <v>0.20581481853194167</v>
      </c>
      <c r="W1179">
        <v>8.2525142288388573E-2</v>
      </c>
      <c r="X1179">
        <v>1.6710235028760512E-2</v>
      </c>
      <c r="Y1179">
        <v>3.5947727763901748E-3</v>
      </c>
    </row>
    <row r="1180" spans="1:25" x14ac:dyDescent="0.25">
      <c r="A1180" s="827"/>
      <c r="B1180" s="1066">
        <v>930</v>
      </c>
      <c r="C1180" s="831">
        <v>1.010818172098225</v>
      </c>
      <c r="D1180" s="831">
        <v>0.96989741899324189</v>
      </c>
      <c r="E1180" s="831">
        <v>0.97859145858190177</v>
      </c>
      <c r="F1180" s="831">
        <v>1.0244344817483135</v>
      </c>
      <c r="G1180" s="831">
        <v>0.97833788225571072</v>
      </c>
      <c r="H1180" s="831">
        <v>1.001236625957763</v>
      </c>
      <c r="I1180" s="831">
        <v>0.98564018136194587</v>
      </c>
      <c r="K1180">
        <v>1.7345630275122867</v>
      </c>
      <c r="L1180">
        <v>0</v>
      </c>
      <c r="M1180">
        <v>1.4556195295222871E-3</v>
      </c>
      <c r="N1180">
        <v>0.13717785624791823</v>
      </c>
      <c r="O1180">
        <v>1.7891725917698845E-2</v>
      </c>
      <c r="P1180">
        <v>1.9527563982806178E-2</v>
      </c>
      <c r="Q1180">
        <v>2.1170471003317025E-3</v>
      </c>
      <c r="R1180">
        <v>1.4466889086686013E-3</v>
      </c>
      <c r="S1180">
        <v>0.15092557798710374</v>
      </c>
      <c r="T1180">
        <v>1.0732704655122862</v>
      </c>
      <c r="U1180">
        <v>2.3072921067387446E-2</v>
      </c>
      <c r="V1180">
        <v>0.20785466399998703</v>
      </c>
      <c r="W1180">
        <v>8.3216547917377787E-2</v>
      </c>
      <c r="X1180">
        <v>1.5580178091715753E-2</v>
      </c>
      <c r="Y1180">
        <v>3.9374103085253612E-3</v>
      </c>
    </row>
    <row r="1181" spans="1:25" x14ac:dyDescent="0.25">
      <c r="A1181" s="827"/>
      <c r="B1181" s="1066">
        <v>931</v>
      </c>
      <c r="C1181" s="831">
        <v>0.99159711443618315</v>
      </c>
      <c r="D1181" s="831">
        <v>0.96459910176380115</v>
      </c>
      <c r="E1181" s="831">
        <v>1.0373435516575076</v>
      </c>
      <c r="F1181" s="831">
        <v>1.0000422912426761</v>
      </c>
      <c r="G1181" s="831">
        <v>0.95373025872126405</v>
      </c>
      <c r="H1181" s="831">
        <v>1.0163196106189942</v>
      </c>
      <c r="I1181" s="831">
        <v>1.0304900983142344</v>
      </c>
      <c r="K1181">
        <v>1.7663230483520671</v>
      </c>
      <c r="L1181">
        <v>0</v>
      </c>
      <c r="M1181">
        <v>1.3340163538465739E-3</v>
      </c>
      <c r="N1181">
        <v>0.15092937980295484</v>
      </c>
      <c r="O1181">
        <v>1.8284027310577263E-2</v>
      </c>
      <c r="P1181">
        <v>2.0527613315832222E-2</v>
      </c>
      <c r="Q1181">
        <v>2.2934457333268076E-3</v>
      </c>
      <c r="R1181">
        <v>1.3259569282696969E-3</v>
      </c>
      <c r="S1181">
        <v>0.16236329388180293</v>
      </c>
      <c r="T1181">
        <v>1.0680746495259468</v>
      </c>
      <c r="U1181">
        <v>2.3520165154538843E-2</v>
      </c>
      <c r="V1181">
        <v>0.21049751931696781</v>
      </c>
      <c r="W1181">
        <v>8.7970210791886744E-2</v>
      </c>
      <c r="X1181">
        <v>1.8261985286642284E-2</v>
      </c>
      <c r="Y1181">
        <v>3.6088176571661846E-3</v>
      </c>
    </row>
    <row r="1182" spans="1:25" x14ac:dyDescent="0.25">
      <c r="A1182" s="827"/>
      <c r="B1182" s="1066">
        <v>932</v>
      </c>
      <c r="C1182" s="831">
        <v>1.0209859993101884</v>
      </c>
      <c r="D1182" s="831">
        <v>1.0014266783429366</v>
      </c>
      <c r="E1182" s="831">
        <v>0.98582614359258414</v>
      </c>
      <c r="F1182" s="831">
        <v>1.0022342606764858</v>
      </c>
      <c r="G1182" s="831">
        <v>0.99318873261630947</v>
      </c>
      <c r="H1182" s="831">
        <v>0.99824726884584558</v>
      </c>
      <c r="I1182" s="831">
        <v>1.0189339451986381</v>
      </c>
      <c r="K1182">
        <v>1.7256034285497259</v>
      </c>
      <c r="L1182">
        <v>0</v>
      </c>
      <c r="M1182">
        <v>1.3947846810703607E-3</v>
      </c>
      <c r="N1182">
        <v>0.1344361808653286</v>
      </c>
      <c r="O1182">
        <v>1.7458279501753639E-2</v>
      </c>
      <c r="P1182">
        <v>1.958634863907998E-2</v>
      </c>
      <c r="Q1182">
        <v>2.0864935228800869E-3</v>
      </c>
      <c r="R1182">
        <v>1.3861790997615564E-3</v>
      </c>
      <c r="S1182">
        <v>0.1522142572952096</v>
      </c>
      <c r="T1182">
        <v>1.072623623592639</v>
      </c>
      <c r="U1182">
        <v>2.2843141741474081E-2</v>
      </c>
      <c r="V1182">
        <v>0.20383911343741973</v>
      </c>
      <c r="W1182">
        <v>8.1145610653331188E-2</v>
      </c>
      <c r="X1182">
        <v>1.5606262326184102E-2</v>
      </c>
      <c r="Y1182">
        <v>3.7727225557335287E-3</v>
      </c>
    </row>
    <row r="1183" spans="1:25" x14ac:dyDescent="0.25">
      <c r="A1183" s="827"/>
      <c r="B1183" s="1066">
        <v>933</v>
      </c>
      <c r="C1183" s="831">
        <v>0.98580408598554137</v>
      </c>
      <c r="D1183" s="831">
        <v>0.98920710834115289</v>
      </c>
      <c r="E1183" s="831">
        <v>0.99853284528551833</v>
      </c>
      <c r="F1183" s="831">
        <v>0.99817722643380336</v>
      </c>
      <c r="G1183" s="831">
        <v>0.98334111623337772</v>
      </c>
      <c r="H1183" s="831">
        <v>0.98636237567239826</v>
      </c>
      <c r="I1183" s="831">
        <v>1.0081433022965798</v>
      </c>
      <c r="K1183">
        <v>1.7442325233171578</v>
      </c>
      <c r="L1183">
        <v>0</v>
      </c>
      <c r="M1183">
        <v>1.3974658425613142E-3</v>
      </c>
      <c r="N1183">
        <v>0.14011960717959682</v>
      </c>
      <c r="O1183">
        <v>1.8182229450930378E-2</v>
      </c>
      <c r="P1183">
        <v>1.9887154288545286E-2</v>
      </c>
      <c r="Q1183">
        <v>2.19885049325611E-3</v>
      </c>
      <c r="R1183">
        <v>1.3887485743667466E-3</v>
      </c>
      <c r="S1183">
        <v>0.15589768473701351</v>
      </c>
      <c r="T1183">
        <v>1.071492306208319</v>
      </c>
      <c r="U1183">
        <v>2.3658380229766327E-2</v>
      </c>
      <c r="V1183">
        <v>0.20874908446068291</v>
      </c>
      <c r="W1183">
        <v>8.3839969616590279E-2</v>
      </c>
      <c r="X1183">
        <v>1.6436258102066659E-2</v>
      </c>
      <c r="Y1183">
        <v>3.7797158185817804E-3</v>
      </c>
    </row>
    <row r="1184" spans="1:25" x14ac:dyDescent="0.25">
      <c r="A1184" s="827"/>
      <c r="B1184" s="1066">
        <v>934</v>
      </c>
      <c r="C1184" s="831">
        <v>0.99357364955405592</v>
      </c>
      <c r="D1184" s="831">
        <v>1.0047439407326841</v>
      </c>
      <c r="E1184" s="831">
        <v>0.98353001265363882</v>
      </c>
      <c r="F1184" s="831">
        <v>0.9860349586172803</v>
      </c>
      <c r="G1184" s="831">
        <v>1.014754853495851</v>
      </c>
      <c r="H1184" s="831">
        <v>1.0053553470067718</v>
      </c>
      <c r="I1184" s="831">
        <v>0.98945087359314599</v>
      </c>
      <c r="K1184">
        <v>1.7366820811542529</v>
      </c>
      <c r="L1184">
        <v>0</v>
      </c>
      <c r="M1184">
        <v>1.448284044317318E-3</v>
      </c>
      <c r="N1184">
        <v>0.13860381035994573</v>
      </c>
      <c r="O1184">
        <v>1.7913103449452319E-2</v>
      </c>
      <c r="P1184">
        <v>1.9598258837683218E-2</v>
      </c>
      <c r="Q1184">
        <v>2.1364515888973672E-3</v>
      </c>
      <c r="R1184">
        <v>1.4394091713876391E-3</v>
      </c>
      <c r="S1184">
        <v>0.15218668931927104</v>
      </c>
      <c r="T1184">
        <v>1.0728287039111786</v>
      </c>
      <c r="U1184">
        <v>2.3473376038878436E-2</v>
      </c>
      <c r="V1184">
        <v>0.20643737765372505</v>
      </c>
      <c r="W1184">
        <v>8.3794152732224306E-2</v>
      </c>
      <c r="X1184">
        <v>1.5801434872515056E-2</v>
      </c>
      <c r="Y1184">
        <v>3.917597263411331E-3</v>
      </c>
    </row>
    <row r="1185" spans="1:25" x14ac:dyDescent="0.25">
      <c r="A1185" s="827"/>
      <c r="B1185" s="1066">
        <v>935</v>
      </c>
      <c r="C1185" s="831">
        <v>0.96142458964728628</v>
      </c>
      <c r="D1185" s="831">
        <v>0.9942246430071513</v>
      </c>
      <c r="E1185" s="831">
        <v>1.0217625044130327</v>
      </c>
      <c r="F1185" s="831">
        <v>0.99592497071401398</v>
      </c>
      <c r="G1185" s="831">
        <v>0.99785193300847008</v>
      </c>
      <c r="H1185" s="831">
        <v>1.0298985246291101</v>
      </c>
      <c r="I1185" s="831">
        <v>0.98623886110603576</v>
      </c>
      <c r="K1185">
        <v>1.7704137600445167</v>
      </c>
      <c r="L1185">
        <v>0</v>
      </c>
      <c r="M1185">
        <v>1.4213485780041272E-3</v>
      </c>
      <c r="N1185">
        <v>0.15322702450209344</v>
      </c>
      <c r="O1185">
        <v>1.860056976107247E-2</v>
      </c>
      <c r="P1185">
        <v>2.0290271320008744E-2</v>
      </c>
      <c r="Q1185">
        <v>2.3032436386156052E-3</v>
      </c>
      <c r="R1185">
        <v>1.4128536115225715E-3</v>
      </c>
      <c r="S1185">
        <v>0.15926387172476519</v>
      </c>
      <c r="T1185">
        <v>1.0694398566240131</v>
      </c>
      <c r="U1185">
        <v>2.4258301846491599E-2</v>
      </c>
      <c r="V1185">
        <v>0.21105200996287873</v>
      </c>
      <c r="W1185">
        <v>9.0247080550564407E-2</v>
      </c>
      <c r="X1185">
        <v>1.7894703296997494E-2</v>
      </c>
      <c r="Y1185">
        <v>3.8453217834965741E-3</v>
      </c>
    </row>
    <row r="1186" spans="1:25" x14ac:dyDescent="0.25">
      <c r="A1186" s="827"/>
      <c r="B1186" s="1066">
        <v>936</v>
      </c>
      <c r="C1186" s="831">
        <v>1.0253294289223926</v>
      </c>
      <c r="D1186" s="831">
        <v>1.004715480936651</v>
      </c>
      <c r="E1186" s="831">
        <v>1.0190115249537139</v>
      </c>
      <c r="F1186" s="831">
        <v>0.95410433764873892</v>
      </c>
      <c r="G1186" s="831">
        <v>0.96222756101984031</v>
      </c>
      <c r="H1186" s="831">
        <v>0.99316433244080204</v>
      </c>
      <c r="I1186" s="831">
        <v>1.0048629978298129</v>
      </c>
      <c r="K1186">
        <v>1.7227575320937043</v>
      </c>
      <c r="L1186">
        <v>0</v>
      </c>
      <c r="M1186">
        <v>1.2865902055239585E-3</v>
      </c>
      <c r="N1186">
        <v>0.13748798577917001</v>
      </c>
      <c r="O1186">
        <v>1.7358534048217609E-2</v>
      </c>
      <c r="P1186">
        <v>1.9978540025530133E-2</v>
      </c>
      <c r="Q1186">
        <v>2.1454232258084241E-3</v>
      </c>
      <c r="R1186">
        <v>1.2786094112398176E-3</v>
      </c>
      <c r="S1186">
        <v>0.14891627851234282</v>
      </c>
      <c r="T1186">
        <v>1.069681852795495</v>
      </c>
      <c r="U1186">
        <v>2.2746375204323203E-2</v>
      </c>
      <c r="V1186">
        <v>0.20309984023356856</v>
      </c>
      <c r="W1186">
        <v>8.1127577459013764E-2</v>
      </c>
      <c r="X1186">
        <v>1.674315228060182E-2</v>
      </c>
      <c r="Y1186">
        <v>3.4799533239156469E-3</v>
      </c>
    </row>
    <row r="1187" spans="1:25" x14ac:dyDescent="0.25">
      <c r="A1187" s="827"/>
      <c r="B1187" s="1066">
        <v>937</v>
      </c>
      <c r="C1187" s="831">
        <v>0.99467309661924797</v>
      </c>
      <c r="D1187" s="831">
        <v>1.0094521001148757</v>
      </c>
      <c r="E1187" s="831">
        <v>0.98489734861323308</v>
      </c>
      <c r="F1187" s="831">
        <v>1.0103996357131679</v>
      </c>
      <c r="G1187" s="831">
        <v>0.9763896875366006</v>
      </c>
      <c r="H1187" s="831">
        <v>1.0055025611201465</v>
      </c>
      <c r="I1187" s="831">
        <v>1.0092321279812633</v>
      </c>
      <c r="K1187">
        <v>1.7381092500095157</v>
      </c>
      <c r="L1187">
        <v>0</v>
      </c>
      <c r="M1187">
        <v>1.4396989247647933E-3</v>
      </c>
      <c r="N1187">
        <v>0.13837005157213042</v>
      </c>
      <c r="O1187">
        <v>1.7855484091696641E-2</v>
      </c>
      <c r="P1187">
        <v>1.9644011029111598E-2</v>
      </c>
      <c r="Q1187">
        <v>2.1333485088127326E-3</v>
      </c>
      <c r="R1187">
        <v>1.4308746042745006E-3</v>
      </c>
      <c r="S1187">
        <v>0.15476785447356747</v>
      </c>
      <c r="T1187">
        <v>1.0727065555895914</v>
      </c>
      <c r="U1187">
        <v>2.3447430092935203E-2</v>
      </c>
      <c r="V1187">
        <v>0.20589062751783713</v>
      </c>
      <c r="W1187">
        <v>8.3573735313458672E-2</v>
      </c>
      <c r="X1187">
        <v>1.5834607155713443E-2</v>
      </c>
      <c r="Y1187">
        <v>3.894368985148661E-3</v>
      </c>
    </row>
    <row r="1188" spans="1:25" x14ac:dyDescent="0.25">
      <c r="A1188" s="827"/>
      <c r="B1188" s="1066">
        <v>938</v>
      </c>
      <c r="C1188" s="831">
        <v>1.0296162080576232</v>
      </c>
      <c r="D1188" s="831">
        <v>0.99543132230951914</v>
      </c>
      <c r="E1188" s="831">
        <v>0.98659336075355042</v>
      </c>
      <c r="F1188" s="831">
        <v>0.9886119028603354</v>
      </c>
      <c r="G1188" s="831">
        <v>1.0246653763116997</v>
      </c>
      <c r="H1188" s="831">
        <v>0.98138641388806169</v>
      </c>
      <c r="I1188" s="831">
        <v>0.97147665456941412</v>
      </c>
      <c r="K1188">
        <v>1.7106860945535032</v>
      </c>
      <c r="L1188">
        <v>0</v>
      </c>
      <c r="M1188">
        <v>1.3612361767620215E-3</v>
      </c>
      <c r="N1188">
        <v>0.13150285293890351</v>
      </c>
      <c r="O1188">
        <v>1.7359105568399893E-2</v>
      </c>
      <c r="P1188">
        <v>1.9466693384672291E-2</v>
      </c>
      <c r="Q1188">
        <v>2.0752311915456343E-3</v>
      </c>
      <c r="R1188">
        <v>1.3526974723170875E-3</v>
      </c>
      <c r="S1188">
        <v>0.14312321642247905</v>
      </c>
      <c r="T1188">
        <v>1.072555143340252</v>
      </c>
      <c r="U1188">
        <v>2.2651671288568074E-2</v>
      </c>
      <c r="V1188">
        <v>0.2034935534214195</v>
      </c>
      <c r="W1188">
        <v>7.9332993765768425E-2</v>
      </c>
      <c r="X1188">
        <v>1.545257533289267E-2</v>
      </c>
      <c r="Y1188">
        <v>3.6815966030452059E-3</v>
      </c>
    </row>
    <row r="1189" spans="1:25" x14ac:dyDescent="0.25">
      <c r="A1189" s="827"/>
      <c r="B1189" s="1066">
        <v>939</v>
      </c>
      <c r="C1189" s="831">
        <v>0.97863140134080184</v>
      </c>
      <c r="D1189" s="831">
        <v>0.98110626636500609</v>
      </c>
      <c r="E1189" s="831">
        <v>0.98926986343663281</v>
      </c>
      <c r="F1189" s="831">
        <v>0.96887999587225337</v>
      </c>
      <c r="G1189" s="831">
        <v>0.98718477366263413</v>
      </c>
      <c r="H1189" s="831">
        <v>1.0209379379741783</v>
      </c>
      <c r="I1189" s="831">
        <v>1.0250664048522997</v>
      </c>
      <c r="K1189">
        <v>1.7630459395736096</v>
      </c>
      <c r="L1189">
        <v>0</v>
      </c>
      <c r="M1189">
        <v>1.4912759623756803E-3</v>
      </c>
      <c r="N1189">
        <v>0.1453076873482812</v>
      </c>
      <c r="O1189">
        <v>1.8383960591604524E-2</v>
      </c>
      <c r="P1189">
        <v>1.9878504749979067E-2</v>
      </c>
      <c r="Q1189">
        <v>2.2010767536286883E-3</v>
      </c>
      <c r="R1189">
        <v>1.4822946227214854E-3</v>
      </c>
      <c r="S1189">
        <v>0.16284553527313117</v>
      </c>
      <c r="T1189">
        <v>1.0723164175841566</v>
      </c>
      <c r="U1189">
        <v>2.3831779632606812E-2</v>
      </c>
      <c r="V1189">
        <v>0.21034050508694244</v>
      </c>
      <c r="W1189">
        <v>8.7499417565645388E-2</v>
      </c>
      <c r="X1189">
        <v>1.6415719002530117E-2</v>
      </c>
      <c r="Y1189">
        <v>4.0343173247568273E-3</v>
      </c>
    </row>
    <row r="1190" spans="1:25" x14ac:dyDescent="0.25">
      <c r="A1190" s="827"/>
      <c r="B1190" s="1066">
        <v>940</v>
      </c>
      <c r="C1190" s="831">
        <v>1.0228293925675804</v>
      </c>
      <c r="D1190" s="831">
        <v>0.98836618344674187</v>
      </c>
      <c r="E1190" s="831">
        <v>0.99817228613553377</v>
      </c>
      <c r="F1190" s="831">
        <v>0.98555764373852006</v>
      </c>
      <c r="G1190" s="831">
        <v>1.0135260752625312</v>
      </c>
      <c r="H1190" s="831">
        <v>1.0088365773182717</v>
      </c>
      <c r="I1190" s="831">
        <v>1.0204134551755535</v>
      </c>
      <c r="K1190">
        <v>1.7330777421437915</v>
      </c>
      <c r="L1190">
        <v>0</v>
      </c>
      <c r="M1190">
        <v>1.3791450893995731E-3</v>
      </c>
      <c r="N1190">
        <v>0.13814696683574249</v>
      </c>
      <c r="O1190">
        <v>1.7530813678552262E-2</v>
      </c>
      <c r="P1190">
        <v>1.9788032871022078E-2</v>
      </c>
      <c r="Q1190">
        <v>2.1191545908807925E-3</v>
      </c>
      <c r="R1190">
        <v>1.3707343423783004E-3</v>
      </c>
      <c r="S1190">
        <v>0.15375494765623635</v>
      </c>
      <c r="T1190">
        <v>1.0715243240120813</v>
      </c>
      <c r="U1190">
        <v>2.2801972711946894E-2</v>
      </c>
      <c r="V1190">
        <v>0.2048367375017362</v>
      </c>
      <c r="W1190">
        <v>8.2680067582280303E-2</v>
      </c>
      <c r="X1190">
        <v>1.6172448432834222E-2</v>
      </c>
      <c r="Y1190">
        <v>3.7306870174992086E-3</v>
      </c>
    </row>
    <row r="1191" spans="1:25" x14ac:dyDescent="0.25">
      <c r="A1191" s="827"/>
      <c r="B1191" s="1066">
        <v>941</v>
      </c>
      <c r="C1191" s="831">
        <v>1.0285749572908451</v>
      </c>
      <c r="D1191" s="831">
        <v>1.0364730770342869</v>
      </c>
      <c r="E1191" s="831">
        <v>0.99276504364786078</v>
      </c>
      <c r="F1191" s="831">
        <v>0.9763716477667439</v>
      </c>
      <c r="G1191" s="831">
        <v>0.96247313088324149</v>
      </c>
      <c r="H1191" s="831">
        <v>1.0066330389910942</v>
      </c>
      <c r="I1191" s="831">
        <v>0.99182146532634696</v>
      </c>
      <c r="K1191">
        <v>1.7118285545015841</v>
      </c>
      <c r="L1191">
        <v>0</v>
      </c>
      <c r="M1191">
        <v>1.3547022221788571E-3</v>
      </c>
      <c r="N1191">
        <v>0.13342915203585409</v>
      </c>
      <c r="O1191">
        <v>1.7062131342188647E-2</v>
      </c>
      <c r="P1191">
        <v>1.9536434600158935E-2</v>
      </c>
      <c r="Q1191">
        <v>2.0592475440723915E-3</v>
      </c>
      <c r="R1191">
        <v>1.3463905410426109E-3</v>
      </c>
      <c r="S1191">
        <v>0.14556136685586041</v>
      </c>
      <c r="T1191">
        <v>1.0720050775566261</v>
      </c>
      <c r="U1191">
        <v>2.2674602111383512E-2</v>
      </c>
      <c r="V1191">
        <v>0.20003718423840425</v>
      </c>
      <c r="W1191">
        <v>8.0153431325960131E-2</v>
      </c>
      <c r="X1191">
        <v>1.5653807357014937E-2</v>
      </c>
      <c r="Y1191">
        <v>3.6644312151954154E-3</v>
      </c>
    </row>
    <row r="1192" spans="1:25" x14ac:dyDescent="0.25">
      <c r="A1192" s="827"/>
      <c r="B1192" s="1066">
        <v>942</v>
      </c>
      <c r="C1192" s="831">
        <v>0.99369178324035323</v>
      </c>
      <c r="D1192" s="831">
        <v>1.0086859973962123</v>
      </c>
      <c r="E1192" s="831">
        <v>0.98808587086186594</v>
      </c>
      <c r="F1192" s="831">
        <v>1.0288137391773033</v>
      </c>
      <c r="G1192" s="831">
        <v>1.0115866919817806</v>
      </c>
      <c r="H1192" s="831">
        <v>1.0009890543335205</v>
      </c>
      <c r="I1192" s="831">
        <v>1.0310870357330124</v>
      </c>
      <c r="K1192">
        <v>1.7412775502300404</v>
      </c>
      <c r="L1192">
        <v>0</v>
      </c>
      <c r="M1192">
        <v>1.4255599121089527E-3</v>
      </c>
      <c r="N1192">
        <v>0.13837461812163038</v>
      </c>
      <c r="O1192">
        <v>1.7879258220321628E-2</v>
      </c>
      <c r="P1192">
        <v>1.9733794731693507E-2</v>
      </c>
      <c r="Q1192">
        <v>2.1429654636197252E-3</v>
      </c>
      <c r="R1192">
        <v>1.4167833953549719E-3</v>
      </c>
      <c r="S1192">
        <v>0.1579904630016376</v>
      </c>
      <c r="T1192">
        <v>1.0724219883719246</v>
      </c>
      <c r="U1192">
        <v>2.3470585438726464E-2</v>
      </c>
      <c r="V1192">
        <v>0.20606440077267119</v>
      </c>
      <c r="W1192">
        <v>8.3392624382297068E-2</v>
      </c>
      <c r="X1192">
        <v>1.5959610882637375E-2</v>
      </c>
      <c r="Y1192">
        <v>3.8560173596354744E-3</v>
      </c>
    </row>
    <row r="1193" spans="1:25" x14ac:dyDescent="0.25">
      <c r="A1193" s="827"/>
      <c r="B1193" s="1066">
        <v>943</v>
      </c>
      <c r="C1193" s="831">
        <v>1.001675768496922</v>
      </c>
      <c r="D1193" s="831">
        <v>1.0086712749400073</v>
      </c>
      <c r="E1193" s="831">
        <v>0.9714642840562534</v>
      </c>
      <c r="F1193" s="831">
        <v>1.0095584476324213</v>
      </c>
      <c r="G1193" s="831">
        <v>0.97593329206987611</v>
      </c>
      <c r="H1193" s="831">
        <v>1.0221714484043003</v>
      </c>
      <c r="I1193" s="831">
        <v>1.0158633765143417</v>
      </c>
      <c r="K1193">
        <v>1.7389260543758374</v>
      </c>
      <c r="L1193">
        <v>0</v>
      </c>
      <c r="M1193">
        <v>1.4954126803136529E-3</v>
      </c>
      <c r="N1193">
        <v>0.13784658396832611</v>
      </c>
      <c r="O1193">
        <v>1.7736866443770604E-2</v>
      </c>
      <c r="P1193">
        <v>1.9464819612978461E-2</v>
      </c>
      <c r="Q1193">
        <v>2.0902780620168857E-3</v>
      </c>
      <c r="R1193">
        <v>1.4863969099899845E-3</v>
      </c>
      <c r="S1193">
        <v>0.15595417440274764</v>
      </c>
      <c r="T1193">
        <v>1.0739096174270595</v>
      </c>
      <c r="U1193">
        <v>2.3283510125537043E-2</v>
      </c>
      <c r="V1193">
        <v>0.20521196907142375</v>
      </c>
      <c r="W1193">
        <v>8.4038250957405539E-2</v>
      </c>
      <c r="X1193">
        <v>1.5353517676511814E-2</v>
      </c>
      <c r="Y1193">
        <v>4.0454823983830483E-3</v>
      </c>
    </row>
    <row r="1194" spans="1:25" x14ac:dyDescent="0.25">
      <c r="A1194" s="827"/>
      <c r="B1194" s="1066">
        <v>944</v>
      </c>
      <c r="C1194" s="831">
        <v>0.97887244133611429</v>
      </c>
      <c r="D1194" s="831">
        <v>0.97994522995556088</v>
      </c>
      <c r="E1194" s="831">
        <v>0.99348689649066346</v>
      </c>
      <c r="F1194" s="831">
        <v>0.98400616093964488</v>
      </c>
      <c r="G1194" s="831">
        <v>0.97132144100853379</v>
      </c>
      <c r="H1194" s="831">
        <v>1.0087823740592905</v>
      </c>
      <c r="I1194" s="831">
        <v>0.99841277195093148</v>
      </c>
      <c r="K1194">
        <v>1.7556625252909561</v>
      </c>
      <c r="L1194">
        <v>0</v>
      </c>
      <c r="M1194">
        <v>1.4609344176961512E-3</v>
      </c>
      <c r="N1194">
        <v>0.14422192258226449</v>
      </c>
      <c r="O1194">
        <v>1.838931714958366E-2</v>
      </c>
      <c r="P1194">
        <v>1.9868418354659453E-2</v>
      </c>
      <c r="Q1194">
        <v>2.2108987241694598E-3</v>
      </c>
      <c r="R1194">
        <v>1.452030659722176E-3</v>
      </c>
      <c r="S1194">
        <v>0.15775217924676815</v>
      </c>
      <c r="T1194">
        <v>1.0719408344475951</v>
      </c>
      <c r="U1194">
        <v>2.3825911235655001E-2</v>
      </c>
      <c r="V1194">
        <v>0.21042286102235991</v>
      </c>
      <c r="W1194">
        <v>8.6593866822315971E-2</v>
      </c>
      <c r="X1194">
        <v>1.6493270669574098E-2</v>
      </c>
      <c r="Y1194">
        <v>3.9519487939854289E-3</v>
      </c>
    </row>
    <row r="1195" spans="1:25" x14ac:dyDescent="0.25">
      <c r="A1195" s="827"/>
      <c r="B1195" s="1066">
        <v>945</v>
      </c>
      <c r="C1195" s="831">
        <v>1.0010890530701073</v>
      </c>
      <c r="D1195" s="831">
        <v>0.96689425928292339</v>
      </c>
      <c r="E1195" s="831">
        <v>0.99239190262099153</v>
      </c>
      <c r="F1195" s="831">
        <v>0.98286757708490868</v>
      </c>
      <c r="G1195" s="831">
        <v>0.99823267545058669</v>
      </c>
      <c r="H1195" s="831">
        <v>0.97803705297315202</v>
      </c>
      <c r="I1195" s="831">
        <v>1.0337109659468964</v>
      </c>
      <c r="K1195">
        <v>1.7427437432411865</v>
      </c>
      <c r="L1195">
        <v>0</v>
      </c>
      <c r="M1195">
        <v>1.3966426282350411E-3</v>
      </c>
      <c r="N1195">
        <v>0.13738044221546597</v>
      </c>
      <c r="O1195">
        <v>1.8091099061264902E-2</v>
      </c>
      <c r="P1195">
        <v>1.9836987657042504E-2</v>
      </c>
      <c r="Q1195">
        <v>2.1702218022216367E-3</v>
      </c>
      <c r="R1195">
        <v>1.3878728445384514E-3</v>
      </c>
      <c r="S1195">
        <v>0.15828525581573649</v>
      </c>
      <c r="T1195">
        <v>1.07203829387986</v>
      </c>
      <c r="U1195">
        <v>2.3297156058972385E-2</v>
      </c>
      <c r="V1195">
        <v>0.20920861925383122</v>
      </c>
      <c r="W1195">
        <v>8.2548229522113215E-2</v>
      </c>
      <c r="X1195">
        <v>1.6118875387701365E-2</v>
      </c>
      <c r="Y1195">
        <v>3.7773323706734221E-3</v>
      </c>
    </row>
    <row r="1196" spans="1:25" x14ac:dyDescent="0.25">
      <c r="A1196" s="827"/>
      <c r="B1196" s="1066">
        <v>946</v>
      </c>
      <c r="C1196" s="831">
        <v>0.9764955298944763</v>
      </c>
      <c r="D1196" s="831">
        <v>0.98545278384062052</v>
      </c>
      <c r="E1196" s="831">
        <v>1.0155854942760645</v>
      </c>
      <c r="F1196" s="831">
        <v>1.0268549799180793</v>
      </c>
      <c r="G1196" s="831">
        <v>1.0201015945513794</v>
      </c>
      <c r="H1196" s="831">
        <v>0.97036380161527858</v>
      </c>
      <c r="I1196" s="831">
        <v>1.0061069772107838</v>
      </c>
      <c r="K1196">
        <v>1.7473236288928744</v>
      </c>
      <c r="L1196">
        <v>0</v>
      </c>
      <c r="M1196">
        <v>1.3412038207283406E-3</v>
      </c>
      <c r="N1196">
        <v>0.14178714506470491</v>
      </c>
      <c r="O1196">
        <v>1.8387244243664343E-2</v>
      </c>
      <c r="P1196">
        <v>2.0145123434528171E-2</v>
      </c>
      <c r="Q1196">
        <v>2.2612271497848588E-3</v>
      </c>
      <c r="R1196">
        <v>1.3327022250372563E-3</v>
      </c>
      <c r="S1196">
        <v>0.15612308624816976</v>
      </c>
      <c r="T1196">
        <v>1.0699836321465537</v>
      </c>
      <c r="U1196">
        <v>2.3883906463784292E-2</v>
      </c>
      <c r="V1196">
        <v>0.21015853333260687</v>
      </c>
      <c r="W1196">
        <v>8.3858387832657408E-2</v>
      </c>
      <c r="X1196">
        <v>1.7116668440731911E-2</v>
      </c>
      <c r="Y1196">
        <v>3.627176131381E-3</v>
      </c>
    </row>
    <row r="1197" spans="1:25" x14ac:dyDescent="0.25">
      <c r="A1197" s="827"/>
      <c r="B1197" s="1066">
        <v>947</v>
      </c>
      <c r="C1197" s="831">
        <v>0.99676725274059264</v>
      </c>
      <c r="D1197" s="831">
        <v>0.98918797877710363</v>
      </c>
      <c r="E1197" s="831">
        <v>0.98819494491580917</v>
      </c>
      <c r="F1197" s="831">
        <v>0.97618176934459244</v>
      </c>
      <c r="G1197" s="831">
        <v>0.972682275369394</v>
      </c>
      <c r="H1197" s="831">
        <v>1.0000365434737517</v>
      </c>
      <c r="I1197" s="831">
        <v>1.0115255240343193</v>
      </c>
      <c r="K1197">
        <v>1.7416332268622092</v>
      </c>
      <c r="L1197">
        <v>0</v>
      </c>
      <c r="M1197">
        <v>1.4320772952133426E-3</v>
      </c>
      <c r="N1197">
        <v>0.13905501078667176</v>
      </c>
      <c r="O1197">
        <v>1.7982405869308878E-2</v>
      </c>
      <c r="P1197">
        <v>1.9723321838943306E-2</v>
      </c>
      <c r="Q1197">
        <v>2.152118071623352E-3</v>
      </c>
      <c r="R1197">
        <v>1.4232662870239704E-3</v>
      </c>
      <c r="S1197">
        <v>0.15570259447696072</v>
      </c>
      <c r="T1197">
        <v>1.0724122605684747</v>
      </c>
      <c r="U1197">
        <v>2.3398168262629363E-2</v>
      </c>
      <c r="V1197">
        <v>0.20754020141479126</v>
      </c>
      <c r="W1197">
        <v>8.379636243374472E-2</v>
      </c>
      <c r="X1197">
        <v>1.6005932493575369E-2</v>
      </c>
      <c r="Y1197">
        <v>3.8736616536738256E-3</v>
      </c>
    </row>
    <row r="1198" spans="1:25" x14ac:dyDescent="0.25">
      <c r="A1198" s="827"/>
      <c r="B1198" s="1066">
        <v>948</v>
      </c>
      <c r="C1198" s="831">
        <v>0.99644307976623403</v>
      </c>
      <c r="D1198" s="831">
        <v>0.9984913576478589</v>
      </c>
      <c r="E1198" s="831">
        <v>0.99717462395190437</v>
      </c>
      <c r="F1198" s="831">
        <v>0.97068941812392773</v>
      </c>
      <c r="G1198" s="831">
        <v>1.0227451023738914</v>
      </c>
      <c r="H1198" s="831">
        <v>1.0206693400221443</v>
      </c>
      <c r="I1198" s="831">
        <v>0.97800398357011831</v>
      </c>
      <c r="K1198">
        <v>1.7414192205488537</v>
      </c>
      <c r="L1198">
        <v>0</v>
      </c>
      <c r="M1198">
        <v>1.4286725425212148E-3</v>
      </c>
      <c r="N1198">
        <v>0.14267391533781515</v>
      </c>
      <c r="O1198">
        <v>1.791208729062339E-2</v>
      </c>
      <c r="P1198">
        <v>1.9776880618487026E-2</v>
      </c>
      <c r="Q1198">
        <v>2.1648848388909053E-3</v>
      </c>
      <c r="R1198">
        <v>1.4200535809944957E-3</v>
      </c>
      <c r="S1198">
        <v>0.15146185477527344</v>
      </c>
      <c r="T1198">
        <v>1.071612942393954</v>
      </c>
      <c r="U1198">
        <v>2.3405780392167147E-2</v>
      </c>
      <c r="V1198">
        <v>0.20670227773137387</v>
      </c>
      <c r="W1198">
        <v>8.5447822140717306E-2</v>
      </c>
      <c r="X1198">
        <v>1.6404476264148874E-2</v>
      </c>
      <c r="Y1198">
        <v>3.8649177269298512E-3</v>
      </c>
    </row>
    <row r="1199" spans="1:25" x14ac:dyDescent="0.25">
      <c r="A1199" s="827"/>
      <c r="B1199" s="1066">
        <v>949</v>
      </c>
      <c r="C1199" s="831">
        <v>0.99422386391583928</v>
      </c>
      <c r="D1199" s="831">
        <v>1.047914358869029</v>
      </c>
      <c r="E1199" s="831">
        <v>1.0191480592858106</v>
      </c>
      <c r="F1199" s="831">
        <v>0.99808776189739068</v>
      </c>
      <c r="G1199" s="831">
        <v>1.0176833326384687</v>
      </c>
      <c r="H1199" s="831">
        <v>1.0130738141467741</v>
      </c>
      <c r="I1199" s="831">
        <v>0.99240737252534272</v>
      </c>
      <c r="K1199">
        <v>1.7321692471545049</v>
      </c>
      <c r="L1199">
        <v>0</v>
      </c>
      <c r="M1199">
        <v>1.327598936664742E-3</v>
      </c>
      <c r="N1199">
        <v>0.14194493063217511</v>
      </c>
      <c r="O1199">
        <v>1.7564501963441882E-2</v>
      </c>
      <c r="P1199">
        <v>2.0004087115628712E-2</v>
      </c>
      <c r="Q1199">
        <v>2.1785776917737729E-3</v>
      </c>
      <c r="R1199">
        <v>1.3194982473811547E-3</v>
      </c>
      <c r="S1199">
        <v>0.15044937199421457</v>
      </c>
      <c r="T1199">
        <v>1.0696698354809189</v>
      </c>
      <c r="U1199">
        <v>2.3458024640894578E-2</v>
      </c>
      <c r="V1199">
        <v>0.20256808816274322</v>
      </c>
      <c r="W1199">
        <v>8.374976707343551E-2</v>
      </c>
      <c r="X1199">
        <v>1.6998923831670565E-2</v>
      </c>
      <c r="Y1199">
        <v>3.5912392568911559E-3</v>
      </c>
    </row>
    <row r="1200" spans="1:25" x14ac:dyDescent="0.25">
      <c r="A1200" s="827"/>
      <c r="B1200" s="1066">
        <v>950</v>
      </c>
      <c r="C1200" s="831">
        <v>1.0386165861007919</v>
      </c>
      <c r="D1200" s="831">
        <v>0.98935074495970332</v>
      </c>
      <c r="E1200" s="831">
        <v>0.97127713693641815</v>
      </c>
      <c r="F1200" s="831">
        <v>0.98986203796308136</v>
      </c>
      <c r="G1200" s="831">
        <v>0.99477801907300267</v>
      </c>
      <c r="H1200" s="831">
        <v>1.0012627960957396</v>
      </c>
      <c r="I1200" s="831">
        <v>1.0216176774834576</v>
      </c>
      <c r="K1200">
        <v>1.7193851415539463</v>
      </c>
      <c r="L1200">
        <v>0</v>
      </c>
      <c r="M1200">
        <v>1.4257012851559693E-3</v>
      </c>
      <c r="N1200">
        <v>0.13132860040362915</v>
      </c>
      <c r="O1200">
        <v>1.7256546872267024E-2</v>
      </c>
      <c r="P1200">
        <v>1.9357213285974641E-2</v>
      </c>
      <c r="Q1200">
        <v>2.0300613198307514E-3</v>
      </c>
      <c r="R1200">
        <v>1.4169401307899236E-3</v>
      </c>
      <c r="S1200">
        <v>0.15099637908418942</v>
      </c>
      <c r="T1200">
        <v>1.0739264261125818</v>
      </c>
      <c r="U1200">
        <v>2.2455377865533029E-2</v>
      </c>
      <c r="V1200">
        <v>0.20313274395812739</v>
      </c>
      <c r="W1200">
        <v>8.0075019536316766E-2</v>
      </c>
      <c r="X1200">
        <v>1.4979090328038604E-2</v>
      </c>
      <c r="Y1200">
        <v>3.8564439418215901E-3</v>
      </c>
    </row>
    <row r="1201" spans="1:25" x14ac:dyDescent="0.25">
      <c r="A1201" s="827"/>
      <c r="B1201" s="1066">
        <v>951</v>
      </c>
      <c r="C1201" s="831">
        <v>0.99415620962545626</v>
      </c>
      <c r="D1201" s="831">
        <v>1.0406042379722849</v>
      </c>
      <c r="E1201" s="831">
        <v>1.0225174356868736</v>
      </c>
      <c r="F1201" s="831">
        <v>1.0053657616314138</v>
      </c>
      <c r="G1201" s="831">
        <v>1.0362411871391062</v>
      </c>
      <c r="H1201" s="831">
        <v>0.95404728556900464</v>
      </c>
      <c r="I1201" s="831">
        <v>1.0278402975041747</v>
      </c>
      <c r="K1201">
        <v>1.7217460592895384</v>
      </c>
      <c r="L1201">
        <v>0</v>
      </c>
      <c r="M1201">
        <v>1.2453817004781395E-3</v>
      </c>
      <c r="N1201">
        <v>0.13450472423448762</v>
      </c>
      <c r="O1201">
        <v>1.7621202087954761E-2</v>
      </c>
      <c r="P1201">
        <v>2.0079406760486602E-2</v>
      </c>
      <c r="Q1201">
        <v>2.1917109646833288E-3</v>
      </c>
      <c r="R1201">
        <v>1.2373170282134029E-3</v>
      </c>
      <c r="S1201">
        <v>0.15198022417008347</v>
      </c>
      <c r="T1201">
        <v>1.069373497516247</v>
      </c>
      <c r="U1201">
        <v>2.345962100572687E-2</v>
      </c>
      <c r="V1201">
        <v>0.20319688627688509</v>
      </c>
      <c r="W1201">
        <v>7.9179804622799652E-2</v>
      </c>
      <c r="X1201">
        <v>1.6799477253101158E-2</v>
      </c>
      <c r="Y1201">
        <v>3.3675690693481513E-3</v>
      </c>
    </row>
    <row r="1202" spans="1:25" x14ac:dyDescent="0.25">
      <c r="A1202" s="827"/>
      <c r="B1202" s="1066">
        <v>952</v>
      </c>
      <c r="C1202" s="831">
        <v>1.0233030239562184</v>
      </c>
      <c r="D1202" s="831">
        <v>1.0099466667821966</v>
      </c>
      <c r="E1202" s="831">
        <v>0.98950632087194901</v>
      </c>
      <c r="F1202" s="831">
        <v>1.0126742741398771</v>
      </c>
      <c r="G1202" s="831">
        <v>0.98808661614543525</v>
      </c>
      <c r="H1202" s="831">
        <v>0.99130786484784805</v>
      </c>
      <c r="I1202" s="831">
        <v>0.98785486569821368</v>
      </c>
      <c r="K1202">
        <v>1.7158136285337819</v>
      </c>
      <c r="L1202">
        <v>0</v>
      </c>
      <c r="M1202">
        <v>1.3660610299270728E-3</v>
      </c>
      <c r="N1202">
        <v>0.13317887206570064</v>
      </c>
      <c r="O1202">
        <v>1.735207818822496E-2</v>
      </c>
      <c r="P1202">
        <v>1.9541293337247804E-2</v>
      </c>
      <c r="Q1202">
        <v>2.0829812940626798E-3</v>
      </c>
      <c r="R1202">
        <v>1.3575678257346493E-3</v>
      </c>
      <c r="S1202">
        <v>0.146242023570094</v>
      </c>
      <c r="T1202">
        <v>1.0722953401625013</v>
      </c>
      <c r="U1202">
        <v>2.2791418917277647E-2</v>
      </c>
      <c r="V1202">
        <v>0.2028410958542603</v>
      </c>
      <c r="W1202">
        <v>8.0182780872957979E-2</v>
      </c>
      <c r="X1202">
        <v>1.5619385376111131E-2</v>
      </c>
      <c r="Y1202">
        <v>3.6948520995362354E-3</v>
      </c>
    </row>
    <row r="1203" spans="1:25" x14ac:dyDescent="0.25">
      <c r="A1203" s="827"/>
      <c r="B1203" s="1066">
        <v>953</v>
      </c>
      <c r="C1203" s="831">
        <v>1.0094939351950882</v>
      </c>
      <c r="D1203" s="831">
        <v>0.98208246266987853</v>
      </c>
      <c r="E1203" s="831">
        <v>1.0105114025850497</v>
      </c>
      <c r="F1203" s="831">
        <v>1.0297312582698277</v>
      </c>
      <c r="G1203" s="831">
        <v>1.0067485632902622</v>
      </c>
      <c r="H1203" s="831">
        <v>1.021016319929366</v>
      </c>
      <c r="I1203" s="831">
        <v>1.0050560487260194</v>
      </c>
      <c r="K1203">
        <v>1.7449296529897291</v>
      </c>
      <c r="L1203">
        <v>0</v>
      </c>
      <c r="M1203">
        <v>1.3819233298741152E-3</v>
      </c>
      <c r="N1203">
        <v>0.14385170245086085</v>
      </c>
      <c r="O1203">
        <v>1.781387681967285E-2</v>
      </c>
      <c r="P1203">
        <v>2.0000337089697867E-2</v>
      </c>
      <c r="Q1203">
        <v>2.1790330110352698E-3</v>
      </c>
      <c r="R1203">
        <v>1.3736005339489905E-3</v>
      </c>
      <c r="S1203">
        <v>0.15472680701884153</v>
      </c>
      <c r="T1203">
        <v>1.070431395973902</v>
      </c>
      <c r="U1203">
        <v>2.3103187731183382E-2</v>
      </c>
      <c r="V1203">
        <v>0.20683338700808818</v>
      </c>
      <c r="W1203">
        <v>8.5372664247081939E-2</v>
      </c>
      <c r="X1203">
        <v>1.6887096589173312E-2</v>
      </c>
      <c r="Y1203">
        <v>3.738487846114831E-3</v>
      </c>
    </row>
    <row r="1204" spans="1:25" x14ac:dyDescent="0.25">
      <c r="A1204" s="827"/>
      <c r="B1204" s="1066">
        <v>954</v>
      </c>
      <c r="C1204" s="831">
        <v>1.0155158429262106</v>
      </c>
      <c r="D1204" s="831">
        <v>1.0222727236886018</v>
      </c>
      <c r="E1204" s="831">
        <v>1.0116602306703635</v>
      </c>
      <c r="F1204" s="831">
        <v>0.9954593821501555</v>
      </c>
      <c r="G1204" s="831">
        <v>1.0006463067978433</v>
      </c>
      <c r="H1204" s="831">
        <v>1.0141066512690551</v>
      </c>
      <c r="I1204" s="831">
        <v>0.99158182616457025</v>
      </c>
      <c r="K1204">
        <v>1.7266605220301199</v>
      </c>
      <c r="L1204">
        <v>0</v>
      </c>
      <c r="M1204">
        <v>1.3366567314487888E-3</v>
      </c>
      <c r="N1204">
        <v>0.13962889689009605</v>
      </c>
      <c r="O1204">
        <v>1.738950239584458E-2</v>
      </c>
      <c r="P1204">
        <v>1.987307821707774E-2</v>
      </c>
      <c r="Q1204">
        <v>2.1365711327156391E-3</v>
      </c>
      <c r="R1204">
        <v>1.3285252094648778E-3</v>
      </c>
      <c r="S1204">
        <v>0.14876023997893065</v>
      </c>
      <c r="T1204">
        <v>1.0703299321961672</v>
      </c>
      <c r="U1204">
        <v>2.2966188130654153E-2</v>
      </c>
      <c r="V1204">
        <v>0.2025602943781443</v>
      </c>
      <c r="W1204">
        <v>8.2801914024359685E-2</v>
      </c>
      <c r="X1204">
        <v>1.6606228536167351E-2</v>
      </c>
      <c r="Y1204">
        <v>3.6158076719457984E-3</v>
      </c>
    </row>
    <row r="1205" spans="1:25" x14ac:dyDescent="0.25">
      <c r="A1205" s="827"/>
      <c r="B1205" s="1066">
        <v>955</v>
      </c>
      <c r="C1205" s="831">
        <v>1.0178300366618411</v>
      </c>
      <c r="D1205" s="831">
        <v>1.0059788555143616</v>
      </c>
      <c r="E1205" s="831">
        <v>1.018718551726264</v>
      </c>
      <c r="F1205" s="831">
        <v>0.95277904536056712</v>
      </c>
      <c r="G1205" s="831">
        <v>1.0116857479976957</v>
      </c>
      <c r="H1205" s="831">
        <v>0.99026757358914241</v>
      </c>
      <c r="I1205" s="831">
        <v>0.99680042567932514</v>
      </c>
      <c r="K1205">
        <v>1.7242025470693025</v>
      </c>
      <c r="L1205">
        <v>0</v>
      </c>
      <c r="M1205">
        <v>1.2923548873928787E-3</v>
      </c>
      <c r="N1205">
        <v>0.13797576032382458</v>
      </c>
      <c r="O1205">
        <v>1.7476487517930888E-2</v>
      </c>
      <c r="P1205">
        <v>1.9980660442596214E-2</v>
      </c>
      <c r="Q1205">
        <v>2.1595940549200689E-3</v>
      </c>
      <c r="R1205">
        <v>1.2843140633831455E-3</v>
      </c>
      <c r="S1205">
        <v>0.14852920673201775</v>
      </c>
      <c r="T1205">
        <v>1.0697076417435754</v>
      </c>
      <c r="U1205">
        <v>2.291397095608776E-2</v>
      </c>
      <c r="V1205">
        <v>0.2037571536096584</v>
      </c>
      <c r="W1205">
        <v>8.1431508184796372E-2</v>
      </c>
      <c r="X1205">
        <v>1.6783124821393214E-2</v>
      </c>
      <c r="Y1205">
        <v>3.4954795065117129E-3</v>
      </c>
    </row>
    <row r="1206" spans="1:25" x14ac:dyDescent="0.25">
      <c r="A1206" s="827"/>
      <c r="B1206" s="1066">
        <v>956</v>
      </c>
      <c r="C1206" s="831">
        <v>0.98362673730147332</v>
      </c>
      <c r="D1206" s="831">
        <v>1.037400099273966</v>
      </c>
      <c r="E1206" s="831">
        <v>0.98570691150310719</v>
      </c>
      <c r="F1206" s="831">
        <v>1.0423732797537466</v>
      </c>
      <c r="G1206" s="831">
        <v>0.994887217358145</v>
      </c>
      <c r="H1206" s="831">
        <v>0.96244149415374591</v>
      </c>
      <c r="I1206" s="831">
        <v>1.021803966513724</v>
      </c>
      <c r="K1206">
        <v>1.7256437920101442</v>
      </c>
      <c r="L1206">
        <v>0</v>
      </c>
      <c r="M1206">
        <v>1.3741121902360899E-3</v>
      </c>
      <c r="N1206">
        <v>0.13236148515673682</v>
      </c>
      <c r="O1206">
        <v>1.7834616701283449E-2</v>
      </c>
      <c r="P1206">
        <v>1.9624263098969554E-2</v>
      </c>
      <c r="Q1206">
        <v>2.1373254113404637E-3</v>
      </c>
      <c r="R1206">
        <v>1.3652936827116486E-3</v>
      </c>
      <c r="S1206">
        <v>0.15351508341666653</v>
      </c>
      <c r="T1206">
        <v>1.0726342679963814</v>
      </c>
      <c r="U1206">
        <v>2.3710750240774521E-2</v>
      </c>
      <c r="V1206">
        <v>0.20459876071197622</v>
      </c>
      <c r="W1206">
        <v>7.9899908852810106E-2</v>
      </c>
      <c r="X1206">
        <v>1.5620269595330114E-2</v>
      </c>
      <c r="Y1206">
        <v>3.7158793353995597E-3</v>
      </c>
    </row>
    <row r="1207" spans="1:25" x14ac:dyDescent="0.25">
      <c r="A1207" s="827"/>
      <c r="B1207" s="1066">
        <v>957</v>
      </c>
      <c r="C1207" s="831">
        <v>1.0279086876409715</v>
      </c>
      <c r="D1207" s="831">
        <v>0.98400160479567633</v>
      </c>
      <c r="E1207" s="831">
        <v>0.99611697036948621</v>
      </c>
      <c r="F1207" s="831">
        <v>0.98149096499132538</v>
      </c>
      <c r="G1207" s="831">
        <v>1.0030130499977898</v>
      </c>
      <c r="H1207" s="831">
        <v>1.0215111595182551</v>
      </c>
      <c r="I1207" s="831">
        <v>0.97899025380663318</v>
      </c>
      <c r="K1207">
        <v>1.7288026444956006</v>
      </c>
      <c r="L1207">
        <v>0</v>
      </c>
      <c r="M1207">
        <v>1.398398502124349E-3</v>
      </c>
      <c r="N1207">
        <v>0.13919343793697056</v>
      </c>
      <c r="O1207">
        <v>1.7479250206381455E-2</v>
      </c>
      <c r="P1207">
        <v>1.9677610458067464E-2</v>
      </c>
      <c r="Q1207">
        <v>2.1077834207642978E-3</v>
      </c>
      <c r="R1207">
        <v>1.3899792111580248E-3</v>
      </c>
      <c r="S1207">
        <v>0.14792782805473481</v>
      </c>
      <c r="T1207">
        <v>1.0717069305739637</v>
      </c>
      <c r="U1207">
        <v>2.2689299330495852E-2</v>
      </c>
      <c r="V1207">
        <v>0.20471423455358687</v>
      </c>
      <c r="W1207">
        <v>8.342384680384575E-2</v>
      </c>
      <c r="X1207">
        <v>1.6107777241507866E-2</v>
      </c>
      <c r="Y1207">
        <v>3.7830652062483313E-3</v>
      </c>
    </row>
    <row r="1208" spans="1:25" x14ac:dyDescent="0.25">
      <c r="A1208" s="827"/>
      <c r="B1208" s="1066">
        <v>958</v>
      </c>
      <c r="C1208" s="831">
        <v>0.99700375595366153</v>
      </c>
      <c r="D1208" s="831">
        <v>0.99180480570176677</v>
      </c>
      <c r="E1208" s="831">
        <v>0.99399781985215829</v>
      </c>
      <c r="F1208" s="831">
        <v>1.006847540898524</v>
      </c>
      <c r="G1208" s="831">
        <v>0.98886496463104379</v>
      </c>
      <c r="H1208" s="831">
        <v>0.98151622459943255</v>
      </c>
      <c r="I1208" s="831">
        <v>0.9617022832271791</v>
      </c>
      <c r="K1208">
        <v>1.7280425656909746</v>
      </c>
      <c r="L1208">
        <v>0</v>
      </c>
      <c r="M1208">
        <v>1.3865176128946221E-3</v>
      </c>
      <c r="N1208">
        <v>0.13706920989005805</v>
      </c>
      <c r="O1208">
        <v>1.7956614315906987E-2</v>
      </c>
      <c r="P1208">
        <v>1.9674404197679744E-2</v>
      </c>
      <c r="Q1208">
        <v>2.1621360840330195E-3</v>
      </c>
      <c r="R1208">
        <v>1.3778240685502687E-3</v>
      </c>
      <c r="S1208">
        <v>0.14654861579169118</v>
      </c>
      <c r="T1208">
        <v>1.0718953754082035</v>
      </c>
      <c r="U1208">
        <v>2.3392617890385513E-2</v>
      </c>
      <c r="V1208">
        <v>0.20726474429531053</v>
      </c>
      <c r="W1208">
        <v>8.2270335721895974E-2</v>
      </c>
      <c r="X1208">
        <v>1.606722272514283E-2</v>
      </c>
      <c r="Y1208">
        <v>3.7499829150117034E-3</v>
      </c>
    </row>
    <row r="1209" spans="1:25" x14ac:dyDescent="0.25">
      <c r="A1209" s="827"/>
      <c r="B1209" s="1066">
        <v>959</v>
      </c>
      <c r="C1209" s="831">
        <v>0.96580596272756936</v>
      </c>
      <c r="D1209" s="831">
        <v>0.99154513188434779</v>
      </c>
      <c r="E1209" s="831">
        <v>0.98517363866129382</v>
      </c>
      <c r="F1209" s="831">
        <v>0.96834504596524618</v>
      </c>
      <c r="G1209" s="831">
        <v>1.0159230569286206</v>
      </c>
      <c r="H1209" s="831">
        <v>0.97615735571479634</v>
      </c>
      <c r="I1209" s="831">
        <v>1.0244115895297721</v>
      </c>
      <c r="K1209">
        <v>1.7526580596932706</v>
      </c>
      <c r="L1209">
        <v>0</v>
      </c>
      <c r="M1209">
        <v>1.450319228751068E-3</v>
      </c>
      <c r="N1209">
        <v>0.13948620037920978</v>
      </c>
      <c r="O1209">
        <v>1.8538855931469179E-2</v>
      </c>
      <c r="P1209">
        <v>1.9804330664880489E-2</v>
      </c>
      <c r="Q1209">
        <v>2.2123696391460404E-3</v>
      </c>
      <c r="R1209">
        <v>1.4411759189780656E-3</v>
      </c>
      <c r="S1209">
        <v>0.16075500251877323</v>
      </c>
      <c r="T1209">
        <v>1.0726818822917024</v>
      </c>
      <c r="U1209">
        <v>2.4148254202569983E-2</v>
      </c>
      <c r="V1209">
        <v>0.21080128155342473</v>
      </c>
      <c r="W1209">
        <v>8.4231781789643856E-2</v>
      </c>
      <c r="X1209">
        <v>1.608483826427904E-2</v>
      </c>
      <c r="Y1209">
        <v>3.9224057679442849E-3</v>
      </c>
    </row>
    <row r="1210" spans="1:25" x14ac:dyDescent="0.25">
      <c r="A1210" s="827"/>
      <c r="B1210" s="1066">
        <v>960</v>
      </c>
      <c r="C1210" s="831">
        <v>0.96431517564771796</v>
      </c>
      <c r="D1210" s="831">
        <v>0.96646653678668371</v>
      </c>
      <c r="E1210" s="831">
        <v>0.99456068225950123</v>
      </c>
      <c r="F1210" s="831">
        <v>1.0381236725081697</v>
      </c>
      <c r="G1210" s="831">
        <v>0.99115532264037376</v>
      </c>
      <c r="H1210" s="831">
        <v>0.95458944564732673</v>
      </c>
      <c r="I1210" s="831">
        <v>0.98297742897415907</v>
      </c>
      <c r="K1210">
        <v>1.7484149218411684</v>
      </c>
      <c r="L1210">
        <v>0</v>
      </c>
      <c r="M1210">
        <v>1.4089840422639075E-3</v>
      </c>
      <c r="N1210">
        <v>0.1395115359486053</v>
      </c>
      <c r="O1210">
        <v>1.8784777460725873E-2</v>
      </c>
      <c r="P1210">
        <v>1.9885783918906063E-2</v>
      </c>
      <c r="Q1210">
        <v>2.2582882887103237E-3</v>
      </c>
      <c r="R1210">
        <v>1.3999197812317469E-3</v>
      </c>
      <c r="S1210">
        <v>0.15454293259723212</v>
      </c>
      <c r="T1210">
        <v>1.0718453065211613</v>
      </c>
      <c r="U1210">
        <v>2.4185586297174846E-2</v>
      </c>
      <c r="V1210">
        <v>0.2134673169133223</v>
      </c>
      <c r="W1210">
        <v>8.3703872138226318E-2</v>
      </c>
      <c r="X1210">
        <v>1.6428465857052762E-2</v>
      </c>
      <c r="Y1210">
        <v>3.8101201610809591E-3</v>
      </c>
    </row>
    <row r="1211" spans="1:25" x14ac:dyDescent="0.25">
      <c r="A1211" s="827"/>
      <c r="B1211" s="1066">
        <v>961</v>
      </c>
      <c r="C1211" s="831">
        <v>1.0128410855100241</v>
      </c>
      <c r="D1211" s="831">
        <v>0.96380369082658213</v>
      </c>
      <c r="E1211" s="831">
        <v>0.98739970353689832</v>
      </c>
      <c r="F1211" s="831">
        <v>0.97203270385789176</v>
      </c>
      <c r="G1211" s="831">
        <v>0.98719448042938829</v>
      </c>
      <c r="H1211" s="831">
        <v>0.97428771985713258</v>
      </c>
      <c r="I1211" s="831">
        <v>0.97961365993308269</v>
      </c>
      <c r="K1211">
        <v>1.7271516029952971</v>
      </c>
      <c r="L1211">
        <v>0</v>
      </c>
      <c r="M1211">
        <v>1.391678734151555E-3</v>
      </c>
      <c r="N1211">
        <v>0.13477786566471345</v>
      </c>
      <c r="O1211">
        <v>1.790724562552181E-2</v>
      </c>
      <c r="P1211">
        <v>1.9615192452281813E-2</v>
      </c>
      <c r="Q1211">
        <v>2.1367823226184179E-3</v>
      </c>
      <c r="R1211">
        <v>1.3829088219409918E-3</v>
      </c>
      <c r="S1211">
        <v>0.14819433736496501</v>
      </c>
      <c r="T1211">
        <v>1.0724831946891358</v>
      </c>
      <c r="U1211">
        <v>2.3026838298684266E-2</v>
      </c>
      <c r="V1211">
        <v>0.20822610609041961</v>
      </c>
      <c r="W1211">
        <v>8.1263484249170737E-2</v>
      </c>
      <c r="X1211">
        <v>1.5765504212443961E-2</v>
      </c>
      <c r="Y1211">
        <v>3.7638219375527465E-3</v>
      </c>
    </row>
    <row r="1212" spans="1:25" x14ac:dyDescent="0.25">
      <c r="A1212" s="827"/>
      <c r="B1212" s="1066">
        <v>962</v>
      </c>
      <c r="C1212" s="831">
        <v>1.0226905726735085</v>
      </c>
      <c r="D1212" s="831">
        <v>0.9828756204742356</v>
      </c>
      <c r="E1212" s="831">
        <v>0.97372930784761125</v>
      </c>
      <c r="F1212" s="831">
        <v>0.9741344280074512</v>
      </c>
      <c r="G1212" s="831">
        <v>1.0284054091041628</v>
      </c>
      <c r="H1212" s="831">
        <v>1.0257413964753965</v>
      </c>
      <c r="I1212" s="831">
        <v>1.0163423399766851</v>
      </c>
      <c r="K1212">
        <v>1.736135957288828</v>
      </c>
      <c r="L1212">
        <v>0</v>
      </c>
      <c r="M1212">
        <v>1.4800920803983888E-3</v>
      </c>
      <c r="N1212">
        <v>0.13740577450596611</v>
      </c>
      <c r="O1212">
        <v>1.757756699453205E-2</v>
      </c>
      <c r="P1212">
        <v>1.9475092950590474E-2</v>
      </c>
      <c r="Q1212">
        <v>2.0718841782435202E-3</v>
      </c>
      <c r="R1212">
        <v>1.4712185249874325E-3</v>
      </c>
      <c r="S1212">
        <v>0.15473315449041886</v>
      </c>
      <c r="T1212">
        <v>1.0737062876417798</v>
      </c>
      <c r="U1212">
        <v>2.2805067848952237E-2</v>
      </c>
      <c r="V1212">
        <v>0.20535925454822843</v>
      </c>
      <c r="W1212">
        <v>8.36372701656245E-2</v>
      </c>
      <c r="X1212">
        <v>1.536930568194237E-2</v>
      </c>
      <c r="Y1212">
        <v>4.0041718379593711E-3</v>
      </c>
    </row>
    <row r="1213" spans="1:25" x14ac:dyDescent="0.25">
      <c r="A1213" s="827"/>
      <c r="B1213" s="1066">
        <v>963</v>
      </c>
      <c r="C1213" s="831">
        <v>1.0141358525066557</v>
      </c>
      <c r="D1213" s="831">
        <v>0.95213377808392474</v>
      </c>
      <c r="E1213" s="831">
        <v>1.0075993800742593</v>
      </c>
      <c r="F1213" s="831">
        <v>1.000320973420658</v>
      </c>
      <c r="G1213" s="831">
        <v>0.98538391588655516</v>
      </c>
      <c r="H1213" s="831">
        <v>0.99986872958875517</v>
      </c>
      <c r="I1213" s="831">
        <v>1.0254380723619374</v>
      </c>
      <c r="K1213">
        <v>1.7473156284159477</v>
      </c>
      <c r="L1213">
        <v>0</v>
      </c>
      <c r="M1213">
        <v>1.37460717255994E-3</v>
      </c>
      <c r="N1213">
        <v>0.14178457609413533</v>
      </c>
      <c r="O1213">
        <v>1.7983849615335338E-2</v>
      </c>
      <c r="P1213">
        <v>2.0032019767784695E-2</v>
      </c>
      <c r="Q1213">
        <v>2.1877656841627867E-3</v>
      </c>
      <c r="R1213">
        <v>1.3661750259256092E-3</v>
      </c>
      <c r="S1213">
        <v>0.15761583102640125</v>
      </c>
      <c r="T1213">
        <v>1.0706888075739776</v>
      </c>
      <c r="U1213">
        <v>2.2997439485702514E-2</v>
      </c>
      <c r="V1213">
        <v>0.20923919127079457</v>
      </c>
      <c r="W1213">
        <v>8.4312644871756881E-2</v>
      </c>
      <c r="X1213">
        <v>1.6763657111439043E-2</v>
      </c>
      <c r="Y1213">
        <v>3.71827806109325E-3</v>
      </c>
    </row>
    <row r="1214" spans="1:25" x14ac:dyDescent="0.25">
      <c r="A1214" s="827"/>
      <c r="B1214" s="1066">
        <v>964</v>
      </c>
      <c r="C1214" s="831">
        <v>1.0107659250486487</v>
      </c>
      <c r="D1214" s="831">
        <v>0.99719600913043371</v>
      </c>
      <c r="E1214" s="831">
        <v>1.0014263495225786</v>
      </c>
      <c r="F1214" s="831">
        <v>0.96812663612912497</v>
      </c>
      <c r="G1214" s="831">
        <v>1.0175799334593878</v>
      </c>
      <c r="H1214" s="831">
        <v>1.0350366598095819</v>
      </c>
      <c r="I1214" s="831">
        <v>1.0066905592904454</v>
      </c>
      <c r="K1214">
        <v>1.7433620115676232</v>
      </c>
      <c r="L1214">
        <v>0</v>
      </c>
      <c r="M1214">
        <v>1.4163553665526127E-3</v>
      </c>
      <c r="N1214">
        <v>0.1433395194542644</v>
      </c>
      <c r="O1214">
        <v>1.7668656866007718E-2</v>
      </c>
      <c r="P1214">
        <v>1.9856478127711238E-2</v>
      </c>
      <c r="Q1214">
        <v>2.1443844785811604E-3</v>
      </c>
      <c r="R1214">
        <v>1.4079302128840951E-3</v>
      </c>
      <c r="S1214">
        <v>0.15480676379766187</v>
      </c>
      <c r="T1214">
        <v>1.0712355394862563</v>
      </c>
      <c r="U1214">
        <v>2.3074113719435761E-2</v>
      </c>
      <c r="V1214">
        <v>0.20528882097019005</v>
      </c>
      <c r="W1214">
        <v>8.5596950594931581E-2</v>
      </c>
      <c r="X1214">
        <v>1.6527287310848165E-2</v>
      </c>
      <c r="Y1214">
        <v>3.8319219154005651E-3</v>
      </c>
    </row>
    <row r="1215" spans="1:25" x14ac:dyDescent="0.25">
      <c r="A1215" s="827"/>
      <c r="B1215" s="1066">
        <v>965</v>
      </c>
      <c r="C1215" s="831">
        <v>1.0277954141778116</v>
      </c>
      <c r="D1215" s="831">
        <v>0.96428904360419709</v>
      </c>
      <c r="E1215" s="831">
        <v>1.0324194997787728</v>
      </c>
      <c r="F1215" s="831">
        <v>0.95825607770091303</v>
      </c>
      <c r="G1215" s="831">
        <v>0.99995351623581152</v>
      </c>
      <c r="H1215" s="831">
        <v>0.99822512392542073</v>
      </c>
      <c r="I1215" s="831">
        <v>0.9734235816871718</v>
      </c>
      <c r="K1215">
        <v>1.7310145044101362</v>
      </c>
      <c r="L1215">
        <v>0</v>
      </c>
      <c r="M1215">
        <v>1.2775521486903629E-3</v>
      </c>
      <c r="N1215">
        <v>0.1423336415147122</v>
      </c>
      <c r="O1215">
        <v>1.7642655547883582E-2</v>
      </c>
      <c r="P1215">
        <v>2.017599106858595E-2</v>
      </c>
      <c r="Q1215">
        <v>2.2022176350882878E-3</v>
      </c>
      <c r="R1215">
        <v>1.2696941529975858E-3</v>
      </c>
      <c r="S1215">
        <v>0.14673943907213122</v>
      </c>
      <c r="T1215">
        <v>1.0685050980846849</v>
      </c>
      <c r="U1215">
        <v>2.2691799921057375E-2</v>
      </c>
      <c r="V1215">
        <v>0.20658548929712978</v>
      </c>
      <c r="W1215">
        <v>8.3233395008232472E-2</v>
      </c>
      <c r="X1215">
        <v>1.7456946326427403E-2</v>
      </c>
      <c r="Y1215">
        <v>3.4556889298943808E-3</v>
      </c>
    </row>
    <row r="1216" spans="1:25" x14ac:dyDescent="0.25">
      <c r="A1216" s="827"/>
      <c r="B1216" s="1066">
        <v>966</v>
      </c>
      <c r="C1216" s="831">
        <v>0.96495781817527748</v>
      </c>
      <c r="D1216" s="831">
        <v>1.0180054869209321</v>
      </c>
      <c r="E1216" s="831">
        <v>0.98807095668548606</v>
      </c>
      <c r="F1216" s="831">
        <v>0.99951054693058616</v>
      </c>
      <c r="G1216" s="831">
        <v>0.98795523072762714</v>
      </c>
      <c r="H1216" s="831">
        <v>0.99264847842434945</v>
      </c>
      <c r="I1216" s="831">
        <v>1.0005341567056056</v>
      </c>
      <c r="K1216">
        <v>1.7475223526628794</v>
      </c>
      <c r="L1216">
        <v>0</v>
      </c>
      <c r="M1216">
        <v>1.4497871068504368E-3</v>
      </c>
      <c r="N1216">
        <v>0.14071176179757214</v>
      </c>
      <c r="O1216">
        <v>1.8335235131840297E-2</v>
      </c>
      <c r="P1216">
        <v>1.9756609785639763E-2</v>
      </c>
      <c r="Q1216">
        <v>2.1992303235194022E-3</v>
      </c>
      <c r="R1216">
        <v>1.4407797390196713E-3</v>
      </c>
      <c r="S1216">
        <v>0.15665752403024333</v>
      </c>
      <c r="T1216">
        <v>1.0724233185321965</v>
      </c>
      <c r="U1216">
        <v>2.4169479182422491E-2</v>
      </c>
      <c r="V1216">
        <v>0.20840022392733973</v>
      </c>
      <c r="W1216">
        <v>8.4801996260441118E-2</v>
      </c>
      <c r="X1216">
        <v>1.6154653562795513E-2</v>
      </c>
      <c r="Y1216">
        <v>3.9213274966982238E-3</v>
      </c>
    </row>
    <row r="1217" spans="1:25" x14ac:dyDescent="0.25">
      <c r="A1217" s="827"/>
      <c r="B1217" s="1066">
        <v>967</v>
      </c>
      <c r="C1217" s="831">
        <v>0.97284483641215247</v>
      </c>
      <c r="D1217" s="831">
        <v>0.99592781155770316</v>
      </c>
      <c r="E1217" s="831">
        <v>0.97710999976041102</v>
      </c>
      <c r="F1217" s="831">
        <v>0.9665654479157133</v>
      </c>
      <c r="G1217" s="831">
        <v>1.018613669550158</v>
      </c>
      <c r="H1217" s="831">
        <v>1.0076183809636226</v>
      </c>
      <c r="I1217" s="831">
        <v>1.0317250585545221</v>
      </c>
      <c r="K1217">
        <v>1.7574162742716746</v>
      </c>
      <c r="L1217">
        <v>0</v>
      </c>
      <c r="M1217">
        <v>1.5085928966024193E-3</v>
      </c>
      <c r="N1217">
        <v>0.14151889319105973</v>
      </c>
      <c r="O1217">
        <v>1.836796289499008E-2</v>
      </c>
      <c r="P1217">
        <v>1.9702194852253697E-2</v>
      </c>
      <c r="Q1217">
        <v>2.1748841263367329E-3</v>
      </c>
      <c r="R1217">
        <v>1.4993758411470156E-3</v>
      </c>
      <c r="S1217">
        <v>0.16283690066052886</v>
      </c>
      <c r="T1217">
        <v>1.0734031630555814</v>
      </c>
      <c r="U1217">
        <v>2.3973533111730901E-2</v>
      </c>
      <c r="V1217">
        <v>0.20956905518981761</v>
      </c>
      <c r="W1217">
        <v>8.5938392079871681E-2</v>
      </c>
      <c r="X1217">
        <v>1.5859705394470545E-2</v>
      </c>
      <c r="Y1217">
        <v>4.0808067704889801E-3</v>
      </c>
    </row>
    <row r="1218" spans="1:25" x14ac:dyDescent="0.25">
      <c r="A1218" s="827"/>
      <c r="B1218" s="1066">
        <v>968</v>
      </c>
      <c r="C1218" s="831">
        <v>0.99937068731705259</v>
      </c>
      <c r="D1218" s="831">
        <v>1.0045139265561767</v>
      </c>
      <c r="E1218" s="831">
        <v>0.96010535968872879</v>
      </c>
      <c r="F1218" s="831">
        <v>1.0129096614678961</v>
      </c>
      <c r="G1218" s="831">
        <v>1.0295749600070325</v>
      </c>
      <c r="H1218" s="831">
        <v>1.0274293623643287</v>
      </c>
      <c r="I1218" s="831">
        <v>0.95863509468666297</v>
      </c>
      <c r="K1218">
        <v>1.7324956608778268</v>
      </c>
      <c r="L1218">
        <v>0</v>
      </c>
      <c r="M1218">
        <v>1.5457290047492327E-3</v>
      </c>
      <c r="N1218">
        <v>0.13752960275918399</v>
      </c>
      <c r="O1218">
        <v>1.7811041173668423E-2</v>
      </c>
      <c r="P1218">
        <v>1.9214120641922336E-2</v>
      </c>
      <c r="Q1218">
        <v>2.0740347995799424E-3</v>
      </c>
      <c r="R1218">
        <v>1.5364606789419035E-3</v>
      </c>
      <c r="S1218">
        <v>0.14812251178490002</v>
      </c>
      <c r="T1218">
        <v>1.0749321995952639</v>
      </c>
      <c r="U1218">
        <v>2.3337214303248914E-2</v>
      </c>
      <c r="V1218">
        <v>0.2058342378819315</v>
      </c>
      <c r="W1218">
        <v>8.4515164828449174E-2</v>
      </c>
      <c r="X1218">
        <v>1.4953061961530461E-2</v>
      </c>
      <c r="Y1218">
        <v>4.1817394739531721E-3</v>
      </c>
    </row>
    <row r="1219" spans="1:25" x14ac:dyDescent="0.25">
      <c r="A1219" s="827"/>
      <c r="B1219" s="1066">
        <v>969</v>
      </c>
      <c r="C1219" s="831">
        <v>1.0119385760037733</v>
      </c>
      <c r="D1219" s="831">
        <v>1.0020195828661731</v>
      </c>
      <c r="E1219" s="831">
        <v>1.021519347028681</v>
      </c>
      <c r="F1219" s="831">
        <v>0.98442280381077296</v>
      </c>
      <c r="G1219" s="831">
        <v>0.96903358419762209</v>
      </c>
      <c r="H1219" s="831">
        <v>1.0409734106766912</v>
      </c>
      <c r="I1219" s="831">
        <v>1.0437764058002088</v>
      </c>
      <c r="K1219">
        <v>1.7516408695049848</v>
      </c>
      <c r="L1219">
        <v>0</v>
      </c>
      <c r="M1219">
        <v>1.3608023659817162E-3</v>
      </c>
      <c r="N1219">
        <v>0.14659796626155946</v>
      </c>
      <c r="O1219">
        <v>1.760964759378152E-2</v>
      </c>
      <c r="P1219">
        <v>2.0198781478452353E-2</v>
      </c>
      <c r="Q1219">
        <v>2.1814120748323918E-3</v>
      </c>
      <c r="R1219">
        <v>1.3527506672710863E-3</v>
      </c>
      <c r="S1219">
        <v>0.16044159102008748</v>
      </c>
      <c r="T1219">
        <v>1.0694612349653474</v>
      </c>
      <c r="U1219">
        <v>2.3047375059468217E-2</v>
      </c>
      <c r="V1219">
        <v>0.2047263337871798</v>
      </c>
      <c r="W1219">
        <v>8.6356874500448919E-2</v>
      </c>
      <c r="X1219">
        <v>1.7345963080364287E-2</v>
      </c>
      <c r="Y1219">
        <v>3.6817413821742797E-3</v>
      </c>
    </row>
    <row r="1220" spans="1:25" x14ac:dyDescent="0.25">
      <c r="A1220" s="827"/>
      <c r="B1220" s="1066">
        <v>970</v>
      </c>
      <c r="C1220" s="831">
        <v>0.9856439292722895</v>
      </c>
      <c r="D1220" s="831">
        <v>0.97293451226427052</v>
      </c>
      <c r="E1220" s="831">
        <v>1.0234450756085158</v>
      </c>
      <c r="F1220" s="831">
        <v>1.0211870086237753</v>
      </c>
      <c r="G1220" s="831">
        <v>0.99430661719745728</v>
      </c>
      <c r="H1220" s="831">
        <v>1.0192484286999872</v>
      </c>
      <c r="I1220" s="831">
        <v>1.0113676070303201</v>
      </c>
      <c r="K1220">
        <v>1.7632423097898799</v>
      </c>
      <c r="L1220">
        <v>0</v>
      </c>
      <c r="M1220">
        <v>1.3806992372512837E-3</v>
      </c>
      <c r="N1220">
        <v>0.14961696639229624</v>
      </c>
      <c r="O1220">
        <v>1.8322641061831756E-2</v>
      </c>
      <c r="P1220">
        <v>2.0304717584671235E-2</v>
      </c>
      <c r="Q1220">
        <v>2.2685568745844944E-3</v>
      </c>
      <c r="R1220">
        <v>1.3723758160057275E-3</v>
      </c>
      <c r="S1220">
        <v>0.15995709741013883</v>
      </c>
      <c r="T1220">
        <v>1.0692919867456594</v>
      </c>
      <c r="U1220">
        <v>2.3662224466316585E-2</v>
      </c>
      <c r="V1220">
        <v>0.21034359062057556</v>
      </c>
      <c r="W1220">
        <v>8.8021030143702605E-2</v>
      </c>
      <c r="X1220">
        <v>1.7726667343746637E-2</v>
      </c>
      <c r="Y1220">
        <v>3.7351545676014308E-3</v>
      </c>
    </row>
    <row r="1221" spans="1:25" x14ac:dyDescent="0.25">
      <c r="A1221" s="827"/>
      <c r="B1221" s="1066">
        <v>971</v>
      </c>
      <c r="C1221" s="831">
        <v>1.0388752937687726</v>
      </c>
      <c r="D1221" s="831">
        <v>1.0326217675014062</v>
      </c>
      <c r="E1221" s="831">
        <v>0.99688335891908109</v>
      </c>
      <c r="F1221" s="831">
        <v>1.0024143150194118</v>
      </c>
      <c r="G1221" s="831">
        <v>0.97747677854984316</v>
      </c>
      <c r="H1221" s="831">
        <v>1.0022094349486736</v>
      </c>
      <c r="I1221" s="831">
        <v>0.96337000871032641</v>
      </c>
      <c r="K1221">
        <v>1.7026096481429247</v>
      </c>
      <c r="L1221">
        <v>0</v>
      </c>
      <c r="M1221">
        <v>1.3260769698494226E-3</v>
      </c>
      <c r="N1221">
        <v>0.13229125353793808</v>
      </c>
      <c r="O1221">
        <v>1.6921358589075002E-2</v>
      </c>
      <c r="P1221">
        <v>1.9502444652081844E-2</v>
      </c>
      <c r="Q1221">
        <v>2.0501391421764432E-3</v>
      </c>
      <c r="R1221">
        <v>1.3179074391976029E-3</v>
      </c>
      <c r="S1221">
        <v>0.13990943270992753</v>
      </c>
      <c r="T1221">
        <v>1.0716388213947246</v>
      </c>
      <c r="U1221">
        <v>2.2449785877277948E-2</v>
      </c>
      <c r="V1221">
        <v>0.1993462739640352</v>
      </c>
      <c r="W1221">
        <v>7.9245440330789285E-2</v>
      </c>
      <c r="X1221">
        <v>1.5675957874124864E-2</v>
      </c>
      <c r="Y1221">
        <v>3.5869096014253042E-3</v>
      </c>
    </row>
    <row r="1222" spans="1:25" x14ac:dyDescent="0.25">
      <c r="A1222" s="827"/>
      <c r="B1222" s="1066">
        <v>972</v>
      </c>
      <c r="C1222" s="831">
        <v>0.9991154132682033</v>
      </c>
      <c r="D1222" s="831">
        <v>1.0099879713523263</v>
      </c>
      <c r="E1222" s="831">
        <v>0.97709670209219179</v>
      </c>
      <c r="F1222" s="831">
        <v>0.96696345574012688</v>
      </c>
      <c r="G1222" s="831">
        <v>0.99924550181044158</v>
      </c>
      <c r="H1222" s="831">
        <v>1.0040461626917396</v>
      </c>
      <c r="I1222" s="831">
        <v>1.0364309176308575</v>
      </c>
      <c r="K1222">
        <v>1.738372000445024</v>
      </c>
      <c r="L1222">
        <v>0</v>
      </c>
      <c r="M1222">
        <v>1.4545073186180721E-3</v>
      </c>
      <c r="N1222">
        <v>0.13643560552784748</v>
      </c>
      <c r="O1222">
        <v>1.7771826254667521E-2</v>
      </c>
      <c r="P1222">
        <v>1.9573473745419921E-2</v>
      </c>
      <c r="Q1222">
        <v>2.1066850341101371E-3</v>
      </c>
      <c r="R1222">
        <v>1.4455789176784023E-3</v>
      </c>
      <c r="S1222">
        <v>0.15808936735281015</v>
      </c>
      <c r="T1222">
        <v>1.0734043545303338</v>
      </c>
      <c r="U1222">
        <v>2.3343176962922554E-2</v>
      </c>
      <c r="V1222">
        <v>0.20536504273361428</v>
      </c>
      <c r="W1222">
        <v>8.2852294181341823E-2</v>
      </c>
      <c r="X1222">
        <v>1.5504713243936898E-2</v>
      </c>
      <c r="Y1222">
        <v>3.93438927895847E-3</v>
      </c>
    </row>
    <row r="1223" spans="1:25" x14ac:dyDescent="0.25">
      <c r="A1223" s="827"/>
      <c r="B1223" s="1066">
        <v>973</v>
      </c>
      <c r="C1223" s="831">
        <v>1.0054526013270242</v>
      </c>
      <c r="D1223" s="831">
        <v>1.0004865492422415</v>
      </c>
      <c r="E1223" s="831">
        <v>0.99422564375188116</v>
      </c>
      <c r="F1223" s="831">
        <v>1.000570934654861</v>
      </c>
      <c r="G1223" s="831">
        <v>1.0112963291423109</v>
      </c>
      <c r="H1223" s="831">
        <v>0.97926439132826859</v>
      </c>
      <c r="I1223" s="831">
        <v>1.0062915362042064</v>
      </c>
      <c r="K1223">
        <v>1.7273823184920907</v>
      </c>
      <c r="L1223">
        <v>0</v>
      </c>
      <c r="M1223">
        <v>1.3656566551874E-3</v>
      </c>
      <c r="N1223">
        <v>0.13510012284186229</v>
      </c>
      <c r="O1223">
        <v>1.7735538178046805E-2</v>
      </c>
      <c r="P1223">
        <v>1.9716723756488055E-2</v>
      </c>
      <c r="Q1223">
        <v>2.1375369460552166E-3</v>
      </c>
      <c r="R1223">
        <v>1.3570681116216771E-3</v>
      </c>
      <c r="S1223">
        <v>0.15134403226633278</v>
      </c>
      <c r="T1223">
        <v>1.071875108112379</v>
      </c>
      <c r="U1223">
        <v>2.3196049090251962E-2</v>
      </c>
      <c r="V1223">
        <v>0.20555286818362267</v>
      </c>
      <c r="W1223">
        <v>8.1075777900781298E-2</v>
      </c>
      <c r="X1223">
        <v>1.5963657717382996E-2</v>
      </c>
      <c r="Y1223">
        <v>3.6934920424514374E-3</v>
      </c>
    </row>
    <row r="1224" spans="1:25" x14ac:dyDescent="0.25">
      <c r="A1224" s="827"/>
      <c r="B1224" s="1066">
        <v>974</v>
      </c>
      <c r="C1224" s="831">
        <v>1.0161252809283665</v>
      </c>
      <c r="D1224" s="831">
        <v>1.0248317812431724</v>
      </c>
      <c r="E1224" s="831">
        <v>0.97265698767691033</v>
      </c>
      <c r="F1224" s="831">
        <v>0.97612795675912456</v>
      </c>
      <c r="G1224" s="831">
        <v>0.98085098082888245</v>
      </c>
      <c r="H1224" s="831">
        <v>1.0220725194963132</v>
      </c>
      <c r="I1224" s="831">
        <v>1.0178060168508727</v>
      </c>
      <c r="K1224">
        <v>1.7273139380705076</v>
      </c>
      <c r="L1224">
        <v>0</v>
      </c>
      <c r="M1224">
        <v>1.4598077305044311E-3</v>
      </c>
      <c r="N1224">
        <v>0.13506468795329479</v>
      </c>
      <c r="O1224">
        <v>1.7359455927701033E-2</v>
      </c>
      <c r="P1224">
        <v>1.9398122114009132E-2</v>
      </c>
      <c r="Q1224">
        <v>2.0509400721189473E-3</v>
      </c>
      <c r="R1224">
        <v>1.4509944641031322E-3</v>
      </c>
      <c r="S1224">
        <v>0.15301139616479437</v>
      </c>
      <c r="T1224">
        <v>1.0738025251781755</v>
      </c>
      <c r="U1224">
        <v>2.2952413778146441E-2</v>
      </c>
      <c r="V1224">
        <v>0.20227417297166894</v>
      </c>
      <c r="W1224">
        <v>8.2273766668727433E-2</v>
      </c>
      <c r="X1224">
        <v>1.5186141897180792E-2</v>
      </c>
      <c r="Y1224">
        <v>3.9491286110921843E-3</v>
      </c>
    </row>
    <row r="1225" spans="1:25" x14ac:dyDescent="0.25">
      <c r="A1225" s="827"/>
      <c r="B1225" s="1066">
        <v>975</v>
      </c>
      <c r="C1225" s="831">
        <v>0.95974277925753981</v>
      </c>
      <c r="D1225" s="831">
        <v>1.0109700157349384</v>
      </c>
      <c r="E1225" s="831">
        <v>0.97581231690133596</v>
      </c>
      <c r="F1225" s="831">
        <v>1.0197428188309607</v>
      </c>
      <c r="G1225" s="831">
        <v>0.97083724993627196</v>
      </c>
      <c r="H1225" s="831">
        <v>1.0287573201068922</v>
      </c>
      <c r="I1225" s="831">
        <v>1.0000056562677309</v>
      </c>
      <c r="K1225">
        <v>1.7621554804164696</v>
      </c>
      <c r="L1225">
        <v>0</v>
      </c>
      <c r="M1225">
        <v>1.5549469680552468E-3</v>
      </c>
      <c r="N1225">
        <v>0.14529584665241302</v>
      </c>
      <c r="O1225">
        <v>1.8492767695498458E-2</v>
      </c>
      <c r="P1225">
        <v>1.9659330748393978E-2</v>
      </c>
      <c r="Q1225">
        <v>2.1894538945230811E-3</v>
      </c>
      <c r="R1225">
        <v>1.5456305644913782E-3</v>
      </c>
      <c r="S1225">
        <v>0.16056615293523668</v>
      </c>
      <c r="T1225">
        <v>1.0735194670852382</v>
      </c>
      <c r="U1225">
        <v>2.4300811011410323E-2</v>
      </c>
      <c r="V1225">
        <v>0.20965157543177645</v>
      </c>
      <c r="W1225">
        <v>8.8311657081454789E-2</v>
      </c>
      <c r="X1225">
        <v>1.597103740452056E-2</v>
      </c>
      <c r="Y1225">
        <v>4.2066968795668831E-3</v>
      </c>
    </row>
    <row r="1226" spans="1:25" x14ac:dyDescent="0.25">
      <c r="A1226" s="827"/>
      <c r="B1226" s="1066">
        <v>976</v>
      </c>
      <c r="C1226" s="831">
        <v>0.98256898682956784</v>
      </c>
      <c r="D1226" s="831">
        <v>1.0049440551466129</v>
      </c>
      <c r="E1226" s="831">
        <v>0.99614912382387377</v>
      </c>
      <c r="F1226" s="831">
        <v>1.0272098444879103</v>
      </c>
      <c r="G1226" s="831">
        <v>1.0166369915295714</v>
      </c>
      <c r="H1226" s="831">
        <v>0.96802998873343049</v>
      </c>
      <c r="I1226" s="831">
        <v>0.99672374453239665</v>
      </c>
      <c r="K1226">
        <v>1.7338797725350577</v>
      </c>
      <c r="L1226">
        <v>0</v>
      </c>
      <c r="M1226">
        <v>1.3730861245114076E-3</v>
      </c>
      <c r="N1226">
        <v>0.13664033136664319</v>
      </c>
      <c r="O1226">
        <v>1.8112095207283303E-2</v>
      </c>
      <c r="P1226">
        <v>1.9791434439529087E-2</v>
      </c>
      <c r="Q1226">
        <v>2.1879525841087028E-3</v>
      </c>
      <c r="R1226">
        <v>1.3643474817739E-3</v>
      </c>
      <c r="S1226">
        <v>0.15229750411790932</v>
      </c>
      <c r="T1226">
        <v>1.0717040726416773</v>
      </c>
      <c r="U1226">
        <v>2.3736275224355952E-2</v>
      </c>
      <c r="V1226">
        <v>0.20762965522464691</v>
      </c>
      <c r="W1226">
        <v>8.1891867727257817E-2</v>
      </c>
      <c r="X1226">
        <v>1.6184018556019458E-2</v>
      </c>
      <c r="Y1226">
        <v>3.7133040883620648E-3</v>
      </c>
    </row>
    <row r="1227" spans="1:25" x14ac:dyDescent="0.25">
      <c r="A1227" s="827"/>
      <c r="B1227" s="1066">
        <v>977</v>
      </c>
      <c r="C1227" s="831">
        <v>1.0107111755819216</v>
      </c>
      <c r="D1227" s="831">
        <v>1.0066782627978585</v>
      </c>
      <c r="E1227" s="831">
        <v>1.0041510487903682</v>
      </c>
      <c r="F1227" s="831">
        <v>0.98659585343089562</v>
      </c>
      <c r="G1227" s="831">
        <v>0.99984210975448851</v>
      </c>
      <c r="H1227" s="831">
        <v>0.9961003109306249</v>
      </c>
      <c r="I1227" s="831">
        <v>0.9605961521467189</v>
      </c>
      <c r="K1227">
        <v>1.7222303411340707</v>
      </c>
      <c r="L1227">
        <v>0</v>
      </c>
      <c r="M1227">
        <v>1.3495555617189282E-3</v>
      </c>
      <c r="N1227">
        <v>0.13770873459959354</v>
      </c>
      <c r="O1227">
        <v>1.7594046100845796E-2</v>
      </c>
      <c r="P1227">
        <v>1.9740705275155611E-2</v>
      </c>
      <c r="Q1227">
        <v>2.1428365058571209E-3</v>
      </c>
      <c r="R1227">
        <v>1.3412075408361832E-3</v>
      </c>
      <c r="S1227">
        <v>0.14449792951204291</v>
      </c>
      <c r="T1227">
        <v>1.0709940413197225</v>
      </c>
      <c r="U1227">
        <v>2.3075363626878988E-2</v>
      </c>
      <c r="V1227">
        <v>0.20443605191248468</v>
      </c>
      <c r="W1227">
        <v>8.2081584907368721E-2</v>
      </c>
      <c r="X1227">
        <v>1.6317070597794026E-2</v>
      </c>
      <c r="Y1227">
        <v>3.6503247972090782E-3</v>
      </c>
    </row>
    <row r="1228" spans="1:25" x14ac:dyDescent="0.25">
      <c r="A1228" s="827"/>
      <c r="B1228" s="1066">
        <v>978</v>
      </c>
      <c r="C1228" s="831">
        <v>1.003069625388944</v>
      </c>
      <c r="D1228" s="831">
        <v>0.99521275629630102</v>
      </c>
      <c r="E1228" s="831">
        <v>1.0295134161426431</v>
      </c>
      <c r="F1228" s="831">
        <v>0.99940179146389885</v>
      </c>
      <c r="G1228" s="831">
        <v>1.0145006803170373</v>
      </c>
      <c r="H1228" s="831">
        <v>0.99802425372891534</v>
      </c>
      <c r="I1228" s="831">
        <v>1.0038533387103259</v>
      </c>
      <c r="K1228">
        <v>1.7398807757299151</v>
      </c>
      <c r="L1228">
        <v>0</v>
      </c>
      <c r="M1228">
        <v>1.298133902457112E-3</v>
      </c>
      <c r="N1228">
        <v>0.14332545911084124</v>
      </c>
      <c r="O1228">
        <v>1.7820293709710298E-2</v>
      </c>
      <c r="P1228">
        <v>2.0228307903663749E-2</v>
      </c>
      <c r="Q1228">
        <v>2.2238222064052543E-3</v>
      </c>
      <c r="R1228">
        <v>1.290126915002233E-3</v>
      </c>
      <c r="S1228">
        <v>0.15301891363909384</v>
      </c>
      <c r="T1228">
        <v>1.0687595726469268</v>
      </c>
      <c r="U1228">
        <v>2.325115556087123E-2</v>
      </c>
      <c r="V1228">
        <v>0.20629251786607508</v>
      </c>
      <c r="W1228">
        <v>8.3976655705108511E-2</v>
      </c>
      <c r="X1228">
        <v>1.7480784196260941E-2</v>
      </c>
      <c r="Y1228">
        <v>3.5113001724128476E-3</v>
      </c>
    </row>
    <row r="1229" spans="1:25" x14ac:dyDescent="0.25">
      <c r="A1229" s="827"/>
      <c r="B1229" s="1066">
        <v>979</v>
      </c>
      <c r="C1229" s="831">
        <v>0.9954845603643997</v>
      </c>
      <c r="D1229" s="831">
        <v>0.96145127525313601</v>
      </c>
      <c r="E1229" s="831">
        <v>0.99840133804240194</v>
      </c>
      <c r="F1229" s="831">
        <v>1.0367018265637185</v>
      </c>
      <c r="G1229" s="831">
        <v>0.98311485386249864</v>
      </c>
      <c r="H1229" s="831">
        <v>1.0110787033894884</v>
      </c>
      <c r="I1229" s="831">
        <v>1.0286061810170715</v>
      </c>
      <c r="K1229">
        <v>1.7578033428143267</v>
      </c>
      <c r="L1229">
        <v>0</v>
      </c>
      <c r="M1229">
        <v>1.4373910941895415E-3</v>
      </c>
      <c r="N1229">
        <v>0.14408800585453654</v>
      </c>
      <c r="O1229">
        <v>1.8239733148604574E-2</v>
      </c>
      <c r="P1229">
        <v>1.9977415553440545E-2</v>
      </c>
      <c r="Q1229">
        <v>2.2003047262392768E-3</v>
      </c>
      <c r="R1229">
        <v>1.4286644907155364E-3</v>
      </c>
      <c r="S1229">
        <v>0.16125819125455976</v>
      </c>
      <c r="T1229">
        <v>1.071503983538405</v>
      </c>
      <c r="U1229">
        <v>2.3428317049704852E-2</v>
      </c>
      <c r="V1229">
        <v>0.21037179220148586</v>
      </c>
      <c r="W1229">
        <v>8.6222210509173017E-2</v>
      </c>
      <c r="X1229">
        <v>1.6633761797044334E-2</v>
      </c>
      <c r="Y1229">
        <v>3.8883537846048995E-3</v>
      </c>
    </row>
    <row r="1230" spans="1:25" x14ac:dyDescent="0.25">
      <c r="A1230" s="827"/>
      <c r="B1230" s="1066">
        <v>980</v>
      </c>
      <c r="C1230" s="831">
        <v>0.95963452452376152</v>
      </c>
      <c r="D1230" s="831">
        <v>1.0297045264791469</v>
      </c>
      <c r="E1230" s="831">
        <v>0.99825808150267625</v>
      </c>
      <c r="F1230" s="831">
        <v>0.97546558400184957</v>
      </c>
      <c r="G1230" s="831">
        <v>1.0183755609631353</v>
      </c>
      <c r="H1230" s="831">
        <v>0.99945896475777496</v>
      </c>
      <c r="I1230" s="831">
        <v>1.0260958040607062</v>
      </c>
      <c r="K1230">
        <v>1.7549557801308506</v>
      </c>
      <c r="L1230">
        <v>0</v>
      </c>
      <c r="M1230">
        <v>1.4293212558588047E-3</v>
      </c>
      <c r="N1230">
        <v>0.14320006970405691</v>
      </c>
      <c r="O1230">
        <v>1.8342026637520031E-2</v>
      </c>
      <c r="P1230">
        <v>1.9954866449637249E-2</v>
      </c>
      <c r="Q1230">
        <v>2.224832289017526E-3</v>
      </c>
      <c r="R1230">
        <v>1.4204934398449273E-3</v>
      </c>
      <c r="S1230">
        <v>0.16130470811143111</v>
      </c>
      <c r="T1230">
        <v>1.0715167049027696</v>
      </c>
      <c r="U1230">
        <v>2.4303552344448497E-2</v>
      </c>
      <c r="V1230">
        <v>0.20793990279764649</v>
      </c>
      <c r="W1230">
        <v>8.5699279644968887E-2</v>
      </c>
      <c r="X1230">
        <v>1.6612550187646305E-2</v>
      </c>
      <c r="Y1230">
        <v>3.866114877721297E-3</v>
      </c>
    </row>
    <row r="1231" spans="1:25" x14ac:dyDescent="0.25">
      <c r="A1231" s="827"/>
      <c r="B1231" s="1066">
        <v>981</v>
      </c>
      <c r="C1231" s="831">
        <v>1.0242520243170805</v>
      </c>
      <c r="D1231" s="831">
        <v>0.99587495269182513</v>
      </c>
      <c r="E1231" s="831">
        <v>1.0032196673873228</v>
      </c>
      <c r="F1231" s="831">
        <v>1.0296802659599613</v>
      </c>
      <c r="G1231" s="831">
        <v>0.98524965871068881</v>
      </c>
      <c r="H1231" s="831">
        <v>1.0239874631754378</v>
      </c>
      <c r="I1231" s="831">
        <v>1.0245682689557938</v>
      </c>
      <c r="K1231">
        <v>1.7361058256582318</v>
      </c>
      <c r="L1231">
        <v>0</v>
      </c>
      <c r="M1231">
        <v>1.3783983714262843E-3</v>
      </c>
      <c r="N1231">
        <v>0.14026951895185333</v>
      </c>
      <c r="O1231">
        <v>1.7446494859649626E-2</v>
      </c>
      <c r="P1231">
        <v>1.9858639699705614E-2</v>
      </c>
      <c r="Q1231">
        <v>2.121005921930721E-3</v>
      </c>
      <c r="R1231">
        <v>1.3701114264905458E-3</v>
      </c>
      <c r="S1231">
        <v>0.15477229262064893</v>
      </c>
      <c r="T1231">
        <v>1.0710765608726667</v>
      </c>
      <c r="U1231">
        <v>2.2770301980953801E-2</v>
      </c>
      <c r="V1231">
        <v>0.20400418073284976</v>
      </c>
      <c r="W1231">
        <v>8.3661108359528016E-2</v>
      </c>
      <c r="X1231">
        <v>1.6405016957584312E-2</v>
      </c>
      <c r="Y1231">
        <v>3.7289916457969086E-3</v>
      </c>
    </row>
    <row r="1232" spans="1:25" x14ac:dyDescent="0.25">
      <c r="A1232" s="827"/>
      <c r="B1232" s="1066">
        <v>982</v>
      </c>
      <c r="C1232" s="831">
        <v>1.0074124198327401</v>
      </c>
      <c r="D1232" s="831">
        <v>1.0204306198340707</v>
      </c>
      <c r="E1232" s="831">
        <v>0.98849711175700361</v>
      </c>
      <c r="F1232" s="831">
        <v>0.99725061674603988</v>
      </c>
      <c r="G1232" s="831">
        <v>1.0080776889280847</v>
      </c>
      <c r="H1232" s="831">
        <v>0.99881897402293096</v>
      </c>
      <c r="I1232" s="831">
        <v>0.95718329004116576</v>
      </c>
      <c r="K1232">
        <v>1.7187580501821398</v>
      </c>
      <c r="L1232">
        <v>0</v>
      </c>
      <c r="M1232">
        <v>1.3945721986234408E-3</v>
      </c>
      <c r="N1232">
        <v>0.13553757789669421</v>
      </c>
      <c r="O1232">
        <v>1.7543671268209389E-2</v>
      </c>
      <c r="P1232">
        <v>1.9509588658329979E-2</v>
      </c>
      <c r="Q1232">
        <v>2.1055997170476904E-3</v>
      </c>
      <c r="R1232">
        <v>1.3859597488503068E-3</v>
      </c>
      <c r="S1232">
        <v>0.14382972707235211</v>
      </c>
      <c r="T1232">
        <v>1.0723853140638147</v>
      </c>
      <c r="U1232">
        <v>2.3150923533556772E-2</v>
      </c>
      <c r="V1232">
        <v>0.20355901283892527</v>
      </c>
      <c r="W1232">
        <v>8.1659688025728275E-2</v>
      </c>
      <c r="X1232">
        <v>1.5713434002392199E-2</v>
      </c>
      <c r="Y1232">
        <v>3.7721255548621175E-3</v>
      </c>
    </row>
    <row r="1233" spans="1:25" x14ac:dyDescent="0.25">
      <c r="A1233" s="827"/>
      <c r="B1233" s="1066">
        <v>983</v>
      </c>
      <c r="C1233" s="831">
        <v>0.96629861773472892</v>
      </c>
      <c r="D1233" s="831">
        <v>1.0211183415732337</v>
      </c>
      <c r="E1233" s="831">
        <v>1.0153653554029407</v>
      </c>
      <c r="F1233" s="831">
        <v>1.0111714555106079</v>
      </c>
      <c r="G1233" s="831">
        <v>1.0063468481408562</v>
      </c>
      <c r="H1233" s="831">
        <v>0.98956365834236126</v>
      </c>
      <c r="I1233" s="831">
        <v>1.0026482063882736</v>
      </c>
      <c r="K1233">
        <v>1.7487599001990712</v>
      </c>
      <c r="L1233">
        <v>0</v>
      </c>
      <c r="M1233">
        <v>1.3607586185600921E-3</v>
      </c>
      <c r="N1233">
        <v>0.14377121935384224</v>
      </c>
      <c r="O1233">
        <v>1.8284547114158521E-2</v>
      </c>
      <c r="P1233">
        <v>2.0118371754692829E-2</v>
      </c>
      <c r="Q1233">
        <v>2.254654822494007E-3</v>
      </c>
      <c r="R1233">
        <v>1.3522759320661515E-3</v>
      </c>
      <c r="S1233">
        <v>0.15634500464724552</v>
      </c>
      <c r="T1233">
        <v>1.0700030381094798</v>
      </c>
      <c r="U1233">
        <v>2.4135942523624467E-2</v>
      </c>
      <c r="V1233">
        <v>0.20796366792490276</v>
      </c>
      <c r="W1233">
        <v>8.5044517675707101E-2</v>
      </c>
      <c r="X1233">
        <v>1.7166969649973298E-2</v>
      </c>
      <c r="Y1233">
        <v>3.6804493094428638E-3</v>
      </c>
    </row>
    <row r="1234" spans="1:25" x14ac:dyDescent="0.25">
      <c r="A1234" s="827"/>
      <c r="B1234" s="1066">
        <v>984</v>
      </c>
      <c r="C1234" s="831">
        <v>1.020129256040736</v>
      </c>
      <c r="D1234" s="831">
        <v>1.007171143333315</v>
      </c>
      <c r="E1234" s="831">
        <v>1.0034004883239525</v>
      </c>
      <c r="F1234" s="831">
        <v>1.0358487006860666</v>
      </c>
      <c r="G1234" s="831">
        <v>0.97875608306439554</v>
      </c>
      <c r="H1234" s="831">
        <v>1.0095459067846049</v>
      </c>
      <c r="I1234" s="831">
        <v>0.96925344509411249</v>
      </c>
      <c r="K1234">
        <v>1.7224330444549101</v>
      </c>
      <c r="L1234">
        <v>0</v>
      </c>
      <c r="M1234">
        <v>1.3569891714134024E-3</v>
      </c>
      <c r="N1234">
        <v>0.13815581440773791</v>
      </c>
      <c r="O1234">
        <v>1.7427752195465062E-2</v>
      </c>
      <c r="P1234">
        <v>1.9725219230940838E-2</v>
      </c>
      <c r="Q1234">
        <v>2.1210703851023381E-3</v>
      </c>
      <c r="R1234">
        <v>1.3487066341574324E-3</v>
      </c>
      <c r="S1234">
        <v>0.14533893825398222</v>
      </c>
      <c r="T1234">
        <v>1.0710605377375659</v>
      </c>
      <c r="U1234">
        <v>2.2862326278947402E-2</v>
      </c>
      <c r="V1234">
        <v>0.20341503569634367</v>
      </c>
      <c r="W1234">
        <v>8.2390258312503864E-2</v>
      </c>
      <c r="X1234">
        <v>1.6273639636421765E-2</v>
      </c>
      <c r="Y1234">
        <v>3.6707348571540714E-3</v>
      </c>
    </row>
    <row r="1235" spans="1:25" x14ac:dyDescent="0.25">
      <c r="A1235" s="827"/>
      <c r="B1235" s="1066">
        <v>985</v>
      </c>
      <c r="C1235" s="831">
        <v>1.0113939600087885</v>
      </c>
      <c r="D1235" s="831">
        <v>1.002758959956864</v>
      </c>
      <c r="E1235" s="831">
        <v>1.0246250322298129</v>
      </c>
      <c r="F1235" s="831">
        <v>1.0211858469923611</v>
      </c>
      <c r="G1235" s="831">
        <v>0.97862078881635139</v>
      </c>
      <c r="H1235" s="831">
        <v>1.0227147368454061</v>
      </c>
      <c r="I1235" s="831">
        <v>1.0081152553951407</v>
      </c>
      <c r="K1235">
        <v>1.7409332412243934</v>
      </c>
      <c r="L1235">
        <v>0</v>
      </c>
      <c r="M1235">
        <v>1.3284597354960319E-3</v>
      </c>
      <c r="N1235">
        <v>0.14448542066273037</v>
      </c>
      <c r="O1235">
        <v>1.7613245894741329E-2</v>
      </c>
      <c r="P1235">
        <v>2.0147120162746401E-2</v>
      </c>
      <c r="Q1235">
        <v>2.1887254665476133E-3</v>
      </c>
      <c r="R1235">
        <v>1.3204585923073334E-3</v>
      </c>
      <c r="S1235">
        <v>0.15369107231465576</v>
      </c>
      <c r="T1235">
        <v>1.0691883522952765</v>
      </c>
      <c r="U1235">
        <v>2.3059785623102295E-2</v>
      </c>
      <c r="V1235">
        <v>0.20471604433652363</v>
      </c>
      <c r="W1235">
        <v>8.4934631445138867E-2</v>
      </c>
      <c r="X1235">
        <v>1.7322991166917531E-2</v>
      </c>
      <c r="Y1235">
        <v>3.5938529992025942E-3</v>
      </c>
    </row>
    <row r="1236" spans="1:25" x14ac:dyDescent="0.25">
      <c r="A1236" s="827"/>
      <c r="B1236" s="1066">
        <v>986</v>
      </c>
      <c r="C1236" s="831">
        <v>1.0222584646014692</v>
      </c>
      <c r="D1236" s="831">
        <v>0.9760144949540388</v>
      </c>
      <c r="E1236" s="831">
        <v>1.0035321077962411</v>
      </c>
      <c r="F1236" s="831">
        <v>0.96767981436368211</v>
      </c>
      <c r="G1236" s="831">
        <v>1.0086996402515085</v>
      </c>
      <c r="H1236" s="831">
        <v>0.99921122798206663</v>
      </c>
      <c r="I1236" s="831">
        <v>0.9710625053816303</v>
      </c>
      <c r="K1236">
        <v>1.7269648456055033</v>
      </c>
      <c r="L1236">
        <v>0</v>
      </c>
      <c r="M1236">
        <v>1.3591350742884339E-3</v>
      </c>
      <c r="N1236">
        <v>0.13842436229491031</v>
      </c>
      <c r="O1236">
        <v>1.7641021920489403E-2</v>
      </c>
      <c r="P1236">
        <v>1.9778338025776856E-2</v>
      </c>
      <c r="Q1236">
        <v>2.141760977187926E-3</v>
      </c>
      <c r="R1236">
        <v>1.3507751656975399E-3</v>
      </c>
      <c r="S1236">
        <v>0.1465051513403447</v>
      </c>
      <c r="T1236">
        <v>1.071048875281875</v>
      </c>
      <c r="U1236">
        <v>2.2814707538171896E-2</v>
      </c>
      <c r="V1236">
        <v>0.20604880001056167</v>
      </c>
      <c r="W1236">
        <v>8.2542992717224692E-2</v>
      </c>
      <c r="X1236">
        <v>1.6350830689436508E-2</v>
      </c>
      <c r="Y1236">
        <v>3.6763647181150046E-3</v>
      </c>
    </row>
    <row r="1237" spans="1:25" x14ac:dyDescent="0.25">
      <c r="A1237" s="827"/>
      <c r="B1237" s="1066">
        <v>987</v>
      </c>
      <c r="C1237" s="831">
        <v>1.0269320137998563</v>
      </c>
      <c r="D1237" s="831">
        <v>0.98922151884125575</v>
      </c>
      <c r="E1237" s="831">
        <v>0.99423220871911844</v>
      </c>
      <c r="F1237" s="831">
        <v>0.97098590943913998</v>
      </c>
      <c r="G1237" s="831">
        <v>1.0010311316711189</v>
      </c>
      <c r="H1237" s="831">
        <v>0.98448244108471683</v>
      </c>
      <c r="I1237" s="831">
        <v>0.96787939485246655</v>
      </c>
      <c r="K1237">
        <v>1.7149424709202854</v>
      </c>
      <c r="L1237">
        <v>0</v>
      </c>
      <c r="M1237">
        <v>1.3511073743677523E-3</v>
      </c>
      <c r="N1237">
        <v>0.13366880096944764</v>
      </c>
      <c r="O1237">
        <v>1.7453928223766801E-2</v>
      </c>
      <c r="P1237">
        <v>1.9587702014802515E-2</v>
      </c>
      <c r="Q1237">
        <v>2.1016533929847851E-3</v>
      </c>
      <c r="R1237">
        <v>1.3426631821198305E-3</v>
      </c>
      <c r="S1237">
        <v>0.14354841348225114</v>
      </c>
      <c r="T1237">
        <v>1.0718745241195415</v>
      </c>
      <c r="U1237">
        <v>2.2710878212867363E-2</v>
      </c>
      <c r="V1237">
        <v>0.20433268588355227</v>
      </c>
      <c r="W1237">
        <v>8.0216456607989609E-2</v>
      </c>
      <c r="X1237">
        <v>1.5801585632398935E-2</v>
      </c>
      <c r="Y1237">
        <v>3.6542865729311475E-3</v>
      </c>
    </row>
    <row r="1238" spans="1:25" x14ac:dyDescent="0.25">
      <c r="A1238" s="827"/>
      <c r="B1238" s="1066">
        <v>988</v>
      </c>
      <c r="C1238" s="831">
        <v>0.99151659820292926</v>
      </c>
      <c r="D1238" s="831">
        <v>1.0186195062193319</v>
      </c>
      <c r="E1238" s="831">
        <v>0.99867685245425342</v>
      </c>
      <c r="F1238" s="831">
        <v>1.005446958449107</v>
      </c>
      <c r="G1238" s="831">
        <v>0.99067513064881774</v>
      </c>
      <c r="H1238" s="831">
        <v>1.0038764059373446</v>
      </c>
      <c r="I1238" s="831">
        <v>1.0161216201386229</v>
      </c>
      <c r="K1238">
        <v>1.7396581664203801</v>
      </c>
      <c r="L1238">
        <v>0</v>
      </c>
      <c r="M1238">
        <v>1.3950475433089384E-3</v>
      </c>
      <c r="N1238">
        <v>0.1399530869745812</v>
      </c>
      <c r="O1238">
        <v>1.7839244550274309E-2</v>
      </c>
      <c r="P1238">
        <v>1.9837840660078623E-2</v>
      </c>
      <c r="Q1238">
        <v>2.1628625650042164E-3</v>
      </c>
      <c r="R1238">
        <v>1.3864767891815565E-3</v>
      </c>
      <c r="S1238">
        <v>0.15561700780286206</v>
      </c>
      <c r="T1238">
        <v>1.0714795196821449</v>
      </c>
      <c r="U1238">
        <v>2.3522075112584126E-2</v>
      </c>
      <c r="V1238">
        <v>0.20540504008948807</v>
      </c>
      <c r="W1238">
        <v>8.3732073921281541E-2</v>
      </c>
      <c r="X1238">
        <v>1.634445304800498E-2</v>
      </c>
      <c r="Y1238">
        <v>3.773532768201479E-3</v>
      </c>
    </row>
    <row r="1239" spans="1:25" x14ac:dyDescent="0.25">
      <c r="A1239" s="827"/>
      <c r="B1239" s="1066">
        <v>989</v>
      </c>
      <c r="C1239" s="831">
        <v>1.01775483137026</v>
      </c>
      <c r="D1239" s="831">
        <v>1.0250354958332493</v>
      </c>
      <c r="E1239" s="831">
        <v>0.99107549542690088</v>
      </c>
      <c r="F1239" s="831">
        <v>1.0305718242213577</v>
      </c>
      <c r="G1239" s="831">
        <v>1.0232785393469195</v>
      </c>
      <c r="H1239" s="831">
        <v>0.98606309974221373</v>
      </c>
      <c r="I1239" s="831">
        <v>0.99739304054568945</v>
      </c>
      <c r="K1239">
        <v>1.7148266589534087</v>
      </c>
      <c r="L1239">
        <v>0</v>
      </c>
      <c r="M1239">
        <v>1.3526523936436277E-3</v>
      </c>
      <c r="N1239">
        <v>0.13251206130972212</v>
      </c>
      <c r="O1239">
        <v>1.7330105500918586E-2</v>
      </c>
      <c r="P1239">
        <v>1.9566782175000769E-2</v>
      </c>
      <c r="Q1239">
        <v>2.0861565295769435E-3</v>
      </c>
      <c r="R1239">
        <v>1.3441876971813254E-3</v>
      </c>
      <c r="S1239">
        <v>0.14718507720453511</v>
      </c>
      <c r="T1239">
        <v>1.0721555199134969</v>
      </c>
      <c r="U1239">
        <v>2.2915664145659466E-2</v>
      </c>
      <c r="V1239">
        <v>0.20208976075827342</v>
      </c>
      <c r="W1239">
        <v>7.969511766081086E-2</v>
      </c>
      <c r="X1239">
        <v>1.5640442651505267E-2</v>
      </c>
      <c r="Y1239">
        <v>3.6584358003722813E-3</v>
      </c>
    </row>
    <row r="1240" spans="1:25" x14ac:dyDescent="0.25">
      <c r="A1240" s="827"/>
      <c r="B1240" s="1066">
        <v>990</v>
      </c>
      <c r="C1240" s="831">
        <v>0.97619843181571964</v>
      </c>
      <c r="D1240" s="831">
        <v>1.0034594968102653</v>
      </c>
      <c r="E1240" s="831">
        <v>0.99008619587657754</v>
      </c>
      <c r="F1240" s="831">
        <v>0.9814084092358103</v>
      </c>
      <c r="G1240" s="831">
        <v>1.0017024881594219</v>
      </c>
      <c r="H1240" s="831">
        <v>0.99870780464853859</v>
      </c>
      <c r="I1240" s="831">
        <v>0.99184998461549112</v>
      </c>
      <c r="K1240">
        <v>1.7458728979334577</v>
      </c>
      <c r="L1240">
        <v>0</v>
      </c>
      <c r="M1240">
        <v>1.4451133004717111E-3</v>
      </c>
      <c r="N1240">
        <v>0.14114735822196695</v>
      </c>
      <c r="O1240">
        <v>1.8242498364035121E-2</v>
      </c>
      <c r="P1240">
        <v>1.9757258249886563E-2</v>
      </c>
      <c r="Q1240">
        <v>2.1900002862253647E-3</v>
      </c>
      <c r="R1240">
        <v>1.4361998412246381E-3</v>
      </c>
      <c r="S1240">
        <v>0.15486937269565001</v>
      </c>
      <c r="T1240">
        <v>1.0722436599845879</v>
      </c>
      <c r="U1240">
        <v>2.3891175337091539E-2</v>
      </c>
      <c r="V1240">
        <v>0.20847734126303027</v>
      </c>
      <c r="W1240">
        <v>8.4946401348241746E-2</v>
      </c>
      <c r="X1240">
        <v>1.6207883117326464E-2</v>
      </c>
      <c r="Y1240">
        <v>3.9088625246630464E-3</v>
      </c>
    </row>
    <row r="1241" spans="1:25" x14ac:dyDescent="0.25">
      <c r="A1241" s="827"/>
      <c r="B1241" s="1066">
        <v>991</v>
      </c>
      <c r="C1241" s="831">
        <v>1.0147899240545319</v>
      </c>
      <c r="D1241" s="831">
        <v>1.0030484894634788</v>
      </c>
      <c r="E1241" s="831">
        <v>1.0168098254484674</v>
      </c>
      <c r="F1241" s="831">
        <v>0.99079648941393528</v>
      </c>
      <c r="G1241" s="831">
        <v>0.98748353795302801</v>
      </c>
      <c r="H1241" s="831">
        <v>1.0056136666400386</v>
      </c>
      <c r="I1241" s="831">
        <v>1.014492133143267</v>
      </c>
      <c r="K1241">
        <v>1.7337509316916715</v>
      </c>
      <c r="L1241">
        <v>0</v>
      </c>
      <c r="M1241">
        <v>1.3233749160246439E-3</v>
      </c>
      <c r="N1241">
        <v>0.14046575791741442</v>
      </c>
      <c r="O1241">
        <v>1.755200910649711E-2</v>
      </c>
      <c r="P1241">
        <v>2.002432514390811E-2</v>
      </c>
      <c r="Q1241">
        <v>2.1642931903015088E-3</v>
      </c>
      <c r="R1241">
        <v>1.3152686642076419E-3</v>
      </c>
      <c r="S1241">
        <v>0.152901609522022</v>
      </c>
      <c r="T1241">
        <v>1.069875736817018</v>
      </c>
      <c r="U1241">
        <v>2.2982616742112962E-2</v>
      </c>
      <c r="V1241">
        <v>0.20433390149358577</v>
      </c>
      <c r="W1241">
        <v>8.3008081326660807E-2</v>
      </c>
      <c r="X1241">
        <v>1.6870978958190307E-2</v>
      </c>
      <c r="Y1241">
        <v>3.5797277257745715E-3</v>
      </c>
    </row>
    <row r="1242" spans="1:25" x14ac:dyDescent="0.25">
      <c r="A1242" s="827"/>
      <c r="B1242" s="1066">
        <v>992</v>
      </c>
      <c r="C1242" s="831">
        <v>0.99459082785520592</v>
      </c>
      <c r="D1242" s="831">
        <v>1.0445898749035978</v>
      </c>
      <c r="E1242" s="831">
        <v>0.98680966828874939</v>
      </c>
      <c r="F1242" s="831">
        <v>0.99149216916550043</v>
      </c>
      <c r="G1242" s="831">
        <v>0.99383311244994221</v>
      </c>
      <c r="H1242" s="831">
        <v>1.0241597524039658</v>
      </c>
      <c r="I1242" s="831">
        <v>0.99608005396285459</v>
      </c>
      <c r="K1242">
        <v>1.7326944256690244</v>
      </c>
      <c r="L1242">
        <v>0</v>
      </c>
      <c r="M1242">
        <v>1.4382825429099676E-3</v>
      </c>
      <c r="N1242">
        <v>0.13907296148817397</v>
      </c>
      <c r="O1242">
        <v>1.7583177293041416E-2</v>
      </c>
      <c r="P1242">
        <v>1.959020704102131E-2</v>
      </c>
      <c r="Q1242">
        <v>2.1107168731853642E-3</v>
      </c>
      <c r="R1242">
        <v>1.4296036780238428E-3</v>
      </c>
      <c r="S1242">
        <v>0.15193022868679293</v>
      </c>
      <c r="T1242">
        <v>1.0725358401700178</v>
      </c>
      <c r="U1242">
        <v>2.3449369575021362E-2</v>
      </c>
      <c r="V1242">
        <v>0.20281267758719188</v>
      </c>
      <c r="W1242">
        <v>8.3887353276262233E-2</v>
      </c>
      <c r="X1242">
        <v>1.5839662600346565E-2</v>
      </c>
      <c r="Y1242">
        <v>3.8909099428550966E-3</v>
      </c>
    </row>
    <row r="1243" spans="1:25" x14ac:dyDescent="0.25">
      <c r="A1243" s="827"/>
      <c r="B1243" s="1066">
        <v>993</v>
      </c>
      <c r="C1243" s="831">
        <v>1.0220151419197958</v>
      </c>
      <c r="D1243" s="831">
        <v>1.0103267727776022</v>
      </c>
      <c r="E1243" s="831">
        <v>1.0332718112424712</v>
      </c>
      <c r="F1243" s="831">
        <v>0.99903139332561552</v>
      </c>
      <c r="G1243" s="831">
        <v>0.99548912805540668</v>
      </c>
      <c r="H1243" s="831">
        <v>0.99818406967165907</v>
      </c>
      <c r="I1243" s="831">
        <v>0.9937378242792011</v>
      </c>
      <c r="K1243">
        <v>1.7245792019076578</v>
      </c>
      <c r="L1243">
        <v>0</v>
      </c>
      <c r="M1243">
        <v>1.2555910012407867E-3</v>
      </c>
      <c r="N1243">
        <v>0.14025407870815351</v>
      </c>
      <c r="O1243">
        <v>1.7370986663755649E-2</v>
      </c>
      <c r="P1243">
        <v>2.0152425089601907E-2</v>
      </c>
      <c r="Q1243">
        <v>2.1785024995911368E-3</v>
      </c>
      <c r="R1243">
        <v>1.2478381613132926E-3</v>
      </c>
      <c r="S1243">
        <v>0.1477530844398546</v>
      </c>
      <c r="T1243">
        <v>1.0684305252308779</v>
      </c>
      <c r="U1243">
        <v>2.282013929313528E-2</v>
      </c>
      <c r="V1243">
        <v>0.20294140310644068</v>
      </c>
      <c r="W1243">
        <v>8.1970576690600386E-2</v>
      </c>
      <c r="X1243">
        <v>1.7319028900218667E-2</v>
      </c>
      <c r="Y1243">
        <v>3.3962041253554581E-3</v>
      </c>
    </row>
    <row r="1244" spans="1:25" x14ac:dyDescent="0.25">
      <c r="A1244" s="827"/>
      <c r="B1244" s="1066">
        <v>994</v>
      </c>
      <c r="C1244" s="831">
        <v>0.97873536869205191</v>
      </c>
      <c r="D1244" s="831">
        <v>0.98078775032157639</v>
      </c>
      <c r="E1244" s="831">
        <v>1.0310733159191059</v>
      </c>
      <c r="F1244" s="831">
        <v>1.0344573259147951</v>
      </c>
      <c r="G1244" s="831">
        <v>0.99485174410358934</v>
      </c>
      <c r="H1244" s="831">
        <v>0.96403033363064683</v>
      </c>
      <c r="I1244" s="831">
        <v>1.0159532325806928</v>
      </c>
      <c r="K1244">
        <v>1.7488718402253578</v>
      </c>
      <c r="L1244">
        <v>0</v>
      </c>
      <c r="M1244">
        <v>1.2893616623063258E-3</v>
      </c>
      <c r="N1244">
        <v>0.14301770582901391</v>
      </c>
      <c r="O1244">
        <v>1.8384717689597648E-2</v>
      </c>
      <c r="P1244">
        <v>2.0371477646901979E-2</v>
      </c>
      <c r="Q1244">
        <v>2.2950319132279276E-3</v>
      </c>
      <c r="R1244">
        <v>1.2811381964659225E-3</v>
      </c>
      <c r="S1244">
        <v>0.15712447837075622</v>
      </c>
      <c r="T1244">
        <v>1.0686229383847268</v>
      </c>
      <c r="U1244">
        <v>2.3829248072919407E-2</v>
      </c>
      <c r="V1244">
        <v>0.21035611720937614</v>
      </c>
      <c r="W1244">
        <v>8.3708808293983722E-2</v>
      </c>
      <c r="X1244">
        <v>1.7682704437007014E-2</v>
      </c>
      <c r="Y1244">
        <v>3.4868358436872774E-3</v>
      </c>
    </row>
    <row r="1245" spans="1:25" x14ac:dyDescent="0.25">
      <c r="A1245" s="827"/>
      <c r="B1245" s="1066">
        <v>995</v>
      </c>
      <c r="C1245" s="831">
        <v>1.032059048697701</v>
      </c>
      <c r="D1245" s="831">
        <v>0.96371108368197733</v>
      </c>
      <c r="E1245" s="831">
        <v>0.9997204363058666</v>
      </c>
      <c r="F1245" s="831">
        <v>0.97563647378778906</v>
      </c>
      <c r="G1245" s="831">
        <v>1.0173035809092381</v>
      </c>
      <c r="H1245" s="831">
        <v>1.0004483852051356</v>
      </c>
      <c r="I1245" s="831">
        <v>1.0062148744727477</v>
      </c>
      <c r="K1245">
        <v>1.7305920359639366</v>
      </c>
      <c r="L1245">
        <v>0</v>
      </c>
      <c r="M1245">
        <v>1.3666112561445214E-3</v>
      </c>
      <c r="N1245">
        <v>0.13754714220397365</v>
      </c>
      <c r="O1245">
        <v>1.7574563222354414E-2</v>
      </c>
      <c r="P1245">
        <v>1.979069140333169E-2</v>
      </c>
      <c r="Q1245">
        <v>2.1232949157774642E-3</v>
      </c>
      <c r="R1245">
        <v>1.3582245713161794E-3</v>
      </c>
      <c r="S1245">
        <v>0.15125195402743702</v>
      </c>
      <c r="T1245">
        <v>1.0713868823162669</v>
      </c>
      <c r="U1245">
        <v>2.2598055729207166E-2</v>
      </c>
      <c r="V1245">
        <v>0.20619771926009645</v>
      </c>
      <c r="W1245">
        <v>8.2233855104311152E-2</v>
      </c>
      <c r="X1245">
        <v>1.6199624921493915E-2</v>
      </c>
      <c r="Y1245">
        <v>3.6966395445130382E-3</v>
      </c>
    </row>
    <row r="1246" spans="1:25" x14ac:dyDescent="0.25">
      <c r="A1246" s="827"/>
      <c r="B1246" s="1066">
        <v>996</v>
      </c>
      <c r="C1246" s="831">
        <v>1.0153332097039545</v>
      </c>
      <c r="D1246" s="831">
        <v>0.98303531038123138</v>
      </c>
      <c r="E1246" s="831">
        <v>1.0432799315831429</v>
      </c>
      <c r="F1246" s="831">
        <v>0.97576137468683444</v>
      </c>
      <c r="G1246" s="831">
        <v>0.96100783533615086</v>
      </c>
      <c r="H1246" s="831">
        <v>0.99726793656386448</v>
      </c>
      <c r="I1246" s="831">
        <v>1.0348616905288439</v>
      </c>
      <c r="K1246">
        <v>1.7429191789879397</v>
      </c>
      <c r="L1246">
        <v>0</v>
      </c>
      <c r="M1246">
        <v>1.2516274433376732E-3</v>
      </c>
      <c r="N1246">
        <v>0.14422151662226498</v>
      </c>
      <c r="O1246">
        <v>1.7703633046137483E-2</v>
      </c>
      <c r="P1246">
        <v>2.0457462437389426E-2</v>
      </c>
      <c r="Q1246">
        <v>2.2371608260027564E-3</v>
      </c>
      <c r="R1246">
        <v>1.2439092467657826E-3</v>
      </c>
      <c r="S1246">
        <v>0.15658402632758919</v>
      </c>
      <c r="T1246">
        <v>1.0675569300123859</v>
      </c>
      <c r="U1246">
        <v>2.2970319177389488E-2</v>
      </c>
      <c r="V1246">
        <v>0.20612081289952161</v>
      </c>
      <c r="W1246">
        <v>8.372911960398853E-2</v>
      </c>
      <c r="X1246">
        <v>1.7960405316717838E-2</v>
      </c>
      <c r="Y1246">
        <v>3.3855109151234688E-3</v>
      </c>
    </row>
    <row r="1247" spans="1:25" x14ac:dyDescent="0.25">
      <c r="A1247" s="827"/>
      <c r="B1247" s="1066">
        <v>997</v>
      </c>
      <c r="C1247" s="831">
        <v>1.0057392100574054</v>
      </c>
      <c r="D1247" s="831">
        <v>1.004500804338377</v>
      </c>
      <c r="E1247" s="831">
        <v>1.0018113792398147</v>
      </c>
      <c r="F1247" s="831">
        <v>0.9670271760002499</v>
      </c>
      <c r="G1247" s="831">
        <v>0.99454513503971853</v>
      </c>
      <c r="H1247" s="831">
        <v>1.0180952619492907</v>
      </c>
      <c r="I1247" s="831">
        <v>1.0005934476865437</v>
      </c>
      <c r="K1247">
        <v>1.7380231845664078</v>
      </c>
      <c r="L1247">
        <v>0</v>
      </c>
      <c r="M1247">
        <v>1.3943886727874584E-3</v>
      </c>
      <c r="N1247">
        <v>0.14127096289016619</v>
      </c>
      <c r="O1247">
        <v>1.7698363106295589E-2</v>
      </c>
      <c r="P1247">
        <v>1.983628350472863E-2</v>
      </c>
      <c r="Q1247">
        <v>2.1501059837686718E-3</v>
      </c>
      <c r="R1247">
        <v>1.3859511515778508E-3</v>
      </c>
      <c r="S1247">
        <v>0.1529622221579236</v>
      </c>
      <c r="T1247">
        <v>1.0712013961529878</v>
      </c>
      <c r="U1247">
        <v>2.3189438837700256E-2</v>
      </c>
      <c r="V1247">
        <v>0.20515750572506167</v>
      </c>
      <c r="W1247">
        <v>8.4339489369762363E-2</v>
      </c>
      <c r="X1247">
        <v>1.6453752203302103E-2</v>
      </c>
      <c r="Y1247">
        <v>3.7721021559205818E-3</v>
      </c>
    </row>
    <row r="1248" spans="1:25" x14ac:dyDescent="0.25">
      <c r="A1248" s="827"/>
      <c r="B1248" s="1066">
        <v>998</v>
      </c>
      <c r="C1248" s="831">
        <v>1.0452559698422828</v>
      </c>
      <c r="D1248" s="831">
        <v>1.0095568047851073</v>
      </c>
      <c r="E1248" s="831">
        <v>0.99411445626800587</v>
      </c>
      <c r="F1248" s="831">
        <v>1.0081982297241625</v>
      </c>
      <c r="G1248" s="831">
        <v>0.97227396822334167</v>
      </c>
      <c r="H1248" s="831">
        <v>0.98400040350050633</v>
      </c>
      <c r="I1248" s="831">
        <v>1.0073623369322711</v>
      </c>
      <c r="K1248">
        <v>1.7061767792304936</v>
      </c>
      <c r="L1248">
        <v>0</v>
      </c>
      <c r="M1248">
        <v>1.3149371776153378E-3</v>
      </c>
      <c r="N1248">
        <v>0.13004095506717725</v>
      </c>
      <c r="O1248">
        <v>1.6990609681728802E-2</v>
      </c>
      <c r="P1248">
        <v>1.955785785393651E-2</v>
      </c>
      <c r="Q1248">
        <v>2.0490377769658854E-3</v>
      </c>
      <c r="R1248">
        <v>1.3067013707634906E-3</v>
      </c>
      <c r="S1248">
        <v>0.14551779162104969</v>
      </c>
      <c r="T1248">
        <v>1.0718849991463812</v>
      </c>
      <c r="U1248">
        <v>2.231274307079275E-2</v>
      </c>
      <c r="V1248">
        <v>0.20068196287258511</v>
      </c>
      <c r="W1248">
        <v>7.8045650801814082E-2</v>
      </c>
      <c r="X1248">
        <v>1.5546996767688125E-2</v>
      </c>
      <c r="Y1248">
        <v>3.556410377227117E-3</v>
      </c>
    </row>
    <row r="1249" spans="1:25" x14ac:dyDescent="0.25">
      <c r="A1249" s="827"/>
      <c r="B1249" s="1066">
        <v>999</v>
      </c>
      <c r="C1249" s="831">
        <v>1.0197033847922852</v>
      </c>
      <c r="D1249" s="831">
        <v>0.96999849726805809</v>
      </c>
      <c r="E1249" s="831">
        <v>1.0084389345119851</v>
      </c>
      <c r="F1249" s="831">
        <v>0.98330969767254084</v>
      </c>
      <c r="G1249" s="831">
        <v>1.0306046691843909</v>
      </c>
      <c r="H1249" s="831">
        <v>0.95206097569465542</v>
      </c>
      <c r="I1249" s="831">
        <v>0.96642280997713514</v>
      </c>
      <c r="K1249">
        <v>1.7155335560533111</v>
      </c>
      <c r="L1249">
        <v>0</v>
      </c>
      <c r="M1249">
        <v>1.2884984852530362E-3</v>
      </c>
      <c r="N1249">
        <v>0.13320759745383109</v>
      </c>
      <c r="O1249">
        <v>1.773498568468081E-2</v>
      </c>
      <c r="P1249">
        <v>1.9812835865808169E-2</v>
      </c>
      <c r="Q1249">
        <v>2.1626674226058787E-3</v>
      </c>
      <c r="R1249">
        <v>1.2801848033846886E-3</v>
      </c>
      <c r="S1249">
        <v>0.1432948851025645</v>
      </c>
      <c r="T1249">
        <v>1.0706145612951332</v>
      </c>
      <c r="U1249">
        <v>2.2871874553063304E-2</v>
      </c>
      <c r="V1249">
        <v>0.20689263994411577</v>
      </c>
      <c r="W1249">
        <v>7.9167080112303265E-2</v>
      </c>
      <c r="X1249">
        <v>1.629850127906609E-2</v>
      </c>
      <c r="Y1249">
        <v>3.4842410220061052E-3</v>
      </c>
    </row>
    <row r="1250" spans="1:25" x14ac:dyDescent="0.25">
      <c r="A1250" s="827"/>
      <c r="B1250" s="1066">
        <v>1000</v>
      </c>
      <c r="C1250" s="831">
        <v>1.0046144437541418</v>
      </c>
      <c r="D1250" s="831">
        <v>0.9905778240476576</v>
      </c>
      <c r="E1250" s="831">
        <v>0.98166911625709652</v>
      </c>
      <c r="F1250" s="831">
        <v>1.0337065909951419</v>
      </c>
      <c r="G1250" s="831">
        <v>0.99554312478937579</v>
      </c>
      <c r="H1250" s="831">
        <v>1.0387589311106358</v>
      </c>
      <c r="I1250" s="831">
        <v>0.99108053047324662</v>
      </c>
      <c r="K1250">
        <v>1.7447035374841917</v>
      </c>
      <c r="L1250">
        <v>0</v>
      </c>
      <c r="M1250">
        <v>1.4953329665277919E-3</v>
      </c>
      <c r="N1250">
        <v>0.14230850500853276</v>
      </c>
      <c r="O1250">
        <v>1.783058543153165E-2</v>
      </c>
      <c r="P1250">
        <v>1.959584264060335E-2</v>
      </c>
      <c r="Q1250">
        <v>2.1201248589909575E-3</v>
      </c>
      <c r="R1250">
        <v>1.4864747131397734E-3</v>
      </c>
      <c r="S1250">
        <v>0.15402966831779277</v>
      </c>
      <c r="T1250">
        <v>1.0729950564558408</v>
      </c>
      <c r="U1250">
        <v>2.3215401732777512E-2</v>
      </c>
      <c r="V1250">
        <v>0.20655919373575732</v>
      </c>
      <c r="W1250">
        <v>8.614481936763177E-2</v>
      </c>
      <c r="X1250">
        <v>1.586750403521019E-2</v>
      </c>
      <c r="Y1250">
        <v>4.0456941529089709E-3</v>
      </c>
    </row>
    <row r="1251" spans="1:25" x14ac:dyDescent="0.25">
      <c r="A1251" s="827"/>
      <c r="B1251" s="1066">
        <v>1001</v>
      </c>
      <c r="C1251" s="831">
        <v>0.98641021016882868</v>
      </c>
      <c r="D1251" s="831">
        <v>1.0037184188395942</v>
      </c>
      <c r="E1251" s="831">
        <v>1.0196457207564851</v>
      </c>
      <c r="F1251" s="831">
        <v>1.0045277205796375</v>
      </c>
      <c r="G1251" s="831">
        <v>1.0025906339439357</v>
      </c>
      <c r="H1251" s="831">
        <v>1.0095970328752646</v>
      </c>
      <c r="I1251" s="831">
        <v>0.9622952479466288</v>
      </c>
      <c r="K1251">
        <v>1.7425776433252875</v>
      </c>
      <c r="L1251">
        <v>0</v>
      </c>
      <c r="M1251">
        <v>1.3582706461918569E-3</v>
      </c>
      <c r="N1251">
        <v>0.14544902681469074</v>
      </c>
      <c r="O1251">
        <v>1.805153472407597E-2</v>
      </c>
      <c r="P1251">
        <v>2.0065231791072908E-2</v>
      </c>
      <c r="Q1251">
        <v>2.2323007843464311E-3</v>
      </c>
      <c r="R1251">
        <v>1.3499830193334061E-3</v>
      </c>
      <c r="S1251">
        <v>0.14944452716156603</v>
      </c>
      <c r="T1251">
        <v>1.0696260388896999</v>
      </c>
      <c r="U1251">
        <v>2.3643842752105567E-2</v>
      </c>
      <c r="V1251">
        <v>0.20731905050809354</v>
      </c>
      <c r="W1251">
        <v>8.5788413952275516E-2</v>
      </c>
      <c r="X1251">
        <v>1.7291754817376451E-2</v>
      </c>
      <c r="Y1251">
        <v>3.6742087568428115E-3</v>
      </c>
    </row>
    <row r="1252" spans="1:25" x14ac:dyDescent="0.25">
      <c r="A1252" s="827"/>
      <c r="B1252" s="1066">
        <v>1002</v>
      </c>
      <c r="C1252" s="831">
        <v>1.0299591642811905</v>
      </c>
      <c r="D1252" s="831">
        <v>1.0268719040524064</v>
      </c>
      <c r="E1252" s="831">
        <v>0.99008610154842547</v>
      </c>
      <c r="F1252" s="831">
        <v>0.97780740647358311</v>
      </c>
      <c r="G1252" s="831">
        <v>1.0072818047570258</v>
      </c>
      <c r="H1252" s="831">
        <v>0.9980425875951825</v>
      </c>
      <c r="I1252" s="831">
        <v>0.997416761556989</v>
      </c>
      <c r="K1252">
        <v>1.7115653607323245</v>
      </c>
      <c r="L1252">
        <v>0</v>
      </c>
      <c r="M1252">
        <v>1.3545861520930218E-3</v>
      </c>
      <c r="N1252">
        <v>0.13230325561009373</v>
      </c>
      <c r="O1252">
        <v>1.7110918039994854E-2</v>
      </c>
      <c r="P1252">
        <v>1.951711147567942E-2</v>
      </c>
      <c r="Q1252">
        <v>2.0580109512422814E-3</v>
      </c>
      <c r="R1252">
        <v>1.3462098965068504E-3</v>
      </c>
      <c r="S1252">
        <v>0.14615971792645691</v>
      </c>
      <c r="T1252">
        <v>1.0722436683903638</v>
      </c>
      <c r="U1252">
        <v>2.2644128725802459E-2</v>
      </c>
      <c r="V1252">
        <v>0.20070723262482246</v>
      </c>
      <c r="W1252">
        <v>7.962377987611001E-2</v>
      </c>
      <c r="X1252">
        <v>1.5541973807024377E-2</v>
      </c>
      <c r="Y1252">
        <v>3.6639395603185313E-3</v>
      </c>
    </row>
    <row r="1253" spans="1:25" x14ac:dyDescent="0.25">
      <c r="A1253" s="827"/>
      <c r="B1253" s="1066">
        <v>1003</v>
      </c>
      <c r="C1253" s="831">
        <v>0.98768570318767768</v>
      </c>
      <c r="D1253" s="831">
        <v>0.98850370634641616</v>
      </c>
      <c r="E1253" s="831">
        <v>0.98378812932806126</v>
      </c>
      <c r="F1253" s="831">
        <v>1.0156974765488809</v>
      </c>
      <c r="G1253" s="831">
        <v>0.98937380602200886</v>
      </c>
      <c r="H1253" s="831">
        <v>0.98349433369307859</v>
      </c>
      <c r="I1253" s="831">
        <v>1.0234534071189276</v>
      </c>
      <c r="K1253">
        <v>1.7430616218377109</v>
      </c>
      <c r="L1253">
        <v>0</v>
      </c>
      <c r="M1253">
        <v>1.4350110123251048E-3</v>
      </c>
      <c r="N1253">
        <v>0.13742632919007056</v>
      </c>
      <c r="O1253">
        <v>1.8153446874755532E-2</v>
      </c>
      <c r="P1253">
        <v>1.9708493547227871E-2</v>
      </c>
      <c r="Q1253">
        <v>2.1627874696069941E-3</v>
      </c>
      <c r="R1253">
        <v>1.4260339599712025E-3</v>
      </c>
      <c r="S1253">
        <v>0.15779593492871405</v>
      </c>
      <c r="T1253">
        <v>1.0728056401715829</v>
      </c>
      <c r="U1253">
        <v>2.3613309196469649E-2</v>
      </c>
      <c r="V1253">
        <v>0.20860296680808502</v>
      </c>
      <c r="W1253">
        <v>8.3067455194545392E-2</v>
      </c>
      <c r="X1253">
        <v>1.585304116193257E-2</v>
      </c>
      <c r="Y1253">
        <v>3.881194347073048E-3</v>
      </c>
    </row>
    <row r="1254" spans="1:25" x14ac:dyDescent="0.25">
      <c r="A1254" s="827"/>
      <c r="B1254" s="1066">
        <v>1004</v>
      </c>
      <c r="C1254" s="831">
        <v>0.99926458842011157</v>
      </c>
      <c r="D1254" s="831">
        <v>1.0034720411630695</v>
      </c>
      <c r="E1254" s="831">
        <v>0.99301918569985681</v>
      </c>
      <c r="F1254" s="831">
        <v>1.014161729285844</v>
      </c>
      <c r="G1254" s="831">
        <v>1.0133358222400934</v>
      </c>
      <c r="H1254" s="831">
        <v>1.034183862863415</v>
      </c>
      <c r="I1254" s="831">
        <v>0.96399473362785426</v>
      </c>
      <c r="K1254">
        <v>1.7398632695378979</v>
      </c>
      <c r="L1254">
        <v>0</v>
      </c>
      <c r="M1254">
        <v>1.4529055858900765E-3</v>
      </c>
      <c r="N1254">
        <v>0.14324057416427241</v>
      </c>
      <c r="O1254">
        <v>1.7821303489759553E-2</v>
      </c>
      <c r="P1254">
        <v>1.9682503796201997E-2</v>
      </c>
      <c r="Q1254">
        <v>2.1457847362549411E-3</v>
      </c>
      <c r="R1254">
        <v>1.4442514660105369E-3</v>
      </c>
      <c r="S1254">
        <v>0.14949773856676701</v>
      </c>
      <c r="T1254">
        <v>1.0719824573056749</v>
      </c>
      <c r="U1254">
        <v>2.3339692178202087E-2</v>
      </c>
      <c r="V1254">
        <v>0.20594228940135983</v>
      </c>
      <c r="W1254">
        <v>8.6032302991299034E-2</v>
      </c>
      <c r="X1254">
        <v>1.6256500634870261E-2</v>
      </c>
      <c r="Y1254">
        <v>3.9307763931128647E-3</v>
      </c>
    </row>
    <row r="1255" spans="1:25" x14ac:dyDescent="0.25">
      <c r="A1255" s="827"/>
      <c r="B1255" s="1066">
        <v>1005</v>
      </c>
      <c r="C1255" s="831">
        <v>1.0043467785488831</v>
      </c>
      <c r="D1255" s="831">
        <v>1.0184516988090926</v>
      </c>
      <c r="E1255" s="831">
        <v>1.0018450090039348</v>
      </c>
      <c r="F1255" s="831">
        <v>1.0206412667932285</v>
      </c>
      <c r="G1255" s="831">
        <v>1.0000956988842098</v>
      </c>
      <c r="H1255" s="831">
        <v>1.0151908432149479</v>
      </c>
      <c r="I1255" s="831">
        <v>0.97073270081783158</v>
      </c>
      <c r="K1255">
        <v>1.7295083359589081</v>
      </c>
      <c r="L1255">
        <v>0</v>
      </c>
      <c r="M1255">
        <v>1.3835898273460651E-3</v>
      </c>
      <c r="N1255">
        <v>0.14018815636618506</v>
      </c>
      <c r="O1255">
        <v>1.761266592112036E-2</v>
      </c>
      <c r="P1255">
        <v>1.9748202818689584E-2</v>
      </c>
      <c r="Q1255">
        <v>2.1421732587362939E-3</v>
      </c>
      <c r="R1255">
        <v>1.3751843153753231E-3</v>
      </c>
      <c r="S1255">
        <v>0.14755523255637737</v>
      </c>
      <c r="T1255">
        <v>1.0711984142275599</v>
      </c>
      <c r="U1255">
        <v>2.3221588794261307E-2</v>
      </c>
      <c r="V1255">
        <v>0.20405402815658452</v>
      </c>
      <c r="W1255">
        <v>8.3691124950832488E-2</v>
      </c>
      <c r="X1255">
        <v>1.6362356043465639E-2</v>
      </c>
      <c r="Y1255">
        <v>3.7427983770639008E-3</v>
      </c>
    </row>
    <row r="1256" spans="1:25" x14ac:dyDescent="0.25">
      <c r="A1256" s="827"/>
      <c r="B1256" s="1066">
        <v>1006</v>
      </c>
      <c r="C1256" s="831">
        <v>1.0138066453052101</v>
      </c>
      <c r="D1256" s="831">
        <v>0.96354653283726133</v>
      </c>
      <c r="E1256" s="831">
        <v>1.0116212367971904</v>
      </c>
      <c r="F1256" s="831">
        <v>1.0090262539944854</v>
      </c>
      <c r="G1256" s="831">
        <v>0.9947161138850229</v>
      </c>
      <c r="H1256" s="831">
        <v>0.98549287953196185</v>
      </c>
      <c r="I1256" s="831">
        <v>0.99958374693120833</v>
      </c>
      <c r="K1256">
        <v>1.7361713506853129</v>
      </c>
      <c r="L1256">
        <v>0</v>
      </c>
      <c r="M1256">
        <v>1.3365739725775001E-3</v>
      </c>
      <c r="N1256">
        <v>0.13958276481840556</v>
      </c>
      <c r="O1256">
        <v>1.7892362676217591E-2</v>
      </c>
      <c r="P1256">
        <v>1.9993165866077262E-2</v>
      </c>
      <c r="Q1256">
        <v>2.1875915596626713E-3</v>
      </c>
      <c r="R1256">
        <v>1.3282472640251751E-3</v>
      </c>
      <c r="S1256">
        <v>0.15189471754772732</v>
      </c>
      <c r="T1256">
        <v>1.0703333752921693</v>
      </c>
      <c r="U1256">
        <v>2.3004907302892931E-2</v>
      </c>
      <c r="V1256">
        <v>0.20814874466578953</v>
      </c>
      <c r="W1256">
        <v>8.2776747756472202E-2</v>
      </c>
      <c r="X1256">
        <v>1.6750248712364933E-2</v>
      </c>
      <c r="Y1256">
        <v>3.6150511960836166E-3</v>
      </c>
    </row>
    <row r="1257" spans="1:25" x14ac:dyDescent="0.25">
      <c r="A1257" s="827"/>
      <c r="B1257" s="1066">
        <v>1007</v>
      </c>
      <c r="C1257" s="831">
        <v>1.0174009370738959</v>
      </c>
      <c r="D1257" s="831">
        <v>0.96140179426356742</v>
      </c>
      <c r="E1257" s="831">
        <v>1.0228807278185297</v>
      </c>
      <c r="F1257" s="831">
        <v>1.0299975467827209</v>
      </c>
      <c r="G1257" s="831">
        <v>1.0093578379707291</v>
      </c>
      <c r="H1257" s="831">
        <v>0.96614883991897094</v>
      </c>
      <c r="I1257" s="831">
        <v>1.0031927190079508</v>
      </c>
      <c r="K1257">
        <v>1.7307840215718966</v>
      </c>
      <c r="L1257">
        <v>0</v>
      </c>
      <c r="M1257">
        <v>1.2763252539405485E-3</v>
      </c>
      <c r="N1257">
        <v>0.13801931755546668</v>
      </c>
      <c r="O1257">
        <v>1.784723932055347E-2</v>
      </c>
      <c r="P1257">
        <v>2.0124688493615234E-2</v>
      </c>
      <c r="Q1257">
        <v>2.2062631606650724E-3</v>
      </c>
      <c r="R1257">
        <v>1.2682161900517326E-3</v>
      </c>
      <c r="S1257">
        <v>0.1506518044506899</v>
      </c>
      <c r="T1257">
        <v>1.0693415715232448</v>
      </c>
      <c r="U1257">
        <v>2.2923635165287067E-2</v>
      </c>
      <c r="V1257">
        <v>0.20797110254224502</v>
      </c>
      <c r="W1257">
        <v>8.1228886273535486E-2</v>
      </c>
      <c r="X1257">
        <v>1.7025955748515901E-2</v>
      </c>
      <c r="Y1257">
        <v>3.4516664019661244E-3</v>
      </c>
    </row>
    <row r="1258" spans="1:25" x14ac:dyDescent="0.25">
      <c r="A1258" s="827"/>
      <c r="B1258" s="1066">
        <v>1008</v>
      </c>
      <c r="C1258" s="831">
        <v>0.99176660318977206</v>
      </c>
      <c r="D1258" s="831">
        <v>1.0081679270518558</v>
      </c>
      <c r="E1258" s="831">
        <v>0.98662298719778763</v>
      </c>
      <c r="F1258" s="831">
        <v>1.0127721452698992</v>
      </c>
      <c r="G1258" s="831">
        <v>0.95963099434826182</v>
      </c>
      <c r="H1258" s="831">
        <v>1.0145860478283495</v>
      </c>
      <c r="I1258" s="831">
        <v>0.98630568829120657</v>
      </c>
      <c r="K1258">
        <v>1.7394505522583317</v>
      </c>
      <c r="L1258">
        <v>0</v>
      </c>
      <c r="M1258">
        <v>1.4525243021682064E-3</v>
      </c>
      <c r="N1258">
        <v>0.14036283145816109</v>
      </c>
      <c r="O1258">
        <v>1.791812983133384E-2</v>
      </c>
      <c r="P1258">
        <v>1.9642661097554866E-2</v>
      </c>
      <c r="Q1258">
        <v>2.14435675733394E-3</v>
      </c>
      <c r="R1258">
        <v>1.4437019890709854E-3</v>
      </c>
      <c r="S1258">
        <v>0.15242152703408163</v>
      </c>
      <c r="T1258">
        <v>1.0725524993879378</v>
      </c>
      <c r="U1258">
        <v>2.3516145656943908E-2</v>
      </c>
      <c r="V1258">
        <v>0.20632448305207343</v>
      </c>
      <c r="W1258">
        <v>8.4676305715766065E-2</v>
      </c>
      <c r="X1258">
        <v>1.5971153682224602E-2</v>
      </c>
      <c r="Y1258">
        <v>3.9292808980184307E-3</v>
      </c>
    </row>
    <row r="1259" spans="1:25" x14ac:dyDescent="0.25">
      <c r="A1259" s="827"/>
      <c r="B1259" s="1066">
        <v>1009</v>
      </c>
      <c r="C1259" s="831">
        <v>0.97862024243866041</v>
      </c>
      <c r="D1259" s="831">
        <v>1.0191161002927402</v>
      </c>
      <c r="E1259" s="831">
        <v>1.0240164299523216</v>
      </c>
      <c r="F1259" s="831">
        <v>1.0244966229157781</v>
      </c>
      <c r="G1259" s="831">
        <v>1.0125095206486965</v>
      </c>
      <c r="H1259" s="831">
        <v>1.033704069655295</v>
      </c>
      <c r="I1259" s="831">
        <v>1.0420678730414628</v>
      </c>
      <c r="K1259">
        <v>1.7636386286985908</v>
      </c>
      <c r="L1259">
        <v>0</v>
      </c>
      <c r="M1259">
        <v>1.3793659734294987E-3</v>
      </c>
      <c r="N1259">
        <v>0.14974725602052077</v>
      </c>
      <c r="O1259">
        <v>1.8070350755422186E-2</v>
      </c>
      <c r="P1259">
        <v>2.0320266061491222E-2</v>
      </c>
      <c r="Q1259">
        <v>2.2471344228516049E-3</v>
      </c>
      <c r="R1259">
        <v>1.3711357688395986E-3</v>
      </c>
      <c r="S1259">
        <v>0.16392170373305934</v>
      </c>
      <c r="T1259">
        <v>1.0692417986549587</v>
      </c>
      <c r="U1259">
        <v>2.3832051378975032E-2</v>
      </c>
      <c r="V1259">
        <v>0.20676822741480813</v>
      </c>
      <c r="W1259">
        <v>8.8063810107418733E-2</v>
      </c>
      <c r="X1259">
        <v>1.7702480785678265E-2</v>
      </c>
      <c r="Y1259">
        <v>3.7317795679966655E-3</v>
      </c>
    </row>
    <row r="1260" spans="1:25" x14ac:dyDescent="0.25">
      <c r="A1260" s="827"/>
      <c r="B1260" s="1066">
        <v>1010</v>
      </c>
      <c r="C1260" s="831">
        <v>0.98429162706755557</v>
      </c>
      <c r="D1260" s="831">
        <v>0.99103243245809125</v>
      </c>
      <c r="E1260" s="831">
        <v>0.98690677295585838</v>
      </c>
      <c r="F1260" s="831">
        <v>1.0303447245843644</v>
      </c>
      <c r="G1260" s="831">
        <v>1.002517617710756</v>
      </c>
      <c r="H1260" s="831">
        <v>0.97821916556224497</v>
      </c>
      <c r="I1260" s="831">
        <v>0.99776223587264956</v>
      </c>
      <c r="K1260">
        <v>1.7389550145850716</v>
      </c>
      <c r="L1260">
        <v>0</v>
      </c>
      <c r="M1260">
        <v>1.421235702487924E-3</v>
      </c>
      <c r="N1260">
        <v>0.13743071309630112</v>
      </c>
      <c r="O1260">
        <v>1.8194950178741235E-2</v>
      </c>
      <c r="P1260">
        <v>1.9700488123970353E-2</v>
      </c>
      <c r="Q1260">
        <v>2.1750517841344608E-3</v>
      </c>
      <c r="R1260">
        <v>1.4122950087830884E-3</v>
      </c>
      <c r="S1260">
        <v>0.15381616626709083</v>
      </c>
      <c r="T1260">
        <v>1.0725271751734808</v>
      </c>
      <c r="U1260">
        <v>2.3694733610390092E-2</v>
      </c>
      <c r="V1260">
        <v>0.2087438509216562</v>
      </c>
      <c r="W1260">
        <v>8.2891207662128014E-2</v>
      </c>
      <c r="X1260">
        <v>1.5945817009900987E-2</v>
      </c>
      <c r="Y1260">
        <v>3.8438014509830447E-3</v>
      </c>
    </row>
    <row r="1261" spans="1:25" x14ac:dyDescent="0.25">
      <c r="A1261" s="827"/>
      <c r="B1261" s="1066">
        <v>1011</v>
      </c>
      <c r="C1261" s="831">
        <v>0.97606623802334347</v>
      </c>
      <c r="D1261" s="831">
        <v>1.0216497930029327</v>
      </c>
      <c r="E1261" s="831">
        <v>1.0110849074233716</v>
      </c>
      <c r="F1261" s="831">
        <v>0.98469339731732553</v>
      </c>
      <c r="G1261" s="831">
        <v>0.98134352614423637</v>
      </c>
      <c r="H1261" s="831">
        <v>0.97334605777924266</v>
      </c>
      <c r="I1261" s="831">
        <v>0.98158511345481336</v>
      </c>
      <c r="K1261">
        <v>1.7341067004773154</v>
      </c>
      <c r="L1261">
        <v>0</v>
      </c>
      <c r="M1261">
        <v>1.3367725644409653E-3</v>
      </c>
      <c r="N1261">
        <v>0.13935580325053262</v>
      </c>
      <c r="O1261">
        <v>1.8097316055801206E-2</v>
      </c>
      <c r="P1261">
        <v>1.9958417889433252E-2</v>
      </c>
      <c r="Q1261">
        <v>2.2221498484749176E-3</v>
      </c>
      <c r="R1261">
        <v>1.328300202259182E-3</v>
      </c>
      <c r="S1261">
        <v>0.15033674796982574</v>
      </c>
      <c r="T1261">
        <v>1.0703807381453267</v>
      </c>
      <c r="U1261">
        <v>2.3894411044822362E-2</v>
      </c>
      <c r="V1261">
        <v>0.20682026336462442</v>
      </c>
      <c r="W1261">
        <v>8.2672247050528613E-2</v>
      </c>
      <c r="X1261">
        <v>1.6761882943620601E-2</v>
      </c>
      <c r="Y1261">
        <v>3.6151952765055002E-3</v>
      </c>
    </row>
    <row r="1262" spans="1:25" x14ac:dyDescent="0.25">
      <c r="A1262" s="827"/>
      <c r="B1262" s="1066">
        <v>1012</v>
      </c>
      <c r="C1262" s="831">
        <v>1.0067944647481837</v>
      </c>
      <c r="D1262" s="831">
        <v>0.99621184524019035</v>
      </c>
      <c r="E1262" s="831">
        <v>0.98585479381131169</v>
      </c>
      <c r="F1262" s="831">
        <v>0.98309201722190065</v>
      </c>
      <c r="G1262" s="831">
        <v>1.0384486410094906</v>
      </c>
      <c r="H1262" s="831">
        <v>1.0027320585551971</v>
      </c>
      <c r="I1262" s="831">
        <v>1.0363609629260766</v>
      </c>
      <c r="K1262">
        <v>1.7386086005000934</v>
      </c>
      <c r="L1262">
        <v>0</v>
      </c>
      <c r="M1262">
        <v>1.4240749143094736E-3</v>
      </c>
      <c r="N1262">
        <v>0.13727573743962621</v>
      </c>
      <c r="O1262">
        <v>1.7746292307105598E-2</v>
      </c>
      <c r="P1262">
        <v>1.9691316085340783E-2</v>
      </c>
      <c r="Q1262">
        <v>2.1200682846441673E-3</v>
      </c>
      <c r="R1262">
        <v>1.4153316366666341E-3</v>
      </c>
      <c r="S1262">
        <v>0.15767254750514881</v>
      </c>
      <c r="T1262">
        <v>1.0726210659339326</v>
      </c>
      <c r="U1262">
        <v>2.3165133217271452E-2</v>
      </c>
      <c r="V1262">
        <v>0.20580308685735035</v>
      </c>
      <c r="W1262">
        <v>8.285792505756355E-2</v>
      </c>
      <c r="X1262">
        <v>1.5812104938694196E-2</v>
      </c>
      <c r="Y1262">
        <v>3.8520661510579434E-3</v>
      </c>
    </row>
    <row r="1263" spans="1:25" x14ac:dyDescent="0.25">
      <c r="A1263" s="827"/>
      <c r="B1263" s="1066">
        <v>1013</v>
      </c>
      <c r="C1263" s="831">
        <v>0.96086326030653757</v>
      </c>
      <c r="D1263" s="831">
        <v>0.98868828417582033</v>
      </c>
      <c r="E1263" s="831">
        <v>1.0123923764056491</v>
      </c>
      <c r="F1263" s="831">
        <v>1.0109871124183114</v>
      </c>
      <c r="G1263" s="831">
        <v>1.006172674052936</v>
      </c>
      <c r="H1263" s="831">
        <v>1.0036732181726071</v>
      </c>
      <c r="I1263" s="831">
        <v>1.0233754207906747</v>
      </c>
      <c r="K1263">
        <v>1.7686468120932204</v>
      </c>
      <c r="L1263">
        <v>0</v>
      </c>
      <c r="M1263">
        <v>1.4172379722431942E-3</v>
      </c>
      <c r="N1263">
        <v>0.14837686555764507</v>
      </c>
      <c r="O1263">
        <v>1.8658619108649396E-2</v>
      </c>
      <c r="P1263">
        <v>2.0232380058845683E-2</v>
      </c>
      <c r="Q1263">
        <v>2.2879226742290059E-3</v>
      </c>
      <c r="R1263">
        <v>1.4085502190095598E-3</v>
      </c>
      <c r="S1263">
        <v>0.16372664658697669</v>
      </c>
      <c r="T1263">
        <v>1.0702652955896998</v>
      </c>
      <c r="U1263">
        <v>2.4272473370313671E-2</v>
      </c>
      <c r="V1263">
        <v>0.21165792487653859</v>
      </c>
      <c r="W1263">
        <v>8.7945882603512979E-2</v>
      </c>
      <c r="X1263">
        <v>1.7397880052351801E-2</v>
      </c>
      <c r="Y1263">
        <v>3.8336093676891174E-3</v>
      </c>
    </row>
    <row r="1264" spans="1:25" x14ac:dyDescent="0.25">
      <c r="A1264" s="827"/>
      <c r="B1264" s="1066">
        <v>1014</v>
      </c>
      <c r="C1264" s="831">
        <v>1.0092798121946815</v>
      </c>
      <c r="D1264" s="831">
        <v>0.96333220249548879</v>
      </c>
      <c r="E1264" s="831">
        <v>0.97605983858116552</v>
      </c>
      <c r="F1264" s="831">
        <v>0.98206291667170309</v>
      </c>
      <c r="G1264" s="831">
        <v>1.0252538742531945</v>
      </c>
      <c r="H1264" s="831">
        <v>1.0272925553787686</v>
      </c>
      <c r="I1264" s="831">
        <v>0.96904358111299305</v>
      </c>
      <c r="K1264">
        <v>1.7422293582012018</v>
      </c>
      <c r="L1264">
        <v>0</v>
      </c>
      <c r="M1264">
        <v>1.5083908724299816E-3</v>
      </c>
      <c r="N1264">
        <v>0.14105652323618603</v>
      </c>
      <c r="O1264">
        <v>1.7974432870705062E-2</v>
      </c>
      <c r="P1264">
        <v>1.9503353344298927E-2</v>
      </c>
      <c r="Q1264">
        <v>2.1201575086688905E-3</v>
      </c>
      <c r="R1264">
        <v>1.4993762906777353E-3</v>
      </c>
      <c r="S1264">
        <v>0.15085833265890472</v>
      </c>
      <c r="T1264">
        <v>1.0734972782277192</v>
      </c>
      <c r="U1264">
        <v>2.3108089170621848E-2</v>
      </c>
      <c r="V1264">
        <v>0.20866075634691642</v>
      </c>
      <c r="W1264">
        <v>8.5720205700666172E-2</v>
      </c>
      <c r="X1264">
        <v>1.5658435724302908E-2</v>
      </c>
      <c r="Y1264">
        <v>4.0808079939634121E-3</v>
      </c>
    </row>
    <row r="1265" spans="1:25" x14ac:dyDescent="0.25">
      <c r="A1265" s="827"/>
      <c r="B1265" s="1066">
        <v>1015</v>
      </c>
      <c r="C1265" s="831">
        <v>0.99344306806387861</v>
      </c>
      <c r="D1265" s="831">
        <v>1.0057668113303209</v>
      </c>
      <c r="E1265" s="831">
        <v>0.98387004150486312</v>
      </c>
      <c r="F1265" s="831">
        <v>0.96425351735372111</v>
      </c>
      <c r="G1265" s="831">
        <v>0.99629263120819034</v>
      </c>
      <c r="H1265" s="831">
        <v>0.99821292746374013</v>
      </c>
      <c r="I1265" s="831">
        <v>0.96756849781767917</v>
      </c>
      <c r="K1265">
        <v>1.7309298231840147</v>
      </c>
      <c r="L1265">
        <v>0</v>
      </c>
      <c r="M1265">
        <v>1.4364959580675629E-3</v>
      </c>
      <c r="N1265">
        <v>0.13761520784713563</v>
      </c>
      <c r="O1265">
        <v>1.7907207729018184E-2</v>
      </c>
      <c r="P1265">
        <v>1.9549185573068596E-2</v>
      </c>
      <c r="Q1265">
        <v>2.1366628683363036E-3</v>
      </c>
      <c r="R1265">
        <v>1.427629603220135E-3</v>
      </c>
      <c r="S1265">
        <v>0.14827962193277752</v>
      </c>
      <c r="T1265">
        <v>1.0727983215203025</v>
      </c>
      <c r="U1265">
        <v>2.3476461458185521E-2</v>
      </c>
      <c r="V1265">
        <v>0.20635790474868251</v>
      </c>
      <c r="W1265">
        <v>8.3176907988962198E-2</v>
      </c>
      <c r="X1265">
        <v>1.5755670710396508E-2</v>
      </c>
      <c r="Y1265">
        <v>3.8855371619929868E-3</v>
      </c>
    </row>
    <row r="1266" spans="1:25" x14ac:dyDescent="0.25">
      <c r="A1266" s="827"/>
      <c r="B1266" s="1066">
        <v>1016</v>
      </c>
      <c r="C1266" s="831">
        <v>0.97773760315920433</v>
      </c>
      <c r="D1266" s="831">
        <v>0.9907844451954031</v>
      </c>
      <c r="E1266" s="831">
        <v>0.9749480330175474</v>
      </c>
      <c r="F1266" s="831">
        <v>1.0162700584138935</v>
      </c>
      <c r="G1266" s="831">
        <v>1.0326932414998775</v>
      </c>
      <c r="H1266" s="831">
        <v>0.99710933181051498</v>
      </c>
      <c r="I1266" s="831">
        <v>0.98755197779750215</v>
      </c>
      <c r="K1266">
        <v>1.7454526803918093</v>
      </c>
      <c r="L1266">
        <v>0</v>
      </c>
      <c r="M1266">
        <v>1.4956436362518564E-3</v>
      </c>
      <c r="N1266">
        <v>0.13935327619228166</v>
      </c>
      <c r="O1266">
        <v>1.8318994323373482E-2</v>
      </c>
      <c r="P1266">
        <v>1.9560271695646836E-2</v>
      </c>
      <c r="Q1266">
        <v>2.1633925772540398E-3</v>
      </c>
      <c r="R1266">
        <v>1.486413295700086E-3</v>
      </c>
      <c r="S1266">
        <v>0.15465401476871887</v>
      </c>
      <c r="T1266">
        <v>1.0735969630662869</v>
      </c>
      <c r="U1266">
        <v>2.3853565438155293E-2</v>
      </c>
      <c r="V1266">
        <v>0.20950487058075767</v>
      </c>
      <c r="W1266">
        <v>8.4750704775536465E-2</v>
      </c>
      <c r="X1266">
        <v>1.5660330319464105E-2</v>
      </c>
      <c r="Y1266">
        <v>4.0455269948843952E-3</v>
      </c>
    </row>
    <row r="1267" spans="1:25" x14ac:dyDescent="0.25">
      <c r="A1267" s="827"/>
      <c r="B1267" s="1066">
        <v>1017</v>
      </c>
      <c r="C1267" s="831">
        <v>1.0170662933051178</v>
      </c>
      <c r="D1267" s="831">
        <v>0.98165944425427931</v>
      </c>
      <c r="E1267" s="831">
        <v>0.98214883042233581</v>
      </c>
      <c r="F1267" s="831">
        <v>0.99244385019620251</v>
      </c>
      <c r="G1267" s="831">
        <v>0.97034316905056694</v>
      </c>
      <c r="H1267" s="831">
        <v>0.99988686631695467</v>
      </c>
      <c r="I1267" s="831">
        <v>0.98906467451887059</v>
      </c>
      <c r="K1267">
        <v>1.7285121953257518</v>
      </c>
      <c r="L1267">
        <v>0</v>
      </c>
      <c r="M1267">
        <v>1.4261550220561149E-3</v>
      </c>
      <c r="N1267">
        <v>0.13589706677631533</v>
      </c>
      <c r="O1267">
        <v>1.7684705565840623E-2</v>
      </c>
      <c r="P1267">
        <v>1.9533230423934095E-2</v>
      </c>
      <c r="Q1267">
        <v>2.1022329068781874E-3</v>
      </c>
      <c r="R1267">
        <v>1.4173846410470313E-3</v>
      </c>
      <c r="S1267">
        <v>0.14967094446118903</v>
      </c>
      <c r="T1267">
        <v>1.0729521605428904</v>
      </c>
      <c r="U1267">
        <v>2.2931177693946488E-2</v>
      </c>
      <c r="V1267">
        <v>0.20606574056312277</v>
      </c>
      <c r="W1267">
        <v>8.2236387024457874E-2</v>
      </c>
      <c r="X1267">
        <v>1.5589665995977589E-2</v>
      </c>
      <c r="Y1267">
        <v>3.8576537522086716E-3</v>
      </c>
    </row>
    <row r="1268" spans="1:25" x14ac:dyDescent="0.25">
      <c r="A1268" s="827"/>
      <c r="B1268" s="1066">
        <v>1018</v>
      </c>
      <c r="C1268" s="831">
        <v>1.0016153573430173</v>
      </c>
      <c r="D1268" s="831">
        <v>1.0082166272838418</v>
      </c>
      <c r="E1268" s="831">
        <v>0.97185044126413145</v>
      </c>
      <c r="F1268" s="831">
        <v>0.99554617790829159</v>
      </c>
      <c r="G1268" s="831">
        <v>1.0118430580368982</v>
      </c>
      <c r="H1268" s="831">
        <v>1.0175464729120449</v>
      </c>
      <c r="I1268" s="831">
        <v>1.0117860301988681</v>
      </c>
      <c r="K1268">
        <v>1.7370988211373082</v>
      </c>
      <c r="L1268">
        <v>0</v>
      </c>
      <c r="M1268">
        <v>1.4878346304894861E-3</v>
      </c>
      <c r="N1268">
        <v>0.13730949985715943</v>
      </c>
      <c r="O1268">
        <v>1.7741555358994694E-2</v>
      </c>
      <c r="P1268">
        <v>1.9458421242008965E-2</v>
      </c>
      <c r="Q1268">
        <v>2.0915783074497291E-3</v>
      </c>
      <c r="R1268">
        <v>1.4788241063101401E-3</v>
      </c>
      <c r="S1268">
        <v>0.15503252428012218</v>
      </c>
      <c r="T1268">
        <v>1.0738749387293798</v>
      </c>
      <c r="U1268">
        <v>2.3284914440779753E-2</v>
      </c>
      <c r="V1268">
        <v>0.20525714155800029</v>
      </c>
      <c r="W1268">
        <v>8.3688258058537232E-2</v>
      </c>
      <c r="X1268">
        <v>1.5344128105913553E-2</v>
      </c>
      <c r="Y1268">
        <v>4.0248717231405728E-3</v>
      </c>
    </row>
    <row r="1269" spans="1:25" x14ac:dyDescent="0.25">
      <c r="A1269" s="827"/>
      <c r="B1269" s="1066">
        <v>1019</v>
      </c>
      <c r="C1269" s="831">
        <v>0.98343074889090043</v>
      </c>
      <c r="D1269" s="831">
        <v>1.024535567569967</v>
      </c>
      <c r="E1269" s="831">
        <v>0.96769152041877893</v>
      </c>
      <c r="F1269" s="831">
        <v>1.0080379252758958</v>
      </c>
      <c r="G1269" s="831">
        <v>1.0364952565989085</v>
      </c>
      <c r="H1269" s="831">
        <v>1.0329879767846413</v>
      </c>
      <c r="I1269" s="831">
        <v>0.99181031796362251</v>
      </c>
      <c r="K1269">
        <v>1.7437104251562052</v>
      </c>
      <c r="L1269">
        <v>0</v>
      </c>
      <c r="M1269">
        <v>1.5405980681602108E-3</v>
      </c>
      <c r="N1269">
        <v>0.14035877028375915</v>
      </c>
      <c r="O1269">
        <v>1.7938919783971122E-2</v>
      </c>
      <c r="P1269">
        <v>1.9411475615691898E-2</v>
      </c>
      <c r="Q1269">
        <v>2.1086238806205544E-3</v>
      </c>
      <c r="R1269">
        <v>1.5313955446284041E-3</v>
      </c>
      <c r="S1269">
        <v>0.15486045174797758</v>
      </c>
      <c r="T1269">
        <v>1.0742487230383946</v>
      </c>
      <c r="U1269">
        <v>2.3715475568163794E-2</v>
      </c>
      <c r="V1269">
        <v>0.20575374816449707</v>
      </c>
      <c r="W1269">
        <v>8.5795764099918612E-2</v>
      </c>
      <c r="X1269">
        <v>1.535972164866964E-2</v>
      </c>
      <c r="Y1269">
        <v>4.1679538480729039E-3</v>
      </c>
    </row>
    <row r="1270" spans="1:25" x14ac:dyDescent="0.25">
      <c r="A1270" s="827"/>
      <c r="B1270" s="1066">
        <v>1020</v>
      </c>
      <c r="C1270" s="831">
        <v>1.0140085872442972</v>
      </c>
      <c r="D1270" s="831">
        <v>0.99280925621149529</v>
      </c>
      <c r="E1270" s="831">
        <v>1.0086256673129934</v>
      </c>
      <c r="F1270" s="831">
        <v>0.97250900332907986</v>
      </c>
      <c r="G1270" s="831">
        <v>1.031019348494534</v>
      </c>
      <c r="H1270" s="831">
        <v>1.0065179316395887</v>
      </c>
      <c r="I1270" s="831">
        <v>1.0283661255513235</v>
      </c>
      <c r="K1270">
        <v>1.7383777798960416</v>
      </c>
      <c r="L1270">
        <v>0</v>
      </c>
      <c r="M1270">
        <v>1.3549530904294065E-3</v>
      </c>
      <c r="N1270">
        <v>0.1402067578090635</v>
      </c>
      <c r="O1270">
        <v>1.7647382835181517E-2</v>
      </c>
      <c r="P1270">
        <v>1.9968286772519602E-2</v>
      </c>
      <c r="Q1270">
        <v>2.1565332050869465E-3</v>
      </c>
      <c r="R1270">
        <v>1.3466678012606917E-3</v>
      </c>
      <c r="S1270">
        <v>0.15584060983311387</v>
      </c>
      <c r="T1270">
        <v>1.0705980511395614</v>
      </c>
      <c r="U1270">
        <v>2.3000325827304133E-2</v>
      </c>
      <c r="V1270">
        <v>0.20535285983381479</v>
      </c>
      <c r="W1270">
        <v>8.3316193106455438E-2</v>
      </c>
      <c r="X1270">
        <v>1.6633878996998225E-2</v>
      </c>
      <c r="Y1270">
        <v>3.6651858261102263E-3</v>
      </c>
    </row>
    <row r="1271" spans="1:25" x14ac:dyDescent="0.25">
      <c r="A1271" s="827"/>
      <c r="B1271" s="1066">
        <v>1021</v>
      </c>
      <c r="C1271" s="831">
        <v>0.99929892957694122</v>
      </c>
      <c r="D1271" s="831">
        <v>1.0062445204506658</v>
      </c>
      <c r="E1271" s="831">
        <v>1.0144197822287562</v>
      </c>
      <c r="F1271" s="831">
        <v>0.99590509495374813</v>
      </c>
      <c r="G1271" s="831">
        <v>0.97332211913777278</v>
      </c>
      <c r="H1271" s="831">
        <v>0.96163142955014935</v>
      </c>
      <c r="I1271" s="831">
        <v>0.98949013430112076</v>
      </c>
      <c r="K1271">
        <v>1.7235442101247311</v>
      </c>
      <c r="L1271">
        <v>0</v>
      </c>
      <c r="M1271">
        <v>1.2897557567076853E-3</v>
      </c>
      <c r="N1271">
        <v>0.13584583639707704</v>
      </c>
      <c r="O1271">
        <v>1.7798445987490315E-2</v>
      </c>
      <c r="P1271">
        <v>1.994974866698036E-2</v>
      </c>
      <c r="Q1271">
        <v>2.1900292600673041E-3</v>
      </c>
      <c r="R1271">
        <v>1.2814919630718903E-3</v>
      </c>
      <c r="S1271">
        <v>0.1481278333713836</v>
      </c>
      <c r="T1271">
        <v>1.0700864143438866</v>
      </c>
      <c r="U1271">
        <v>2.3338890103862028E-2</v>
      </c>
      <c r="V1271">
        <v>0.20568578271314528</v>
      </c>
      <c r="W1271">
        <v>8.0407912256585681E-2</v>
      </c>
      <c r="X1271">
        <v>1.6633782138118686E-2</v>
      </c>
      <c r="Y1271">
        <v>3.4877986797695925E-3</v>
      </c>
    </row>
    <row r="1272" spans="1:25" x14ac:dyDescent="0.25">
      <c r="A1272" s="827"/>
      <c r="B1272" s="1066">
        <v>1022</v>
      </c>
      <c r="C1272" s="831">
        <v>0.98293210921745888</v>
      </c>
      <c r="D1272" s="831">
        <v>0.98839958226397417</v>
      </c>
      <c r="E1272" s="831">
        <v>0.972085913097823</v>
      </c>
      <c r="F1272" s="831">
        <v>1.0152286369143244</v>
      </c>
      <c r="G1272" s="831">
        <v>0.95720941455460662</v>
      </c>
      <c r="H1272" s="831">
        <v>1.0196871508042382</v>
      </c>
      <c r="I1272" s="831">
        <v>1.0059363447764187</v>
      </c>
      <c r="K1272">
        <v>1.7527412336041468</v>
      </c>
      <c r="L1272">
        <v>0</v>
      </c>
      <c r="M1272">
        <v>1.5322583441787017E-3</v>
      </c>
      <c r="N1272">
        <v>0.14151633102430666</v>
      </c>
      <c r="O1272">
        <v>1.8242111030256341E-2</v>
      </c>
      <c r="P1272">
        <v>1.9566218768622922E-2</v>
      </c>
      <c r="Q1272">
        <v>2.1476058286505708E-3</v>
      </c>
      <c r="R1272">
        <v>1.5230132426603826E-3</v>
      </c>
      <c r="S1272">
        <v>0.15852509464704526</v>
      </c>
      <c r="T1272">
        <v>1.0738537950172153</v>
      </c>
      <c r="U1272">
        <v>2.3727506385838735E-2</v>
      </c>
      <c r="V1272">
        <v>0.20914719840869714</v>
      </c>
      <c r="W1272">
        <v>8.6238092474576367E-2</v>
      </c>
      <c r="X1272">
        <v>1.5641385135113293E-2</v>
      </c>
      <c r="Y1272">
        <v>4.14513998534105E-3</v>
      </c>
    </row>
    <row r="1273" spans="1:25" x14ac:dyDescent="0.25">
      <c r="A1273" s="827"/>
      <c r="B1273" s="1066">
        <v>1023</v>
      </c>
      <c r="C1273" s="831">
        <v>0.97820580638848298</v>
      </c>
      <c r="D1273" s="831">
        <v>1.021902242887025</v>
      </c>
      <c r="E1273" s="831">
        <v>0.99587166772848457</v>
      </c>
      <c r="F1273" s="831">
        <v>0.99080724121908714</v>
      </c>
      <c r="G1273" s="831">
        <v>1.0147626633111222</v>
      </c>
      <c r="H1273" s="831">
        <v>1.0131098876407074</v>
      </c>
      <c r="I1273" s="831">
        <v>1.0305999829405368</v>
      </c>
      <c r="K1273">
        <v>1.7510359076347637</v>
      </c>
      <c r="L1273">
        <v>0</v>
      </c>
      <c r="M1273">
        <v>1.4334046957058895E-3</v>
      </c>
      <c r="N1273">
        <v>0.14255915604381184</v>
      </c>
      <c r="O1273">
        <v>1.8055717238162211E-2</v>
      </c>
      <c r="P1273">
        <v>1.9885655640342881E-2</v>
      </c>
      <c r="Q1273">
        <v>2.1835045614461541E-3</v>
      </c>
      <c r="R1273">
        <v>1.4246762849796609E-3</v>
      </c>
      <c r="S1273">
        <v>0.16046049635911289</v>
      </c>
      <c r="T1273">
        <v>1.0717287353727425</v>
      </c>
      <c r="U1273">
        <v>2.3842148294344633E-2</v>
      </c>
      <c r="V1273">
        <v>0.20656341635026407</v>
      </c>
      <c r="W1273">
        <v>8.545543022024342E-2</v>
      </c>
      <c r="X1273">
        <v>1.6432876761714475E-2</v>
      </c>
      <c r="Y1273">
        <v>3.8774992033035133E-3</v>
      </c>
    </row>
    <row r="1274" spans="1:25" x14ac:dyDescent="0.25">
      <c r="A1274" s="827"/>
      <c r="B1274" s="1066">
        <v>1024</v>
      </c>
      <c r="C1274" s="831">
        <v>0.96088447231167473</v>
      </c>
      <c r="D1274" s="831">
        <v>0.98742159397521057</v>
      </c>
      <c r="E1274" s="831">
        <v>1.0176988412919057</v>
      </c>
      <c r="F1274" s="831">
        <v>1.010438462240012</v>
      </c>
      <c r="G1274" s="831">
        <v>1.0350746366190615</v>
      </c>
      <c r="H1274" s="831">
        <v>1.0158565395349533</v>
      </c>
      <c r="I1274" s="831">
        <v>0.98966162723525752</v>
      </c>
      <c r="K1274">
        <v>1.7681806091762722</v>
      </c>
      <c r="L1274">
        <v>0</v>
      </c>
      <c r="M1274">
        <v>1.4192570392661914E-3</v>
      </c>
      <c r="N1274">
        <v>0.15107014945696642</v>
      </c>
      <c r="O1274">
        <v>1.8669060616466226E-2</v>
      </c>
      <c r="P1274">
        <v>2.0245812664182485E-2</v>
      </c>
      <c r="Q1274">
        <v>2.3011011630805324E-3</v>
      </c>
      <c r="R1274">
        <v>1.410662154476449E-3</v>
      </c>
      <c r="S1274">
        <v>0.15931978220464849</v>
      </c>
      <c r="T1274">
        <v>1.0697974270313744</v>
      </c>
      <c r="U1274">
        <v>2.4271937543328525E-2</v>
      </c>
      <c r="V1274">
        <v>0.21177595704763563</v>
      </c>
      <c r="W1274">
        <v>8.9221093554120112E-2</v>
      </c>
      <c r="X1274">
        <v>1.767752541942872E-2</v>
      </c>
      <c r="Y1274">
        <v>3.8393573598306504E-3</v>
      </c>
    </row>
    <row r="1275" spans="1:25" x14ac:dyDescent="0.25">
      <c r="A1275" s="827"/>
      <c r="B1275" s="1066">
        <v>1025</v>
      </c>
      <c r="C1275" s="831">
        <v>0.997620325702119</v>
      </c>
      <c r="D1275" s="831">
        <v>1.0115432806091089</v>
      </c>
      <c r="E1275" s="831">
        <v>1.0127958474272243</v>
      </c>
      <c r="F1275" s="831">
        <v>1.0029671949890755</v>
      </c>
      <c r="G1275" s="831">
        <v>0.97058125099982728</v>
      </c>
      <c r="H1275" s="831">
        <v>1.0280649897444358</v>
      </c>
      <c r="I1275" s="831">
        <v>0.996676000156554</v>
      </c>
      <c r="K1275">
        <v>1.7444160007677787</v>
      </c>
      <c r="L1275">
        <v>0</v>
      </c>
      <c r="M1275">
        <v>1.3826329646197189E-3</v>
      </c>
      <c r="N1275">
        <v>0.14495514454812447</v>
      </c>
      <c r="O1275">
        <v>1.778607453088658E-2</v>
      </c>
      <c r="P1275">
        <v>2.0003364288977372E-2</v>
      </c>
      <c r="Q1275">
        <v>2.1859006903016801E-3</v>
      </c>
      <c r="R1275">
        <v>1.3743430143646213E-3</v>
      </c>
      <c r="S1275">
        <v>0.15386984485334032</v>
      </c>
      <c r="T1275">
        <v>1.0702296843025574</v>
      </c>
      <c r="U1275">
        <v>2.337816030551396E-2</v>
      </c>
      <c r="V1275">
        <v>0.20538537689548902</v>
      </c>
      <c r="W1275">
        <v>8.5894252442142632E-2</v>
      </c>
      <c r="X1275">
        <v>1.6995979227651774E-2</v>
      </c>
      <c r="Y1275">
        <v>3.7405086330475749E-3</v>
      </c>
    </row>
    <row r="1276" spans="1:25" x14ac:dyDescent="0.25">
      <c r="A1276" s="827"/>
      <c r="B1276" s="1066">
        <v>1026</v>
      </c>
      <c r="C1276" s="831">
        <v>0.98679083688673563</v>
      </c>
      <c r="D1276" s="831">
        <v>0.96333735980528035</v>
      </c>
      <c r="E1276" s="831">
        <v>1.00305914356065</v>
      </c>
      <c r="F1276" s="831">
        <v>0.98631257683114504</v>
      </c>
      <c r="G1276" s="831">
        <v>1.0260244488910373</v>
      </c>
      <c r="H1276" s="831">
        <v>0.96164161297796447</v>
      </c>
      <c r="I1276" s="831">
        <v>0.98419038140989623</v>
      </c>
      <c r="K1276">
        <v>1.7400847144470641</v>
      </c>
      <c r="L1276">
        <v>0</v>
      </c>
      <c r="M1276">
        <v>1.3644741891552844E-3</v>
      </c>
      <c r="N1276">
        <v>0.13873126715573356</v>
      </c>
      <c r="O1276">
        <v>1.8384025637982547E-2</v>
      </c>
      <c r="P1276">
        <v>1.9927326986344425E-2</v>
      </c>
      <c r="Q1276">
        <v>2.2284797143278597E-3</v>
      </c>
      <c r="R1276">
        <v>1.3557629869130937E-3</v>
      </c>
      <c r="S1276">
        <v>0.15192706070806419</v>
      </c>
      <c r="T1276">
        <v>1.0710907864491472</v>
      </c>
      <c r="U1276">
        <v>2.3634722806997573E-2</v>
      </c>
      <c r="V1276">
        <v>0.21116556232895062</v>
      </c>
      <c r="W1276">
        <v>8.275271601208388E-2</v>
      </c>
      <c r="X1276">
        <v>1.6561537926445689E-2</v>
      </c>
      <c r="Y1276">
        <v>3.6899399232289205E-3</v>
      </c>
    </row>
    <row r="1277" spans="1:25" x14ac:dyDescent="0.25">
      <c r="A1277" s="827"/>
      <c r="B1277" s="1066">
        <v>1027</v>
      </c>
      <c r="C1277" s="831">
        <v>0.98856694179965876</v>
      </c>
      <c r="D1277" s="831">
        <v>1.0220162241536881</v>
      </c>
      <c r="E1277" s="831">
        <v>1.0207057884459847</v>
      </c>
      <c r="F1277" s="831">
        <v>0.99479546204900349</v>
      </c>
      <c r="G1277" s="831">
        <v>0.99483724006329077</v>
      </c>
      <c r="H1277" s="831">
        <v>0.99781840825883439</v>
      </c>
      <c r="I1277" s="831">
        <v>0.98767446523857405</v>
      </c>
      <c r="K1277">
        <v>1.7368487218188211</v>
      </c>
      <c r="L1277">
        <v>0</v>
      </c>
      <c r="M1277">
        <v>1.3256353052182074E-3</v>
      </c>
      <c r="N1277">
        <v>0.14241092495376509</v>
      </c>
      <c r="O1277">
        <v>1.786557560619078E-2</v>
      </c>
      <c r="P1277">
        <v>2.0075054949150972E-2</v>
      </c>
      <c r="Q1277">
        <v>2.2148893750923754E-3</v>
      </c>
      <c r="R1277">
        <v>1.3174393541595263E-3</v>
      </c>
      <c r="S1277">
        <v>0.15107239694827224</v>
      </c>
      <c r="T1277">
        <v>1.0695327791360392</v>
      </c>
      <c r="U1277">
        <v>2.3592259575102921E-2</v>
      </c>
      <c r="V1277">
        <v>0.20541927880346897</v>
      </c>
      <c r="W1277">
        <v>8.3936432864636479E-2</v>
      </c>
      <c r="X1277">
        <v>1.7151689929902226E-2</v>
      </c>
      <c r="Y1277">
        <v>3.5856356282558508E-3</v>
      </c>
    </row>
    <row r="1278" spans="1:25" x14ac:dyDescent="0.25">
      <c r="A1278" s="827"/>
      <c r="B1278" s="1066">
        <v>1028</v>
      </c>
      <c r="C1278" s="831">
        <v>1.0227832250961597</v>
      </c>
      <c r="D1278" s="831">
        <v>0.98549392673296288</v>
      </c>
      <c r="E1278" s="831">
        <v>0.99876564881085839</v>
      </c>
      <c r="F1278" s="831">
        <v>1.0010884715394739</v>
      </c>
      <c r="G1278" s="831">
        <v>0.99331418575360542</v>
      </c>
      <c r="H1278" s="831">
        <v>1.0188978789851315</v>
      </c>
      <c r="I1278" s="831">
        <v>1.0007158727279617</v>
      </c>
      <c r="K1278">
        <v>1.7339833797176796</v>
      </c>
      <c r="L1278">
        <v>0</v>
      </c>
      <c r="M1278">
        <v>1.3930592972531879E-3</v>
      </c>
      <c r="N1278">
        <v>0.13980726789667633</v>
      </c>
      <c r="O1278">
        <v>1.7554767460379823E-2</v>
      </c>
      <c r="P1278">
        <v>1.9771641573211519E-2</v>
      </c>
      <c r="Q1278">
        <v>2.1228072454660377E-3</v>
      </c>
      <c r="R1278">
        <v>1.3846495937114957E-3</v>
      </c>
      <c r="S1278">
        <v>0.15168777277244697</v>
      </c>
      <c r="T1278">
        <v>1.0714716357637031</v>
      </c>
      <c r="U1278">
        <v>2.2803001971517911E-2</v>
      </c>
      <c r="V1278">
        <v>0.20510974029584375</v>
      </c>
      <c r="W1278">
        <v>8.3639745815574429E-2</v>
      </c>
      <c r="X1278">
        <v>1.6254848881934472E-2</v>
      </c>
      <c r="Y1278">
        <v>3.768559744466798E-3</v>
      </c>
    </row>
    <row r="1279" spans="1:25" x14ac:dyDescent="0.25">
      <c r="A1279" s="827"/>
      <c r="B1279" s="1066">
        <v>1029</v>
      </c>
      <c r="C1279" s="831">
        <v>0.97681287058650934</v>
      </c>
      <c r="D1279" s="831">
        <v>0.99330819935700043</v>
      </c>
      <c r="E1279" s="831">
        <v>0.95972234812402657</v>
      </c>
      <c r="F1279" s="831">
        <v>0.97282226995730925</v>
      </c>
      <c r="G1279" s="831">
        <v>1.0174143593361793</v>
      </c>
      <c r="H1279" s="831">
        <v>1.0182996626996568</v>
      </c>
      <c r="I1279" s="831">
        <v>1.0312426586559531</v>
      </c>
      <c r="K1279">
        <v>1.7569008147801362</v>
      </c>
      <c r="L1279">
        <v>0</v>
      </c>
      <c r="M1279">
        <v>1.5766123801829032E-3</v>
      </c>
      <c r="N1279">
        <v>0.14010306924029384</v>
      </c>
      <c r="O1279">
        <v>1.8315199235561689E-2</v>
      </c>
      <c r="P1279">
        <v>1.9460883358985555E-2</v>
      </c>
      <c r="Q1279">
        <v>2.1299421415722827E-3</v>
      </c>
      <c r="R1279">
        <v>1.5670828365660901E-3</v>
      </c>
      <c r="S1279">
        <v>0.16308907050514446</v>
      </c>
      <c r="T1279">
        <v>1.0749667641681451</v>
      </c>
      <c r="U1279">
        <v>2.3876147213641393E-2</v>
      </c>
      <c r="V1279">
        <v>0.20936626449499784</v>
      </c>
      <c r="W1279">
        <v>8.6119831034607464E-2</v>
      </c>
      <c r="X1279">
        <v>1.5218090038390154E-2</v>
      </c>
      <c r="Y1279">
        <v>4.2650828924146603E-3</v>
      </c>
    </row>
    <row r="1280" spans="1:25" x14ac:dyDescent="0.25">
      <c r="A1280" s="827"/>
      <c r="B1280" s="1066">
        <v>1030</v>
      </c>
      <c r="C1280" s="831">
        <v>0.98167542907218752</v>
      </c>
      <c r="D1280" s="831">
        <v>1.0056657430311393</v>
      </c>
      <c r="E1280" s="831">
        <v>0.99610164943267632</v>
      </c>
      <c r="F1280" s="831">
        <v>0.97206964836265075</v>
      </c>
      <c r="G1280" s="831">
        <v>0.99780921213349316</v>
      </c>
      <c r="H1280" s="831">
        <v>0.98153472068452219</v>
      </c>
      <c r="I1280" s="831">
        <v>0.99884851493480831</v>
      </c>
      <c r="K1280">
        <v>1.7387018312936664</v>
      </c>
      <c r="L1280">
        <v>0</v>
      </c>
      <c r="M1280">
        <v>1.3931958829931661E-3</v>
      </c>
      <c r="N1280">
        <v>0.1386332032532388</v>
      </c>
      <c r="O1280">
        <v>1.8122691196528727E-2</v>
      </c>
      <c r="P1280">
        <v>1.9810592068779026E-2</v>
      </c>
      <c r="Q1280">
        <v>2.1892563577327281E-3</v>
      </c>
      <c r="R1280">
        <v>1.3844507410912933E-3</v>
      </c>
      <c r="S1280">
        <v>0.15369955989708453</v>
      </c>
      <c r="T1280">
        <v>1.0717082923760433</v>
      </c>
      <c r="U1280">
        <v>2.3757880871426183E-2</v>
      </c>
      <c r="V1280">
        <v>0.20766127941616189</v>
      </c>
      <c r="W1280">
        <v>8.3088950555676819E-2</v>
      </c>
      <c r="X1280">
        <v>1.6270851909708159E-2</v>
      </c>
      <c r="Y1280">
        <v>3.7680185331863559E-3</v>
      </c>
    </row>
    <row r="1281" spans="1:25" x14ac:dyDescent="0.25">
      <c r="A1281" s="827"/>
      <c r="B1281" s="1066">
        <v>1031</v>
      </c>
      <c r="C1281" s="831">
        <v>1.0097928466865222</v>
      </c>
      <c r="D1281" s="831">
        <v>0.96316211067686386</v>
      </c>
      <c r="E1281" s="831">
        <v>1.0051537040743539</v>
      </c>
      <c r="F1281" s="831">
        <v>1.0091117086983865</v>
      </c>
      <c r="G1281" s="831">
        <v>0.99078527259702287</v>
      </c>
      <c r="H1281" s="831">
        <v>1.0108270041569634</v>
      </c>
      <c r="I1281" s="831">
        <v>1.0400983420516579</v>
      </c>
      <c r="K1281">
        <v>1.751877678346339</v>
      </c>
      <c r="L1281">
        <v>0</v>
      </c>
      <c r="M1281">
        <v>1.3955350592885084E-3</v>
      </c>
      <c r="N1281">
        <v>0.14286135332836661</v>
      </c>
      <c r="O1281">
        <v>1.796674420179506E-2</v>
      </c>
      <c r="P1281">
        <v>2.003262252464311E-2</v>
      </c>
      <c r="Q1281">
        <v>2.1824441503536904E-3</v>
      </c>
      <c r="R1281">
        <v>1.3870592071916243E-3</v>
      </c>
      <c r="S1281">
        <v>0.16061124805921706</v>
      </c>
      <c r="T1281">
        <v>1.0709052435914195</v>
      </c>
      <c r="U1281">
        <v>2.3096348894560335E-2</v>
      </c>
      <c r="V1281">
        <v>0.20862372114049424</v>
      </c>
      <c r="W1281">
        <v>8.5094603788026052E-2</v>
      </c>
      <c r="X1281">
        <v>1.6736706601527949E-2</v>
      </c>
      <c r="Y1281">
        <v>3.7751179180308386E-3</v>
      </c>
    </row>
    <row r="1282" spans="1:25" x14ac:dyDescent="0.25">
      <c r="A1282" s="827"/>
      <c r="B1282" s="1066">
        <v>1032</v>
      </c>
      <c r="C1282" s="831">
        <v>1.0063201094469068</v>
      </c>
      <c r="D1282" s="831">
        <v>1.0103473091998234</v>
      </c>
      <c r="E1282" s="831">
        <v>1.0350570113766258</v>
      </c>
      <c r="F1282" s="831">
        <v>0.99108446265309758</v>
      </c>
      <c r="G1282" s="831">
        <v>1.0143895132774303</v>
      </c>
      <c r="H1282" s="831">
        <v>0.99946381258160955</v>
      </c>
      <c r="I1282" s="831">
        <v>1.0217401793072616</v>
      </c>
      <c r="K1282">
        <v>1.7378611760151705</v>
      </c>
      <c r="L1282">
        <v>0</v>
      </c>
      <c r="M1282">
        <v>1.2719810711736611E-3</v>
      </c>
      <c r="N1282">
        <v>0.14287536994918967</v>
      </c>
      <c r="O1282">
        <v>1.7641750348366167E-2</v>
      </c>
      <c r="P1282">
        <v>2.0296820641007549E-2</v>
      </c>
      <c r="Q1282">
        <v>2.2163623073690551E-3</v>
      </c>
      <c r="R1282">
        <v>1.2641370718659342E-3</v>
      </c>
      <c r="S1282">
        <v>0.15437749546420837</v>
      </c>
      <c r="T1282">
        <v>1.0682744187976676</v>
      </c>
      <c r="U1282">
        <v>2.3176052708637335E-2</v>
      </c>
      <c r="V1282">
        <v>0.20456716459400454</v>
      </c>
      <c r="W1282">
        <v>8.340302665146665E-2</v>
      </c>
      <c r="X1282">
        <v>1.7599994165614082E-2</v>
      </c>
      <c r="Y1282">
        <v>3.4405643869453301E-3</v>
      </c>
    </row>
    <row r="1283" spans="1:25" x14ac:dyDescent="0.25">
      <c r="A1283" s="827"/>
      <c r="B1283" s="1066">
        <v>1033</v>
      </c>
      <c r="C1283" s="831">
        <v>1.0068532769114868</v>
      </c>
      <c r="D1283" s="831">
        <v>1.0073846054357813</v>
      </c>
      <c r="E1283" s="831">
        <v>0.99141668611720901</v>
      </c>
      <c r="F1283" s="831">
        <v>1.0188503938092783</v>
      </c>
      <c r="G1283" s="831">
        <v>0.96282995404091165</v>
      </c>
      <c r="H1283" s="831">
        <v>1.0459476108230659</v>
      </c>
      <c r="I1283" s="831">
        <v>0.98164205408411942</v>
      </c>
      <c r="K1283">
        <v>1.7407639290239638</v>
      </c>
      <c r="L1283">
        <v>0</v>
      </c>
      <c r="M1283">
        <v>1.460708495045896E-3</v>
      </c>
      <c r="N1283">
        <v>0.14330264986288582</v>
      </c>
      <c r="O1283">
        <v>1.7655854357518829E-2</v>
      </c>
      <c r="P1283">
        <v>1.9671911243255864E-2</v>
      </c>
      <c r="Q1283">
        <v>2.1231025762846428E-3</v>
      </c>
      <c r="R1283">
        <v>1.45210303326579E-3</v>
      </c>
      <c r="S1283">
        <v>0.15166363009149428</v>
      </c>
      <c r="T1283">
        <v>1.072125130621385</v>
      </c>
      <c r="U1283">
        <v>2.3163780098968155E-2</v>
      </c>
      <c r="V1283">
        <v>0.20477564012755087</v>
      </c>
      <c r="W1283">
        <v>8.6164528577117497E-2</v>
      </c>
      <c r="X1283">
        <v>1.6174161158369164E-2</v>
      </c>
      <c r="Y1283">
        <v>3.952145770913215E-3</v>
      </c>
    </row>
    <row r="1284" spans="1:25" x14ac:dyDescent="0.25">
      <c r="A1284" s="827"/>
      <c r="B1284" s="1066">
        <v>1034</v>
      </c>
      <c r="C1284" s="831">
        <v>0.99947384658238791</v>
      </c>
      <c r="D1284" s="831">
        <v>1.0261637473431136</v>
      </c>
      <c r="E1284" s="831">
        <v>0.96962541579274697</v>
      </c>
      <c r="F1284" s="831">
        <v>1.0115332409136106</v>
      </c>
      <c r="G1284" s="831">
        <v>0.99040009991810984</v>
      </c>
      <c r="H1284" s="831">
        <v>0.99955149375502561</v>
      </c>
      <c r="I1284" s="831">
        <v>0.96096427907646387</v>
      </c>
      <c r="K1284">
        <v>1.7200083087646287</v>
      </c>
      <c r="L1284">
        <v>0</v>
      </c>
      <c r="M1284">
        <v>1.4598240416911674E-3</v>
      </c>
      <c r="N1284">
        <v>0.13377720063721171</v>
      </c>
      <c r="O1284">
        <v>1.7638318336952844E-2</v>
      </c>
      <c r="P1284">
        <v>1.927997708888456E-2</v>
      </c>
      <c r="Q1284">
        <v>2.0776618072009339E-3</v>
      </c>
      <c r="R1284">
        <v>1.4508111607999627E-3</v>
      </c>
      <c r="S1284">
        <v>0.14525755044385361</v>
      </c>
      <c r="T1284">
        <v>1.0740748329639032</v>
      </c>
      <c r="U1284">
        <v>2.3334805586011548E-2</v>
      </c>
      <c r="V1284">
        <v>0.20388971348166143</v>
      </c>
      <c r="W1284">
        <v>8.1662175329307821E-2</v>
      </c>
      <c r="X1284">
        <v>1.5076456250605622E-2</v>
      </c>
      <c r="Y1284">
        <v>3.9486297199268763E-3</v>
      </c>
    </row>
    <row r="1285" spans="1:25" x14ac:dyDescent="0.25">
      <c r="A1285" s="827"/>
      <c r="B1285" s="1066">
        <v>1035</v>
      </c>
      <c r="C1285" s="831">
        <v>0.99067738701624442</v>
      </c>
      <c r="D1285" s="831">
        <v>0.99869380197025237</v>
      </c>
      <c r="E1285" s="831">
        <v>1.0097705506627899</v>
      </c>
      <c r="F1285" s="831">
        <v>1.0302569235012711</v>
      </c>
      <c r="G1285" s="831">
        <v>0.98764368633125743</v>
      </c>
      <c r="H1285" s="831">
        <v>0.99611559683554529</v>
      </c>
      <c r="I1285" s="831">
        <v>0.97628095896487255</v>
      </c>
      <c r="K1285">
        <v>1.738326453776905</v>
      </c>
      <c r="L1285">
        <v>0</v>
      </c>
      <c r="M1285">
        <v>1.3655620648032796E-3</v>
      </c>
      <c r="N1285">
        <v>0.14179886864669708</v>
      </c>
      <c r="O1285">
        <v>1.80146801133527E-2</v>
      </c>
      <c r="P1285">
        <v>1.9942433116151244E-2</v>
      </c>
      <c r="Q1285">
        <v>2.2050097608943141E-3</v>
      </c>
      <c r="R1285">
        <v>1.3571206314754287E-3</v>
      </c>
      <c r="S1285">
        <v>0.15032410094480608</v>
      </c>
      <c r="T1285">
        <v>1.0704968540265123</v>
      </c>
      <c r="U1285">
        <v>2.3542000861195338E-2</v>
      </c>
      <c r="V1285">
        <v>0.20731672542726656</v>
      </c>
      <c r="W1285">
        <v>8.4196724488610611E-2</v>
      </c>
      <c r="X1285">
        <v>1.680386284056673E-2</v>
      </c>
      <c r="Y1285">
        <v>3.693634984180186E-3</v>
      </c>
    </row>
    <row r="1286" spans="1:25" x14ac:dyDescent="0.25">
      <c r="A1286" s="827"/>
      <c r="B1286" s="1066">
        <v>1036</v>
      </c>
      <c r="C1286" s="831">
        <v>0.98914139147438718</v>
      </c>
      <c r="D1286" s="831">
        <v>1.0423207639991541</v>
      </c>
      <c r="E1286" s="831">
        <v>0.99165773157343584</v>
      </c>
      <c r="F1286" s="831">
        <v>1.0344427992642624</v>
      </c>
      <c r="G1286" s="831">
        <v>1.0041252203785265</v>
      </c>
      <c r="H1286" s="831">
        <v>1.0060593812184042</v>
      </c>
      <c r="I1286" s="831">
        <v>1.0141870941103297</v>
      </c>
      <c r="K1286">
        <v>1.7341997137223137</v>
      </c>
      <c r="L1286">
        <v>0</v>
      </c>
      <c r="M1286">
        <v>1.4076180186707581E-3</v>
      </c>
      <c r="N1286">
        <v>0.13816306892188043</v>
      </c>
      <c r="O1286">
        <v>1.7697384779130104E-2</v>
      </c>
      <c r="P1286">
        <v>1.9701431403508607E-2</v>
      </c>
      <c r="Q1286">
        <v>2.1344947850882676E-3</v>
      </c>
      <c r="R1286">
        <v>1.3989728711037497E-3</v>
      </c>
      <c r="S1286">
        <v>0.15437665688591989</v>
      </c>
      <c r="T1286">
        <v>1.0721036637438344</v>
      </c>
      <c r="U1286">
        <v>2.3578558231740002E-2</v>
      </c>
      <c r="V1286">
        <v>0.20358286422565045</v>
      </c>
      <c r="W1286">
        <v>8.3060437025289022E-2</v>
      </c>
      <c r="X1286">
        <v>1.6002255883977922E-2</v>
      </c>
      <c r="Y1286">
        <v>3.8075429838613905E-3</v>
      </c>
    </row>
    <row r="1287" spans="1:25" x14ac:dyDescent="0.25">
      <c r="A1287" s="827"/>
      <c r="B1287" s="1066">
        <v>1037</v>
      </c>
      <c r="C1287" s="831">
        <v>0.96796391712735008</v>
      </c>
      <c r="D1287" s="831">
        <v>1.007944205306633</v>
      </c>
      <c r="E1287" s="831">
        <v>1.0050638517586488</v>
      </c>
      <c r="F1287" s="831">
        <v>1.031071913355232</v>
      </c>
      <c r="G1287" s="831">
        <v>0.9896052031449335</v>
      </c>
      <c r="H1287" s="831">
        <v>1.0098790220085549</v>
      </c>
      <c r="I1287" s="831">
        <v>1.0039468020791855</v>
      </c>
      <c r="K1287">
        <v>1.7567577739659845</v>
      </c>
      <c r="L1287">
        <v>0</v>
      </c>
      <c r="M1287">
        <v>1.4250915450724506E-3</v>
      </c>
      <c r="N1287">
        <v>0.14584212792149617</v>
      </c>
      <c r="O1287">
        <v>1.836058895794514E-2</v>
      </c>
      <c r="P1287">
        <v>2.0022973558032068E-2</v>
      </c>
      <c r="Q1287">
        <v>2.2384734668285228E-3</v>
      </c>
      <c r="R1287">
        <v>1.4163956650549484E-3</v>
      </c>
      <c r="S1287">
        <v>0.1586283328818488</v>
      </c>
      <c r="T1287">
        <v>1.0709131995940793</v>
      </c>
      <c r="U1287">
        <v>2.4094418692297972E-2</v>
      </c>
      <c r="V1287">
        <v>0.2089938860669952</v>
      </c>
      <c r="W1287">
        <v>8.6875408276036362E-2</v>
      </c>
      <c r="X1287">
        <v>1.6942098344867651E-2</v>
      </c>
      <c r="Y1287">
        <v>3.8549620855740708E-3</v>
      </c>
    </row>
    <row r="1288" spans="1:25" x14ac:dyDescent="0.25">
      <c r="A1288" s="827"/>
      <c r="B1288" s="1066">
        <v>1038</v>
      </c>
      <c r="C1288" s="831">
        <v>0.9903779435072384</v>
      </c>
      <c r="D1288" s="831">
        <v>0.9696168285350748</v>
      </c>
      <c r="E1288" s="831">
        <v>0.97645028668117484</v>
      </c>
      <c r="F1288" s="831">
        <v>0.95527058790051078</v>
      </c>
      <c r="G1288" s="831">
        <v>1.0211039551769143</v>
      </c>
      <c r="H1288" s="831">
        <v>0.99748848256325617</v>
      </c>
      <c r="I1288" s="831">
        <v>0.97006269286512392</v>
      </c>
      <c r="K1288">
        <v>1.7419196776508512</v>
      </c>
      <c r="L1288">
        <v>0</v>
      </c>
      <c r="M1288">
        <v>1.4869609757191919E-3</v>
      </c>
      <c r="N1288">
        <v>0.13919635225546698</v>
      </c>
      <c r="O1288">
        <v>1.8263392145638824E-2</v>
      </c>
      <c r="P1288">
        <v>1.954108724128505E-2</v>
      </c>
      <c r="Q1288">
        <v>2.1562683358515257E-3</v>
      </c>
      <c r="R1288">
        <v>1.4778040059195508E-3</v>
      </c>
      <c r="S1288">
        <v>0.15135699959198995</v>
      </c>
      <c r="T1288">
        <v>1.0734622815354162</v>
      </c>
      <c r="U1288">
        <v>2.3549118850234866E-2</v>
      </c>
      <c r="V1288">
        <v>0.2101371702676047</v>
      </c>
      <c r="W1288">
        <v>8.4566802731935883E-2</v>
      </c>
      <c r="X1288">
        <v>1.5677266319073794E-2</v>
      </c>
      <c r="Y1288">
        <v>4.0220953461533922E-3</v>
      </c>
    </row>
    <row r="1289" spans="1:25" x14ac:dyDescent="0.25">
      <c r="A1289" s="827"/>
      <c r="B1289" s="1066">
        <v>1039</v>
      </c>
      <c r="C1289" s="831">
        <v>0.96931170324622473</v>
      </c>
      <c r="D1289" s="831">
        <v>0.99421569462353165</v>
      </c>
      <c r="E1289" s="831">
        <v>1.0153496844792467</v>
      </c>
      <c r="F1289" s="831">
        <v>0.98698755740100874</v>
      </c>
      <c r="G1289" s="831">
        <v>1.0031603316246882</v>
      </c>
      <c r="H1289" s="831">
        <v>1.017610572715159</v>
      </c>
      <c r="I1289" s="831">
        <v>1.0309097339952273</v>
      </c>
      <c r="K1289">
        <v>1.7681143989424826</v>
      </c>
      <c r="L1289">
        <v>0</v>
      </c>
      <c r="M1289">
        <v>1.4119622313728401E-3</v>
      </c>
      <c r="N1289">
        <v>0.14920164241543454</v>
      </c>
      <c r="O1289">
        <v>1.8449295563691345E-2</v>
      </c>
      <c r="P1289">
        <v>2.02553326754649E-2</v>
      </c>
      <c r="Q1289">
        <v>2.2699806386295542E-3</v>
      </c>
      <c r="R1289">
        <v>1.4034214686570567E-3</v>
      </c>
      <c r="S1289">
        <v>0.16418298148472585</v>
      </c>
      <c r="T1289">
        <v>1.0700044196226861</v>
      </c>
      <c r="U1289">
        <v>2.4060916442250741E-2</v>
      </c>
      <c r="V1289">
        <v>0.21013811297968507</v>
      </c>
      <c r="W1289">
        <v>8.8257694294470918E-2</v>
      </c>
      <c r="X1289">
        <v>1.748291298823779E-2</v>
      </c>
      <c r="Y1289">
        <v>3.8196505999217012E-3</v>
      </c>
    </row>
    <row r="1290" spans="1:25" x14ac:dyDescent="0.25">
      <c r="A1290" s="827"/>
      <c r="B1290" s="1066">
        <v>1040</v>
      </c>
      <c r="C1290" s="831">
        <v>0.96833830055117875</v>
      </c>
      <c r="D1290" s="831">
        <v>0.99519190329502283</v>
      </c>
      <c r="E1290" s="831">
        <v>0.99426329534566116</v>
      </c>
      <c r="F1290" s="831">
        <v>0.9921440229068309</v>
      </c>
      <c r="G1290" s="831">
        <v>0.99784621388773942</v>
      </c>
      <c r="H1290" s="831">
        <v>0.97939765959233016</v>
      </c>
      <c r="I1290" s="831">
        <v>0.98597338565901482</v>
      </c>
      <c r="K1290">
        <v>1.7462050745053024</v>
      </c>
      <c r="L1290">
        <v>0</v>
      </c>
      <c r="M1290">
        <v>1.4214894318855052E-3</v>
      </c>
      <c r="N1290">
        <v>0.14064047061538265</v>
      </c>
      <c r="O1290">
        <v>1.8459628291002068E-2</v>
      </c>
      <c r="P1290">
        <v>1.9832363093948101E-2</v>
      </c>
      <c r="Q1290">
        <v>2.2239221619758101E-3</v>
      </c>
      <c r="R1290">
        <v>1.4125548428408166E-3</v>
      </c>
      <c r="S1290">
        <v>0.15432089679258465</v>
      </c>
      <c r="T1290">
        <v>1.0718717588014963</v>
      </c>
      <c r="U1290">
        <v>2.4085103196917833E-2</v>
      </c>
      <c r="V1290">
        <v>0.21015874683821023</v>
      </c>
      <c r="W1290">
        <v>8.4398447453141873E-2</v>
      </c>
      <c r="X1290">
        <v>1.6378163216052944E-2</v>
      </c>
      <c r="Y1290">
        <v>3.8445086336339066E-3</v>
      </c>
    </row>
    <row r="1291" spans="1:25" x14ac:dyDescent="0.25">
      <c r="A1291" s="827"/>
      <c r="B1291" s="1066">
        <v>1041</v>
      </c>
      <c r="C1291" s="831">
        <v>0.98883170029838185</v>
      </c>
      <c r="D1291" s="831">
        <v>0.97565028088515315</v>
      </c>
      <c r="E1291" s="831">
        <v>0.97929934146227826</v>
      </c>
      <c r="F1291" s="831">
        <v>0.98912491572574945</v>
      </c>
      <c r="G1291" s="831">
        <v>0.97307338449159253</v>
      </c>
      <c r="H1291" s="831">
        <v>0.99489170862984322</v>
      </c>
      <c r="I1291" s="831">
        <v>1.0176825966380896</v>
      </c>
      <c r="K1291">
        <v>1.7481535905111216</v>
      </c>
      <c r="L1291">
        <v>0</v>
      </c>
      <c r="M1291">
        <v>1.472402192299125E-3</v>
      </c>
      <c r="N1291">
        <v>0.13905996553111272</v>
      </c>
      <c r="O1291">
        <v>1.8240456772262919E-2</v>
      </c>
      <c r="P1291">
        <v>1.9669975104536545E-2</v>
      </c>
      <c r="Q1291">
        <v>2.1609279663160606E-3</v>
      </c>
      <c r="R1291">
        <v>1.4633065477539595E-3</v>
      </c>
      <c r="S1291">
        <v>0.15843099217901632</v>
      </c>
      <c r="T1291">
        <v>1.0732070879807714</v>
      </c>
      <c r="U1291">
        <v>2.358594277597046E-2</v>
      </c>
      <c r="V1291">
        <v>0.20971519874202715</v>
      </c>
      <c r="W1291">
        <v>8.4316839888976702E-2</v>
      </c>
      <c r="X1291">
        <v>1.5792661170561759E-2</v>
      </c>
      <c r="Y1291">
        <v>3.9826380441124526E-3</v>
      </c>
    </row>
    <row r="1292" spans="1:25" x14ac:dyDescent="0.25">
      <c r="A1292" s="827"/>
      <c r="B1292" s="1066">
        <v>1042</v>
      </c>
      <c r="C1292" s="831">
        <v>1.0037522341725136</v>
      </c>
      <c r="D1292" s="831">
        <v>0.98891966161441358</v>
      </c>
      <c r="E1292" s="831">
        <v>0.99880533224032364</v>
      </c>
      <c r="F1292" s="831">
        <v>0.97912760276769639</v>
      </c>
      <c r="G1292" s="831">
        <v>1.0358301422252503</v>
      </c>
      <c r="H1292" s="831">
        <v>1.0222952367167344</v>
      </c>
      <c r="I1292" s="831">
        <v>0.97715367472069392</v>
      </c>
      <c r="K1292">
        <v>1.7406458266724203</v>
      </c>
      <c r="L1292">
        <v>0</v>
      </c>
      <c r="M1292">
        <v>1.4218479233988899E-3</v>
      </c>
      <c r="N1292">
        <v>0.14271674555570718</v>
      </c>
      <c r="O1292">
        <v>1.7859465990550553E-2</v>
      </c>
      <c r="P1292">
        <v>1.9791106344534532E-2</v>
      </c>
      <c r="Q1292">
        <v>2.1603577219669839E-3</v>
      </c>
      <c r="R1292">
        <v>1.4132905167139847E-3</v>
      </c>
      <c r="S1292">
        <v>0.15094534135251331</v>
      </c>
      <c r="T1292">
        <v>1.0714681125067609</v>
      </c>
      <c r="U1292">
        <v>2.32353434486052E-2</v>
      </c>
      <c r="V1292">
        <v>0.20680784042690295</v>
      </c>
      <c r="W1292">
        <v>8.5378021549335104E-2</v>
      </c>
      <c r="X1292">
        <v>1.6445538286828536E-2</v>
      </c>
      <c r="Y1292">
        <v>3.8465108954018434E-3</v>
      </c>
    </row>
    <row r="1293" spans="1:25" x14ac:dyDescent="0.25">
      <c r="A1293" s="827"/>
      <c r="B1293" s="1066">
        <v>1043</v>
      </c>
      <c r="C1293" s="831">
        <v>0.95856529328674156</v>
      </c>
      <c r="D1293" s="831">
        <v>1.0321855104899078</v>
      </c>
      <c r="E1293" s="831">
        <v>0.99736860535404981</v>
      </c>
      <c r="F1293" s="831">
        <v>0.99386249460041942</v>
      </c>
      <c r="G1293" s="831">
        <v>0.99999733323095663</v>
      </c>
      <c r="H1293" s="831">
        <v>1.0159696956608804</v>
      </c>
      <c r="I1293" s="831">
        <v>0.98975374555241391</v>
      </c>
      <c r="K1293">
        <v>1.7541640433438794</v>
      </c>
      <c r="L1293">
        <v>0</v>
      </c>
      <c r="M1293">
        <v>1.4556998477924855E-3</v>
      </c>
      <c r="N1293">
        <v>0.14545429871570972</v>
      </c>
      <c r="O1293">
        <v>1.8342552175986654E-2</v>
      </c>
      <c r="P1293">
        <v>1.9880524927259779E-2</v>
      </c>
      <c r="Q1293">
        <v>2.2233367684624506E-3</v>
      </c>
      <c r="R1293">
        <v>1.4468535155818174E-3</v>
      </c>
      <c r="S1293">
        <v>0.15681665068292927</v>
      </c>
      <c r="T1293">
        <v>1.0715957088533743</v>
      </c>
      <c r="U1293">
        <v>2.4330661731278184E-2</v>
      </c>
      <c r="V1293">
        <v>0.20783817006001823</v>
      </c>
      <c r="W1293">
        <v>8.7101418021141561E-2</v>
      </c>
      <c r="X1293">
        <v>1.6651709425649277E-2</v>
      </c>
      <c r="Y1293">
        <v>3.9378583142804808E-3</v>
      </c>
    </row>
    <row r="1294" spans="1:25" x14ac:dyDescent="0.25">
      <c r="A1294" s="827"/>
      <c r="B1294" s="1066">
        <v>1044</v>
      </c>
      <c r="C1294" s="831">
        <v>0.99537661208463468</v>
      </c>
      <c r="D1294" s="831">
        <v>1.034381169534333</v>
      </c>
      <c r="E1294" s="831">
        <v>0.96422910841366316</v>
      </c>
      <c r="F1294" s="831">
        <v>0.99668331974975799</v>
      </c>
      <c r="G1294" s="831">
        <v>0.96527086694202113</v>
      </c>
      <c r="H1294" s="831">
        <v>0.99522269183992484</v>
      </c>
      <c r="I1294" s="831">
        <v>1.0340337425355659</v>
      </c>
      <c r="K1294">
        <v>1.7293856652277044</v>
      </c>
      <c r="L1294">
        <v>0</v>
      </c>
      <c r="M1294">
        <v>1.470778931914298E-3</v>
      </c>
      <c r="N1294">
        <v>0.13252763851678323</v>
      </c>
      <c r="O1294">
        <v>1.7647273488175012E-2</v>
      </c>
      <c r="P1294">
        <v>1.9348217811367065E-2</v>
      </c>
      <c r="Q1294">
        <v>2.0685943534926492E-3</v>
      </c>
      <c r="R1294">
        <v>1.4616530851024269E-3</v>
      </c>
      <c r="S1294">
        <v>0.15611103062546422</v>
      </c>
      <c r="T1294">
        <v>1.0745604025867401</v>
      </c>
      <c r="U1294">
        <v>2.3430857843302563E-2</v>
      </c>
      <c r="V1294">
        <v>0.20360375858086921</v>
      </c>
      <c r="W1294">
        <v>8.1205700092263203E-2</v>
      </c>
      <c r="X1294">
        <v>1.4913179312218297E-2</v>
      </c>
      <c r="Y1294">
        <v>3.9781378638387979E-3</v>
      </c>
    </row>
    <row r="1295" spans="1:25" x14ac:dyDescent="0.25">
      <c r="A1295" s="827"/>
      <c r="B1295" s="1066">
        <v>1045</v>
      </c>
      <c r="C1295" s="831">
        <v>0.99303916373185053</v>
      </c>
      <c r="D1295" s="831">
        <v>1.0048624138286686</v>
      </c>
      <c r="E1295" s="831">
        <v>0.97130609935773493</v>
      </c>
      <c r="F1295" s="831">
        <v>0.9824957678852152</v>
      </c>
      <c r="G1295" s="831">
        <v>1.0049240140329188</v>
      </c>
      <c r="H1295" s="831">
        <v>0.97185415492066918</v>
      </c>
      <c r="I1295" s="831">
        <v>1.0075907867106089</v>
      </c>
      <c r="K1295">
        <v>1.7281181015648643</v>
      </c>
      <c r="L1295">
        <v>0</v>
      </c>
      <c r="M1295">
        <v>1.4370968884890346E-3</v>
      </c>
      <c r="N1295">
        <v>0.13236441936648058</v>
      </c>
      <c r="O1295">
        <v>1.7921788216012806E-2</v>
      </c>
      <c r="P1295">
        <v>1.9437824591154687E-2</v>
      </c>
      <c r="Q1295">
        <v>2.1110773370199196E-3</v>
      </c>
      <c r="R1295">
        <v>1.4279869151936288E-3</v>
      </c>
      <c r="S1295">
        <v>0.15261776616820921</v>
      </c>
      <c r="T1295">
        <v>1.0739238247564686</v>
      </c>
      <c r="U1295">
        <v>2.3486010169686444E-2</v>
      </c>
      <c r="V1295">
        <v>0.20648698427688797</v>
      </c>
      <c r="W1295">
        <v>8.0704957802847255E-2</v>
      </c>
      <c r="X1295">
        <v>1.5186049205995268E-2</v>
      </c>
      <c r="Y1295">
        <v>3.8865096473969774E-3</v>
      </c>
    </row>
    <row r="1296" spans="1:25" x14ac:dyDescent="0.25">
      <c r="A1296" s="827"/>
      <c r="B1296" s="1066">
        <v>1046</v>
      </c>
      <c r="C1296" s="831">
        <v>0.98352467666594678</v>
      </c>
      <c r="D1296" s="831">
        <v>1.0172339112257101</v>
      </c>
      <c r="E1296" s="831">
        <v>0.99565352317985656</v>
      </c>
      <c r="F1296" s="831">
        <v>1.0206369062217517</v>
      </c>
      <c r="G1296" s="831">
        <v>1.0122655969586991</v>
      </c>
      <c r="H1296" s="831">
        <v>0.96076294223603831</v>
      </c>
      <c r="I1296" s="831">
        <v>0.99651339395833893</v>
      </c>
      <c r="K1296">
        <v>1.7277185779987794</v>
      </c>
      <c r="L1296">
        <v>0</v>
      </c>
      <c r="M1296">
        <v>1.3554096008111692E-3</v>
      </c>
      <c r="N1296">
        <v>0.1346660296616593</v>
      </c>
      <c r="O1296">
        <v>1.7995271464399776E-2</v>
      </c>
      <c r="P1296">
        <v>1.9747655865637617E-2</v>
      </c>
      <c r="Q1296">
        <v>2.1749084243014001E-3</v>
      </c>
      <c r="R1296">
        <v>1.3467096482944947E-3</v>
      </c>
      <c r="S1296">
        <v>0.1508292363006154</v>
      </c>
      <c r="T1296">
        <v>1.071748128011903</v>
      </c>
      <c r="U1296">
        <v>2.3713210712073093E-2</v>
      </c>
      <c r="V1296">
        <v>0.20639881881426853</v>
      </c>
      <c r="W1296">
        <v>8.073607306037614E-2</v>
      </c>
      <c r="X1296">
        <v>1.6052645916120344E-2</v>
      </c>
      <c r="Y1296">
        <v>3.6652997199413668E-3</v>
      </c>
    </row>
    <row r="1297" spans="1:25" x14ac:dyDescent="0.25">
      <c r="A1297" s="827"/>
      <c r="B1297" s="1066">
        <v>1047</v>
      </c>
      <c r="C1297" s="831">
        <v>1.0266768730462275</v>
      </c>
      <c r="D1297" s="831">
        <v>0.99774845928374467</v>
      </c>
      <c r="E1297" s="831">
        <v>1.0050852177139564</v>
      </c>
      <c r="F1297" s="831">
        <v>0.9884810652848478</v>
      </c>
      <c r="G1297" s="831">
        <v>1.0079615592120958</v>
      </c>
      <c r="H1297" s="831">
        <v>0.96630033839922591</v>
      </c>
      <c r="I1297" s="831">
        <v>0.99570188877418919</v>
      </c>
      <c r="K1297">
        <v>1.7128094346977119</v>
      </c>
      <c r="L1297">
        <v>0</v>
      </c>
      <c r="M1297">
        <v>1.2914824758823709E-3</v>
      </c>
      <c r="N1297">
        <v>0.13214162533175225</v>
      </c>
      <c r="O1297">
        <v>1.7390471780123398E-2</v>
      </c>
      <c r="P1297">
        <v>1.9756179537528631E-2</v>
      </c>
      <c r="Q1297">
        <v>2.1184811710046794E-3</v>
      </c>
      <c r="R1297">
        <v>1.2832532811620949E-3</v>
      </c>
      <c r="S1297">
        <v>0.14591892520541455</v>
      </c>
      <c r="T1297">
        <v>1.0709113077109398</v>
      </c>
      <c r="U1297">
        <v>2.2716522121613059E-2</v>
      </c>
      <c r="V1297">
        <v>0.20358529423710631</v>
      </c>
      <c r="W1297">
        <v>7.8713130284394542E-2</v>
      </c>
      <c r="X1297">
        <v>1.6073134105562294E-2</v>
      </c>
      <c r="Y1297">
        <v>3.4925924069927768E-3</v>
      </c>
    </row>
    <row r="1298" spans="1:25" x14ac:dyDescent="0.25">
      <c r="A1298" s="827"/>
      <c r="B1298" s="1066">
        <v>1048</v>
      </c>
      <c r="C1298" s="831">
        <v>1.0077122728863115</v>
      </c>
      <c r="D1298" s="831">
        <v>1.0002360469054696</v>
      </c>
      <c r="E1298" s="831">
        <v>0.97053158921127991</v>
      </c>
      <c r="F1298" s="831">
        <v>0.98499965450531513</v>
      </c>
      <c r="G1298" s="831">
        <v>0.96217900458225281</v>
      </c>
      <c r="H1298" s="831">
        <v>1.0308318730668642</v>
      </c>
      <c r="I1298" s="831">
        <v>1.0036662883264389</v>
      </c>
      <c r="K1298">
        <v>1.7385247478437804</v>
      </c>
      <c r="L1298">
        <v>0</v>
      </c>
      <c r="M1298">
        <v>1.5076975854639843E-3</v>
      </c>
      <c r="N1298">
        <v>0.13858307332757885</v>
      </c>
      <c r="O1298">
        <v>1.7697775621914123E-2</v>
      </c>
      <c r="P1298">
        <v>1.9429929232864525E-2</v>
      </c>
      <c r="Q1298">
        <v>2.0822545181825333E-3</v>
      </c>
      <c r="R1298">
        <v>1.4986902673102404E-3</v>
      </c>
      <c r="S1298">
        <v>0.15431296593855812</v>
      </c>
      <c r="T1298">
        <v>1.0739934007820908</v>
      </c>
      <c r="U1298">
        <v>2.3144034786340653E-2</v>
      </c>
      <c r="V1298">
        <v>0.20533672921334709</v>
      </c>
      <c r="W1298">
        <v>8.4542296294745314E-2</v>
      </c>
      <c r="X1298">
        <v>1.5332354581805421E-2</v>
      </c>
      <c r="Y1298">
        <v>4.0789408645046316E-3</v>
      </c>
    </row>
    <row r="1299" spans="1:25" x14ac:dyDescent="0.25">
      <c r="A1299" s="827"/>
      <c r="B1299" s="1066">
        <v>1049</v>
      </c>
      <c r="C1299" s="831">
        <v>1.0115117749549793</v>
      </c>
      <c r="D1299" s="831">
        <v>0.9636684408495596</v>
      </c>
      <c r="E1299" s="831">
        <v>0.99475933633265257</v>
      </c>
      <c r="F1299" s="831">
        <v>0.99879815713767794</v>
      </c>
      <c r="G1299" s="831">
        <v>1.0084855018621965</v>
      </c>
      <c r="H1299" s="831">
        <v>0.97671981014761466</v>
      </c>
      <c r="I1299" s="831">
        <v>0.99639375880886927</v>
      </c>
      <c r="K1299">
        <v>1.7321088651088847</v>
      </c>
      <c r="L1299">
        <v>0</v>
      </c>
      <c r="M1299">
        <v>1.3756187648987313E-3</v>
      </c>
      <c r="N1299">
        <v>0.13631229277843257</v>
      </c>
      <c r="O1299">
        <v>1.7931923876768199E-2</v>
      </c>
      <c r="P1299">
        <v>1.9757495582639638E-2</v>
      </c>
      <c r="Q1299">
        <v>2.1556686656888017E-3</v>
      </c>
      <c r="R1299">
        <v>1.3669717438705294E-3</v>
      </c>
      <c r="S1299">
        <v>0.15111460891281617</v>
      </c>
      <c r="T1299">
        <v>1.0718276382896776</v>
      </c>
      <c r="U1299">
        <v>2.3057099754811308E-2</v>
      </c>
      <c r="V1299">
        <v>0.20838714422822405</v>
      </c>
      <c r="W1299">
        <v>8.1773238639062745E-2</v>
      </c>
      <c r="X1299">
        <v>1.6079954937087866E-2</v>
      </c>
      <c r="Y1299">
        <v>3.7204464647013209E-3</v>
      </c>
    </row>
    <row r="1300" spans="1:25" x14ac:dyDescent="0.25">
      <c r="A1300" s="827"/>
      <c r="B1300" s="1066">
        <v>1050</v>
      </c>
      <c r="C1300" s="831">
        <v>0.99432285037271317</v>
      </c>
      <c r="D1300" s="831">
        <v>0.99839218510486294</v>
      </c>
      <c r="E1300" s="831">
        <v>1.01552551389628</v>
      </c>
      <c r="F1300" s="831">
        <v>0.99750642831701974</v>
      </c>
      <c r="G1300" s="831">
        <v>0.98023393752621957</v>
      </c>
      <c r="H1300" s="831">
        <v>0.99556350508018332</v>
      </c>
      <c r="I1300" s="831">
        <v>0.96737643218642844</v>
      </c>
      <c r="K1300">
        <v>1.7355647989161356</v>
      </c>
      <c r="L1300">
        <v>0</v>
      </c>
      <c r="M1300">
        <v>1.3435727662728153E-3</v>
      </c>
      <c r="N1300">
        <v>0.14203309693053282</v>
      </c>
      <c r="O1300">
        <v>1.7951089642599213E-2</v>
      </c>
      <c r="P1300">
        <v>1.9987187734595055E-2</v>
      </c>
      <c r="Q1300">
        <v>2.2098297468762761E-3</v>
      </c>
      <c r="R1300">
        <v>1.3352628620148727E-3</v>
      </c>
      <c r="S1300">
        <v>0.14838693692026608</v>
      </c>
      <c r="T1300">
        <v>1.0699889194317336</v>
      </c>
      <c r="U1300">
        <v>2.3455689356390572E-2</v>
      </c>
      <c r="V1300">
        <v>0.20694205599971022</v>
      </c>
      <c r="W1300">
        <v>8.4007263765222842E-2</v>
      </c>
      <c r="X1300">
        <v>1.6976893951345197E-2</v>
      </c>
      <c r="Y1300">
        <v>3.6341453411203183E-3</v>
      </c>
    </row>
    <row r="1301" spans="1:25" x14ac:dyDescent="0.25">
      <c r="A1301" s="827"/>
      <c r="B1301" s="1066">
        <v>1051</v>
      </c>
      <c r="C1301" s="831">
        <v>1.0149505037110109</v>
      </c>
      <c r="D1301" s="831">
        <v>1.0166912805911306</v>
      </c>
      <c r="E1301" s="831">
        <v>0.99717102862269913</v>
      </c>
      <c r="F1301" s="831">
        <v>0.99558815958712221</v>
      </c>
      <c r="G1301" s="831">
        <v>1.0117998308609755</v>
      </c>
      <c r="H1301" s="831">
        <v>1.0049614030751426</v>
      </c>
      <c r="I1301" s="831">
        <v>0.99056158295595509</v>
      </c>
      <c r="K1301">
        <v>1.7237538402356067</v>
      </c>
      <c r="L1301">
        <v>0</v>
      </c>
      <c r="M1301">
        <v>1.3698140184711933E-3</v>
      </c>
      <c r="N1301">
        <v>0.13678028340080323</v>
      </c>
      <c r="O1301">
        <v>1.7442292230401397E-2</v>
      </c>
      <c r="P1301">
        <v>1.9680215752399175E-2</v>
      </c>
      <c r="Q1301">
        <v>2.1112082778639556E-3</v>
      </c>
      <c r="R1301">
        <v>1.3614086630572703E-3</v>
      </c>
      <c r="S1301">
        <v>0.14839177573520138</v>
      </c>
      <c r="T1301">
        <v>1.0716132618207161</v>
      </c>
      <c r="U1301">
        <v>2.2978980564104322E-2</v>
      </c>
      <c r="V1301">
        <v>0.20310501974780515</v>
      </c>
      <c r="W1301">
        <v>8.1918310784871246E-2</v>
      </c>
      <c r="X1301">
        <v>1.6035591684256008E-2</v>
      </c>
      <c r="Y1301">
        <v>3.7053055925967276E-3</v>
      </c>
    </row>
    <row r="1302" spans="1:25" x14ac:dyDescent="0.25">
      <c r="A1302" s="827"/>
      <c r="B1302" s="1066">
        <v>1052</v>
      </c>
      <c r="C1302" s="831">
        <v>0.97454056810795031</v>
      </c>
      <c r="D1302" s="831">
        <v>0.98815274224149885</v>
      </c>
      <c r="E1302" s="831">
        <v>1.0336824442134582</v>
      </c>
      <c r="F1302" s="831">
        <v>1.0030813800110947</v>
      </c>
      <c r="G1302" s="831">
        <v>1.0373950338738498</v>
      </c>
      <c r="H1302" s="831">
        <v>1.0058170504484771</v>
      </c>
      <c r="I1302" s="831">
        <v>0.99389542727454472</v>
      </c>
      <c r="K1302">
        <v>1.7595183988281309</v>
      </c>
      <c r="L1302">
        <v>0</v>
      </c>
      <c r="M1302">
        <v>1.33905258007989E-3</v>
      </c>
      <c r="N1302">
        <v>0.14977650786337773</v>
      </c>
      <c r="O1302">
        <v>1.8401274218309411E-2</v>
      </c>
      <c r="P1302">
        <v>2.0402917296224565E-2</v>
      </c>
      <c r="Q1302">
        <v>2.3044488643316394E-3</v>
      </c>
      <c r="R1302">
        <v>1.3308619675639869E-3</v>
      </c>
      <c r="S1302">
        <v>0.15697171398661933</v>
      </c>
      <c r="T1302">
        <v>1.0683946068076449</v>
      </c>
      <c r="U1302">
        <v>2.3931818398882448E-2</v>
      </c>
      <c r="V1302">
        <v>0.21012404972936</v>
      </c>
      <c r="W1302">
        <v>8.7511871773262237E-2</v>
      </c>
      <c r="X1302">
        <v>1.8085212945453719E-2</v>
      </c>
      <c r="Y1302">
        <v>3.6221675571794731E-3</v>
      </c>
    </row>
    <row r="1303" spans="1:25" x14ac:dyDescent="0.25">
      <c r="A1303" s="827"/>
      <c r="B1303" s="1066">
        <v>1053</v>
      </c>
      <c r="C1303" s="831">
        <v>0.97914988923282575</v>
      </c>
      <c r="D1303" s="831">
        <v>0.99826040523920068</v>
      </c>
      <c r="E1303" s="831">
        <v>0.97861702031734588</v>
      </c>
      <c r="F1303" s="831">
        <v>1.0106274320960571</v>
      </c>
      <c r="G1303" s="831">
        <v>1.0304015223415341</v>
      </c>
      <c r="H1303" s="831">
        <v>1.0299795126275644</v>
      </c>
      <c r="I1303" s="831">
        <v>1.0001137357593812</v>
      </c>
      <c r="K1303">
        <v>1.7551961090281936</v>
      </c>
      <c r="L1303">
        <v>0</v>
      </c>
      <c r="M1303">
        <v>1.5256875043286931E-3</v>
      </c>
      <c r="N1303">
        <v>0.14381525305828463</v>
      </c>
      <c r="O1303">
        <v>1.823035093260153E-2</v>
      </c>
      <c r="P1303">
        <v>1.9647717720724406E-2</v>
      </c>
      <c r="Q1303">
        <v>2.1623181076549165E-3</v>
      </c>
      <c r="R1303">
        <v>1.5165666372953196E-3</v>
      </c>
      <c r="S1303">
        <v>0.15831981255496705</v>
      </c>
      <c r="T1303">
        <v>1.0732681766144727</v>
      </c>
      <c r="U1303">
        <v>2.3819160023167273E-2</v>
      </c>
      <c r="V1303">
        <v>0.2086347843800499</v>
      </c>
      <c r="W1303">
        <v>8.7241459700081805E-2</v>
      </c>
      <c r="X1303">
        <v>1.5938602352560512E-2</v>
      </c>
      <c r="Y1303">
        <v>4.1275944506602366E-3</v>
      </c>
    </row>
    <row r="1304" spans="1:25" x14ac:dyDescent="0.25">
      <c r="A1304" s="827"/>
      <c r="B1304" s="1066">
        <v>1054</v>
      </c>
      <c r="C1304" s="831">
        <v>0.96363506731072002</v>
      </c>
      <c r="D1304" s="831">
        <v>1.0381287982011151</v>
      </c>
      <c r="E1304" s="831">
        <v>1.0316273400980409</v>
      </c>
      <c r="F1304" s="831">
        <v>1.0123543634597731</v>
      </c>
      <c r="G1304" s="831">
        <v>1.0081072052709594</v>
      </c>
      <c r="H1304" s="831">
        <v>0.96626462581146844</v>
      </c>
      <c r="I1304" s="831">
        <v>1.0187228163620539</v>
      </c>
      <c r="K1304">
        <v>1.7428809826642573</v>
      </c>
      <c r="L1304">
        <v>0</v>
      </c>
      <c r="M1304">
        <v>1.2778222165912938E-3</v>
      </c>
      <c r="N1304">
        <v>0.14197959122226969</v>
      </c>
      <c r="O1304">
        <v>1.8198851246284873E-2</v>
      </c>
      <c r="P1304">
        <v>2.0324453634255051E-2</v>
      </c>
      <c r="Q1304">
        <v>2.2836345922274369E-3</v>
      </c>
      <c r="R1304">
        <v>1.2696536482321649E-3</v>
      </c>
      <c r="S1304">
        <v>0.15646742331678867</v>
      </c>
      <c r="T1304">
        <v>1.0685744326882192</v>
      </c>
      <c r="U1304">
        <v>2.4202655849159684E-2</v>
      </c>
      <c r="V1304">
        <v>0.20673530592098607</v>
      </c>
      <c r="W1304">
        <v>8.3070378227643557E-2</v>
      </c>
      <c r="X1304">
        <v>1.7596845845505776E-2</v>
      </c>
      <c r="Y1304">
        <v>3.4555786892752991E-3</v>
      </c>
    </row>
    <row r="1305" spans="1:25" x14ac:dyDescent="0.25">
      <c r="A1305" s="827"/>
      <c r="B1305" s="1066">
        <v>1055</v>
      </c>
      <c r="C1305" s="831">
        <v>1.0091404030628772</v>
      </c>
      <c r="D1305" s="831">
        <v>1.0071241600026779</v>
      </c>
      <c r="E1305" s="831">
        <v>0.99765613945113429</v>
      </c>
      <c r="F1305" s="831">
        <v>0.98687466426518655</v>
      </c>
      <c r="G1305" s="831">
        <v>0.97239038157325186</v>
      </c>
      <c r="H1305" s="831">
        <v>0.96834102470832506</v>
      </c>
      <c r="I1305" s="831">
        <v>0.98429693396160256</v>
      </c>
      <c r="K1305">
        <v>1.7174141387780057</v>
      </c>
      <c r="L1305">
        <v>0</v>
      </c>
      <c r="M1305">
        <v>1.331820167928872E-3</v>
      </c>
      <c r="N1305">
        <v>0.13315692986749297</v>
      </c>
      <c r="O1305">
        <v>1.7617900533214076E-2</v>
      </c>
      <c r="P1305">
        <v>1.9680301939306213E-2</v>
      </c>
      <c r="Q1305">
        <v>2.1318629166456235E-3</v>
      </c>
      <c r="R1305">
        <v>1.3233453827257151E-3</v>
      </c>
      <c r="S1305">
        <v>0.14632889741741978</v>
      </c>
      <c r="T1305">
        <v>1.0715701665905382</v>
      </c>
      <c r="U1305">
        <v>2.3111281470364411E-2</v>
      </c>
      <c r="V1305">
        <v>0.20456069595335782</v>
      </c>
      <c r="W1305">
        <v>7.9721753969144549E-2</v>
      </c>
      <c r="X1305">
        <v>1.5941113014634561E-2</v>
      </c>
      <c r="Y1305">
        <v>3.6017098910912232E-3</v>
      </c>
    </row>
    <row r="1306" spans="1:25" x14ac:dyDescent="0.25">
      <c r="A1306" s="827"/>
      <c r="B1306" s="1066">
        <v>1056</v>
      </c>
      <c r="C1306" s="831">
        <v>0.99054745843544389</v>
      </c>
      <c r="D1306" s="831">
        <v>0.96114694283157054</v>
      </c>
      <c r="E1306" s="831">
        <v>1.0128070771312665</v>
      </c>
      <c r="F1306" s="831">
        <v>1.0179341408475793</v>
      </c>
      <c r="G1306" s="831">
        <v>1.0007621806875981</v>
      </c>
      <c r="H1306" s="831">
        <v>1.0437885023379367</v>
      </c>
      <c r="I1306" s="831">
        <v>1.0384339056758389</v>
      </c>
      <c r="K1306">
        <v>1.7747102000044537</v>
      </c>
      <c r="L1306">
        <v>0</v>
      </c>
      <c r="M1306">
        <v>1.4468964911421051E-3</v>
      </c>
      <c r="N1306">
        <v>0.15171537951547623</v>
      </c>
      <c r="O1306">
        <v>1.8333285065752311E-2</v>
      </c>
      <c r="P1306">
        <v>2.0251676462649606E-2</v>
      </c>
      <c r="Q1306">
        <v>2.2436878364271548E-3</v>
      </c>
      <c r="R1306">
        <v>1.4383876821949452E-3</v>
      </c>
      <c r="S1306">
        <v>0.16613824698438667</v>
      </c>
      <c r="T1306">
        <v>1.0702286932309606</v>
      </c>
      <c r="U1306">
        <v>2.3545088829101436E-2</v>
      </c>
      <c r="V1306">
        <v>0.21096135779418662</v>
      </c>
      <c r="W1306">
        <v>8.9899395474026284E-2</v>
      </c>
      <c r="X1306">
        <v>1.7487080513869289E-2</v>
      </c>
      <c r="Y1306">
        <v>3.9148171065626416E-3</v>
      </c>
    </row>
    <row r="1307" spans="1:25" x14ac:dyDescent="0.25">
      <c r="A1307" s="827"/>
      <c r="B1307" s="1066">
        <v>1057</v>
      </c>
      <c r="C1307" s="831">
        <v>0.97138531667553474</v>
      </c>
      <c r="D1307" s="831">
        <v>0.99414751567081527</v>
      </c>
      <c r="E1307" s="831">
        <v>1.01909354436609</v>
      </c>
      <c r="F1307" s="831">
        <v>0.97914511569054208</v>
      </c>
      <c r="G1307" s="831">
        <v>1.0258819019244243</v>
      </c>
      <c r="H1307" s="831">
        <v>0.97827116568834049</v>
      </c>
      <c r="I1307" s="831">
        <v>1.0247288533283943</v>
      </c>
      <c r="K1307">
        <v>1.753728769330992</v>
      </c>
      <c r="L1307">
        <v>0</v>
      </c>
      <c r="M1307">
        <v>1.3438567976949249E-3</v>
      </c>
      <c r="N1307">
        <v>0.14363135730013532</v>
      </c>
      <c r="O1307">
        <v>1.8410484182870442E-2</v>
      </c>
      <c r="P1307">
        <v>2.0242966574467391E-2</v>
      </c>
      <c r="Q1307">
        <v>2.2736521254939916E-3</v>
      </c>
      <c r="R1307">
        <v>1.3354011575413994E-3</v>
      </c>
      <c r="S1307">
        <v>0.15986781945084522</v>
      </c>
      <c r="T1307">
        <v>1.0696746336248573</v>
      </c>
      <c r="U1307">
        <v>2.4009553673430148E-2</v>
      </c>
      <c r="V1307">
        <v>0.20990897309807724</v>
      </c>
      <c r="W1307">
        <v>8.4747904973169627E-2</v>
      </c>
      <c r="X1307">
        <v>1.7335358231842332E-2</v>
      </c>
      <c r="Y1307">
        <v>3.634521735954415E-3</v>
      </c>
    </row>
    <row r="1308" spans="1:25" x14ac:dyDescent="0.25">
      <c r="A1308" s="827"/>
      <c r="B1308" s="1066">
        <v>1058</v>
      </c>
      <c r="C1308" s="831">
        <v>0.97458821813221796</v>
      </c>
      <c r="D1308" s="831">
        <v>1.0249395459825694</v>
      </c>
      <c r="E1308" s="831">
        <v>1.0249342181576566</v>
      </c>
      <c r="F1308" s="831">
        <v>1.0222876486429084</v>
      </c>
      <c r="G1308" s="831">
        <v>1.0268848014222121</v>
      </c>
      <c r="H1308" s="831">
        <v>1.0156479250694586</v>
      </c>
      <c r="I1308" s="831">
        <v>1.0060858532226227</v>
      </c>
      <c r="K1308">
        <v>1.7530099581451055</v>
      </c>
      <c r="L1308">
        <v>0</v>
      </c>
      <c r="M1308">
        <v>1.354753163663069E-3</v>
      </c>
      <c r="N1308">
        <v>0.14747886568206015</v>
      </c>
      <c r="O1308">
        <v>1.8098458415100282E-2</v>
      </c>
      <c r="P1308">
        <v>2.0239870066760524E-2</v>
      </c>
      <c r="Q1308">
        <v>2.2537194172355538E-3</v>
      </c>
      <c r="R1308">
        <v>1.3465223340699609E-3</v>
      </c>
      <c r="S1308">
        <v>0.15721801278586761</v>
      </c>
      <c r="T1308">
        <v>1.0691612055207138</v>
      </c>
      <c r="U1308">
        <v>2.3930648313192613E-2</v>
      </c>
      <c r="V1308">
        <v>0.20669038012524069</v>
      </c>
      <c r="W1308">
        <v>8.6676279394057226E-2</v>
      </c>
      <c r="X1308">
        <v>1.7605959342099457E-2</v>
      </c>
      <c r="Y1308">
        <v>3.6647899123703038E-3</v>
      </c>
    </row>
    <row r="1309" spans="1:25" x14ac:dyDescent="0.25">
      <c r="A1309" s="827"/>
      <c r="B1309" s="1066">
        <v>1059</v>
      </c>
      <c r="C1309" s="831">
        <v>1.0444476246504608</v>
      </c>
      <c r="D1309" s="831">
        <v>0.9799212015839569</v>
      </c>
      <c r="E1309" s="831">
        <v>0.98759102552073941</v>
      </c>
      <c r="F1309" s="831">
        <v>0.99968311887673666</v>
      </c>
      <c r="G1309" s="831">
        <v>1.0407206492481462</v>
      </c>
      <c r="H1309" s="831">
        <v>1.0081463352801803</v>
      </c>
      <c r="I1309" s="831">
        <v>1.0193211670035141</v>
      </c>
      <c r="K1309">
        <v>1.7225463852480214</v>
      </c>
      <c r="L1309">
        <v>0</v>
      </c>
      <c r="M1309">
        <v>1.3854327923123997E-3</v>
      </c>
      <c r="N1309">
        <v>0.13428039923894777</v>
      </c>
      <c r="O1309">
        <v>1.723494387012222E-2</v>
      </c>
      <c r="P1309">
        <v>1.9579788863744296E-2</v>
      </c>
      <c r="Q1309">
        <v>2.0597992687609976E-3</v>
      </c>
      <c r="R1309">
        <v>1.3769838738032776E-3</v>
      </c>
      <c r="S1309">
        <v>0.15090052114130023</v>
      </c>
      <c r="T1309">
        <v>1.0724661269327731</v>
      </c>
      <c r="U1309">
        <v>2.2330011910466459E-2</v>
      </c>
      <c r="V1309">
        <v>0.20340601042545867</v>
      </c>
      <c r="W1309">
        <v>8.095284856165369E-2</v>
      </c>
      <c r="X1309">
        <v>1.5596687771421199E-2</v>
      </c>
      <c r="Y1309">
        <v>3.7476961818805159E-3</v>
      </c>
    </row>
    <row r="1310" spans="1:25" x14ac:dyDescent="0.25">
      <c r="A1310" s="827"/>
      <c r="B1310" s="1066">
        <v>1060</v>
      </c>
      <c r="C1310" s="831">
        <v>1.0156203733218174</v>
      </c>
      <c r="D1310" s="831">
        <v>1.028862932899369</v>
      </c>
      <c r="E1310" s="831">
        <v>0.99714709704092108</v>
      </c>
      <c r="F1310" s="831">
        <v>1.0206526474976279</v>
      </c>
      <c r="G1310" s="831">
        <v>0.99002628366477874</v>
      </c>
      <c r="H1310" s="831">
        <v>0.98643596432082181</v>
      </c>
      <c r="I1310" s="831">
        <v>1.0123235623206754</v>
      </c>
      <c r="K1310">
        <v>1.7180071789875608</v>
      </c>
      <c r="L1310">
        <v>0</v>
      </c>
      <c r="M1310">
        <v>1.336546607879772E-3</v>
      </c>
      <c r="N1310">
        <v>0.13343221078987491</v>
      </c>
      <c r="O1310">
        <v>1.7337324741134939E-2</v>
      </c>
      <c r="P1310">
        <v>1.9679435698026802E-2</v>
      </c>
      <c r="Q1310">
        <v>2.1004762125149479E-3</v>
      </c>
      <c r="R1310">
        <v>1.328183357263521E-3</v>
      </c>
      <c r="S1310">
        <v>0.14949807247426372</v>
      </c>
      <c r="T1310">
        <v>1.0716153880327683</v>
      </c>
      <c r="U1310">
        <v>2.2963824388458794E-2</v>
      </c>
      <c r="V1310">
        <v>0.20198035241190931</v>
      </c>
      <c r="W1310">
        <v>7.9914446619868712E-2</v>
      </c>
      <c r="X1310">
        <v>1.587913360641062E-2</v>
      </c>
      <c r="Y1310">
        <v>3.6148772629452531E-3</v>
      </c>
    </row>
    <row r="1311" spans="1:25" x14ac:dyDescent="0.25">
      <c r="A1311" s="827"/>
      <c r="B1311" s="1066">
        <v>1061</v>
      </c>
      <c r="C1311" s="831">
        <v>1.0050904578594777</v>
      </c>
      <c r="D1311" s="831">
        <v>0.97506575061997014</v>
      </c>
      <c r="E1311" s="831">
        <v>1.0449523660255107</v>
      </c>
      <c r="F1311" s="831">
        <v>0.9950986548341616</v>
      </c>
      <c r="G1311" s="831">
        <v>0.99751726895707726</v>
      </c>
      <c r="H1311" s="831">
        <v>0.95789758913246859</v>
      </c>
      <c r="I1311" s="831">
        <v>0.96660330038890807</v>
      </c>
      <c r="K1311">
        <v>1.7280142636914946</v>
      </c>
      <c r="L1311">
        <v>0</v>
      </c>
      <c r="M1311">
        <v>1.2146454816533458E-3</v>
      </c>
      <c r="N1311">
        <v>0.1406526642524403</v>
      </c>
      <c r="O1311">
        <v>1.7950278157781937E-2</v>
      </c>
      <c r="P1311">
        <v>2.0353138589028534E-2</v>
      </c>
      <c r="Q1311">
        <v>2.2705209262773051E-3</v>
      </c>
      <c r="R1311">
        <v>1.2068527125554951E-3</v>
      </c>
      <c r="S1311">
        <v>0.14549840108181261</v>
      </c>
      <c r="T1311">
        <v>1.0674113165725223</v>
      </c>
      <c r="U1311">
        <v>2.32044068431141E-2</v>
      </c>
      <c r="V1311">
        <v>0.20797851393386116</v>
      </c>
      <c r="W1311">
        <v>8.1566613106398358E-2</v>
      </c>
      <c r="X1311">
        <v>1.7851547752670578E-2</v>
      </c>
      <c r="Y1311">
        <v>3.2846552446862852E-3</v>
      </c>
    </row>
    <row r="1312" spans="1:25" x14ac:dyDescent="0.25">
      <c r="A1312" s="827"/>
      <c r="B1312" s="1066">
        <v>1062</v>
      </c>
      <c r="C1312" s="831">
        <v>1.010912473617898</v>
      </c>
      <c r="D1312" s="831">
        <v>1.0174999960767961</v>
      </c>
      <c r="E1312" s="831">
        <v>1.02187580742538</v>
      </c>
      <c r="F1312" s="831">
        <v>0.98957900519654185</v>
      </c>
      <c r="G1312" s="831">
        <v>0.98976769517972951</v>
      </c>
      <c r="H1312" s="831">
        <v>1.0170265589351237</v>
      </c>
      <c r="I1312" s="831">
        <v>1.0168201956150766</v>
      </c>
      <c r="K1312">
        <v>1.7364272409059462</v>
      </c>
      <c r="L1312">
        <v>0</v>
      </c>
      <c r="M1312">
        <v>1.3206631513585406E-3</v>
      </c>
      <c r="N1312">
        <v>0.14241037988384997</v>
      </c>
      <c r="O1312">
        <v>1.7505670969863225E-2</v>
      </c>
      <c r="P1312">
        <v>2.0093409323699074E-2</v>
      </c>
      <c r="Q1312">
        <v>2.1720136750135932E-3</v>
      </c>
      <c r="R1312">
        <v>1.312655014188433E-3</v>
      </c>
      <c r="S1312">
        <v>0.15374791072603525</v>
      </c>
      <c r="T1312">
        <v>1.0694298958144144</v>
      </c>
      <c r="U1312">
        <v>2.3070768743049967E-2</v>
      </c>
      <c r="V1312">
        <v>0.20345075483016578</v>
      </c>
      <c r="W1312">
        <v>8.3869929229001133E-2</v>
      </c>
      <c r="X1312">
        <v>1.7111901616014141E-2</v>
      </c>
      <c r="Y1312">
        <v>3.5726142320117826E-3</v>
      </c>
    </row>
    <row r="1313" spans="1:25" x14ac:dyDescent="0.25">
      <c r="A1313" s="827"/>
      <c r="B1313" s="1066">
        <v>1063</v>
      </c>
      <c r="C1313" s="831">
        <v>1.0472155229271674</v>
      </c>
      <c r="D1313" s="831">
        <v>0.99469625909014059</v>
      </c>
      <c r="E1313" s="831">
        <v>0.95464620126256605</v>
      </c>
      <c r="F1313" s="831">
        <v>1.0200310894761193</v>
      </c>
      <c r="G1313" s="831">
        <v>1.0333092880271422</v>
      </c>
      <c r="H1313" s="831">
        <v>1.0095601965312895</v>
      </c>
      <c r="I1313" s="831">
        <v>1.0052144980625133</v>
      </c>
      <c r="K1313">
        <v>1.7117404315852205</v>
      </c>
      <c r="L1313">
        <v>0</v>
      </c>
      <c r="M1313">
        <v>1.4726286675009438E-3</v>
      </c>
      <c r="N1313">
        <v>0.12879897366934773</v>
      </c>
      <c r="O1313">
        <v>1.7073086770944716E-2</v>
      </c>
      <c r="P1313">
        <v>1.9065115902802836E-2</v>
      </c>
      <c r="Q1313">
        <v>1.9753709917293507E-3</v>
      </c>
      <c r="R1313">
        <v>1.4636495559675301E-3</v>
      </c>
      <c r="S1313">
        <v>0.14759554125784052</v>
      </c>
      <c r="T1313">
        <v>1.075425374510744</v>
      </c>
      <c r="U1313">
        <v>2.2270991393550228E-2</v>
      </c>
      <c r="V1313">
        <v>0.20179317091773213</v>
      </c>
      <c r="W1313">
        <v>7.9455216034687901E-2</v>
      </c>
      <c r="X1313">
        <v>1.4312997647978243E-2</v>
      </c>
      <c r="Y1313">
        <v>3.9835715993971638E-3</v>
      </c>
    </row>
    <row r="1314" spans="1:25" x14ac:dyDescent="0.25">
      <c r="A1314" s="827"/>
      <c r="B1314" s="1066">
        <v>1064</v>
      </c>
      <c r="C1314" s="831">
        <v>1.0127109920604467</v>
      </c>
      <c r="D1314" s="831">
        <v>1.0037742648777319</v>
      </c>
      <c r="E1314" s="831">
        <v>1.0177621977459417</v>
      </c>
      <c r="F1314" s="831">
        <v>1.0319280992678517</v>
      </c>
      <c r="G1314" s="831">
        <v>0.99120007290179235</v>
      </c>
      <c r="H1314" s="831">
        <v>0.96911844041381623</v>
      </c>
      <c r="I1314" s="831">
        <v>0.98365364319458914</v>
      </c>
      <c r="K1314">
        <v>1.7189247674757435</v>
      </c>
      <c r="L1314">
        <v>0</v>
      </c>
      <c r="M1314">
        <v>1.2749812539624395E-3</v>
      </c>
      <c r="N1314">
        <v>0.13569865293508862</v>
      </c>
      <c r="O1314">
        <v>1.7582281375251644E-2</v>
      </c>
      <c r="P1314">
        <v>1.994415281871326E-2</v>
      </c>
      <c r="Q1314">
        <v>2.1702111455640946E-3</v>
      </c>
      <c r="R1314">
        <v>1.2668768543683691E-3</v>
      </c>
      <c r="S1314">
        <v>0.14597308680924873</v>
      </c>
      <c r="T1314">
        <v>1.0697918473617203</v>
      </c>
      <c r="U1314">
        <v>2.302979633987335E-2</v>
      </c>
      <c r="V1314">
        <v>0.20448752778669649</v>
      </c>
      <c r="W1314">
        <v>8.0139351459807565E-2</v>
      </c>
      <c r="X1314">
        <v>1.666794267162474E-2</v>
      </c>
      <c r="Y1314">
        <v>3.4480211717478988E-3</v>
      </c>
    </row>
    <row r="1315" spans="1:25" x14ac:dyDescent="0.25">
      <c r="A1315" s="827"/>
      <c r="B1315" s="1066">
        <v>1065</v>
      </c>
      <c r="C1315" s="831">
        <v>0.98040717437770863</v>
      </c>
      <c r="D1315" s="831">
        <v>1.0035522558707624</v>
      </c>
      <c r="E1315" s="831">
        <v>1.0035525889396064</v>
      </c>
      <c r="F1315" s="831">
        <v>0.99348281083005996</v>
      </c>
      <c r="G1315" s="831">
        <v>1.0335643089280389</v>
      </c>
      <c r="H1315" s="831">
        <v>0.98488001234532963</v>
      </c>
      <c r="I1315" s="831">
        <v>1.0139490802015498</v>
      </c>
      <c r="K1315">
        <v>1.7443390414502984</v>
      </c>
      <c r="L1315">
        <v>0</v>
      </c>
      <c r="M1315">
        <v>1.3792724125291941E-3</v>
      </c>
      <c r="N1315">
        <v>0.14046958210199892</v>
      </c>
      <c r="O1315">
        <v>1.8163425823262525E-2</v>
      </c>
      <c r="P1315">
        <v>1.9956891062934447E-2</v>
      </c>
      <c r="Q1315">
        <v>2.2102935556366286E-3</v>
      </c>
      <c r="R1315">
        <v>1.3706455511590533E-3</v>
      </c>
      <c r="S1315">
        <v>0.15660930948252944</v>
      </c>
      <c r="T1315">
        <v>1.0710470605603921</v>
      </c>
      <c r="U1315">
        <v>2.3788614065484159E-2</v>
      </c>
      <c r="V1315">
        <v>0.20799881031035333</v>
      </c>
      <c r="W1315">
        <v>8.3761394402630279E-2</v>
      </c>
      <c r="X1315">
        <v>1.6611841589377247E-2</v>
      </c>
      <c r="Y1315">
        <v>3.7304453570704368E-3</v>
      </c>
    </row>
    <row r="1316" spans="1:25" x14ac:dyDescent="0.25">
      <c r="A1316" s="827"/>
      <c r="B1316" s="1066">
        <v>1066</v>
      </c>
      <c r="C1316" s="831">
        <v>1.0285359031272181</v>
      </c>
      <c r="D1316" s="831">
        <v>1.04510812233976</v>
      </c>
      <c r="E1316" s="831">
        <v>1.0019241839176631</v>
      </c>
      <c r="F1316" s="831">
        <v>1.0314505691497955</v>
      </c>
      <c r="G1316" s="831">
        <v>1.033035224196365</v>
      </c>
      <c r="H1316" s="831">
        <v>0.98858479449273551</v>
      </c>
      <c r="I1316" s="831">
        <v>0.98550751780991996</v>
      </c>
      <c r="K1316">
        <v>1.7045492302470628</v>
      </c>
      <c r="L1316">
        <v>0</v>
      </c>
      <c r="M1316">
        <v>1.3001903053784999E-3</v>
      </c>
      <c r="N1316">
        <v>0.13174700490505298</v>
      </c>
      <c r="O1316">
        <v>1.6999074419086563E-2</v>
      </c>
      <c r="P1316">
        <v>1.9613912048219499E-2</v>
      </c>
      <c r="Q1316">
        <v>2.0720200200539745E-3</v>
      </c>
      <c r="R1316">
        <v>1.2920620645374933E-3</v>
      </c>
      <c r="S1316">
        <v>0.14292810429207695</v>
      </c>
      <c r="T1316">
        <v>1.0711913940172098</v>
      </c>
      <c r="U1316">
        <v>2.2675463080473995E-2</v>
      </c>
      <c r="V1316">
        <v>0.1993234858879962</v>
      </c>
      <c r="W1316">
        <v>7.8647574825414429E-2</v>
      </c>
      <c r="X1316">
        <v>1.5842757980791572E-2</v>
      </c>
      <c r="Y1316">
        <v>3.5165670115259516E-3</v>
      </c>
    </row>
    <row r="1317" spans="1:25" x14ac:dyDescent="0.25">
      <c r="A1317" s="827"/>
      <c r="B1317" s="1066">
        <v>1067</v>
      </c>
      <c r="C1317" s="831">
        <v>0.98479287372044721</v>
      </c>
      <c r="D1317" s="831">
        <v>1.021302627760678</v>
      </c>
      <c r="E1317" s="831">
        <v>1.0437076641192433</v>
      </c>
      <c r="F1317" s="831">
        <v>1.0246719728500271</v>
      </c>
      <c r="G1317" s="831">
        <v>0.95996441514365982</v>
      </c>
      <c r="H1317" s="831">
        <v>1.0246908881873462</v>
      </c>
      <c r="I1317" s="831">
        <v>0.98554373038702636</v>
      </c>
      <c r="K1317">
        <v>1.7502895431886365</v>
      </c>
      <c r="L1317">
        <v>0</v>
      </c>
      <c r="M1317">
        <v>1.3020376925875305E-3</v>
      </c>
      <c r="N1317">
        <v>0.15025140988596225</v>
      </c>
      <c r="O1317">
        <v>1.793970331785865E-2</v>
      </c>
      <c r="P1317">
        <v>2.0423470663304071E-2</v>
      </c>
      <c r="Q1317">
        <v>2.2750476495477061E-3</v>
      </c>
      <c r="R1317">
        <v>1.2941991908935403E-3</v>
      </c>
      <c r="S1317">
        <v>0.15328022676261707</v>
      </c>
      <c r="T1317">
        <v>1.0675196786106849</v>
      </c>
      <c r="U1317">
        <v>2.3682673301841685E-2</v>
      </c>
      <c r="V1317">
        <v>0.20589111756359052</v>
      </c>
      <c r="W1317">
        <v>8.7205062120987067E-2</v>
      </c>
      <c r="X1317">
        <v>1.830660824897137E-2</v>
      </c>
      <c r="Y1317">
        <v>3.5223835649635985E-3</v>
      </c>
    </row>
    <row r="1318" spans="1:25" x14ac:dyDescent="0.25">
      <c r="A1318" s="827"/>
      <c r="B1318" s="1066">
        <v>1068</v>
      </c>
      <c r="C1318" s="831">
        <v>1.0332876447970936</v>
      </c>
      <c r="D1318" s="831">
        <v>0.98609717106020289</v>
      </c>
      <c r="E1318" s="831">
        <v>1.0462417940650011</v>
      </c>
      <c r="F1318" s="831">
        <v>1.035673886779519</v>
      </c>
      <c r="G1318" s="831">
        <v>0.99869065495005216</v>
      </c>
      <c r="H1318" s="831">
        <v>1.022646411404194</v>
      </c>
      <c r="I1318" s="831">
        <v>0.95329040454882685</v>
      </c>
      <c r="K1318">
        <v>1.728183803279278</v>
      </c>
      <c r="L1318">
        <v>0</v>
      </c>
      <c r="M1318">
        <v>1.2515169622162423E-3</v>
      </c>
      <c r="N1318">
        <v>0.14556151910498552</v>
      </c>
      <c r="O1318">
        <v>1.7371481459985585E-2</v>
      </c>
      <c r="P1318">
        <v>2.0273040227033991E-2</v>
      </c>
      <c r="Q1318">
        <v>2.2021395201782088E-3</v>
      </c>
      <c r="R1318">
        <v>1.2439890456161296E-3</v>
      </c>
      <c r="S1318">
        <v>0.14324349370138145</v>
      </c>
      <c r="T1318">
        <v>1.0672991228430075</v>
      </c>
      <c r="U1318">
        <v>2.2571186267191852E-2</v>
      </c>
      <c r="V1318">
        <v>0.20397132543827379</v>
      </c>
      <c r="W1318">
        <v>8.4341206332358906E-2</v>
      </c>
      <c r="X1318">
        <v>1.7971088200192765E-2</v>
      </c>
      <c r="Y1318">
        <v>3.3857281012884301E-3</v>
      </c>
    </row>
    <row r="1319" spans="1:25" x14ac:dyDescent="0.25">
      <c r="A1319" s="827"/>
      <c r="B1319" s="1066">
        <v>1069</v>
      </c>
      <c r="C1319" s="831">
        <v>1.0253635879109391</v>
      </c>
      <c r="D1319" s="831">
        <v>0.99722686601730937</v>
      </c>
      <c r="E1319" s="831">
        <v>1.0098662040487738</v>
      </c>
      <c r="F1319" s="831">
        <v>0.9734278680825742</v>
      </c>
      <c r="G1319" s="831">
        <v>0.99933784939689629</v>
      </c>
      <c r="H1319" s="831">
        <v>1.0467693382391423</v>
      </c>
      <c r="I1319" s="831">
        <v>1.0089166614653353</v>
      </c>
      <c r="K1319">
        <v>1.740459687711194</v>
      </c>
      <c r="L1319">
        <v>0</v>
      </c>
      <c r="M1319">
        <v>1.3871018529902498E-3</v>
      </c>
      <c r="N1319">
        <v>0.14412185047712547</v>
      </c>
      <c r="O1319">
        <v>1.7416871555046821E-2</v>
      </c>
      <c r="P1319">
        <v>1.9931355578757654E-2</v>
      </c>
      <c r="Q1319">
        <v>2.1317842770966363E-3</v>
      </c>
      <c r="R1319">
        <v>1.3789431751214829E-3</v>
      </c>
      <c r="S1319">
        <v>0.15376811314702063</v>
      </c>
      <c r="T1319">
        <v>1.0704884013941847</v>
      </c>
      <c r="U1319">
        <v>2.2745617431003347E-2</v>
      </c>
      <c r="V1319">
        <v>0.20376914781726815</v>
      </c>
      <c r="W1319">
        <v>8.5570492130074408E-2</v>
      </c>
      <c r="X1319">
        <v>1.6771183827297982E-2</v>
      </c>
      <c r="Y1319">
        <v>3.7530287541851655E-3</v>
      </c>
    </row>
    <row r="1320" spans="1:25" x14ac:dyDescent="0.25">
      <c r="A1320" s="827"/>
      <c r="B1320" s="1066">
        <v>1070</v>
      </c>
      <c r="C1320" s="831">
        <v>1.0106642044183125</v>
      </c>
      <c r="D1320" s="831">
        <v>1.0125118411719973</v>
      </c>
      <c r="E1320" s="831">
        <v>0.98794680430799586</v>
      </c>
      <c r="F1320" s="831">
        <v>1.0163940787668406</v>
      </c>
      <c r="G1320" s="831">
        <v>0.99878306519407589</v>
      </c>
      <c r="H1320" s="831">
        <v>1.0497529492704845</v>
      </c>
      <c r="I1320" s="831">
        <v>1.0068067414286879</v>
      </c>
      <c r="K1320">
        <v>1.7419415730904539</v>
      </c>
      <c r="L1320">
        <v>0</v>
      </c>
      <c r="M1320">
        <v>1.4678174164070394E-3</v>
      </c>
      <c r="N1320">
        <v>0.14245546033072184</v>
      </c>
      <c r="O1320">
        <v>1.7548924531907432E-2</v>
      </c>
      <c r="P1320">
        <v>1.9655885945656322E-2</v>
      </c>
      <c r="Q1320">
        <v>2.10372557804456E-3</v>
      </c>
      <c r="R1320">
        <v>1.4591978748726641E-3</v>
      </c>
      <c r="S1320">
        <v>0.15490912883929125</v>
      </c>
      <c r="T1320">
        <v>1.0724343917153669</v>
      </c>
      <c r="U1320">
        <v>2.3076436066840275E-2</v>
      </c>
      <c r="V1320">
        <v>0.20392029876892401</v>
      </c>
      <c r="W1320">
        <v>8.5860216573683243E-2</v>
      </c>
      <c r="X1320">
        <v>1.6014268690599062E-2</v>
      </c>
      <c r="Y1320">
        <v>3.9714555909532191E-3</v>
      </c>
    </row>
    <row r="1321" spans="1:25" x14ac:dyDescent="0.25">
      <c r="A1321" s="827"/>
      <c r="B1321" s="1066">
        <v>1071</v>
      </c>
      <c r="C1321" s="831">
        <v>1.0166974983663486</v>
      </c>
      <c r="D1321" s="831">
        <v>0.96888992770941906</v>
      </c>
      <c r="E1321" s="831">
        <v>1.0050107538902748</v>
      </c>
      <c r="F1321" s="831">
        <v>0.99563639846789076</v>
      </c>
      <c r="G1321" s="831">
        <v>0.96747802806076699</v>
      </c>
      <c r="H1321" s="831">
        <v>1.0157350932176175</v>
      </c>
      <c r="I1321" s="831">
        <v>1.0005260234169451</v>
      </c>
      <c r="K1321">
        <v>1.7417265154642778</v>
      </c>
      <c r="L1321">
        <v>0</v>
      </c>
      <c r="M1321">
        <v>1.3894594611248996E-3</v>
      </c>
      <c r="N1321">
        <v>0.1421799442231671</v>
      </c>
      <c r="O1321">
        <v>1.7796669179189869E-2</v>
      </c>
      <c r="P1321">
        <v>1.9912203631192983E-2</v>
      </c>
      <c r="Q1321">
        <v>2.1625454412234554E-3</v>
      </c>
      <c r="R1321">
        <v>1.3810571541215243E-3</v>
      </c>
      <c r="S1321">
        <v>0.15342401870021882</v>
      </c>
      <c r="T1321">
        <v>1.0709179013055774</v>
      </c>
      <c r="U1321">
        <v>2.2939495706223646E-2</v>
      </c>
      <c r="V1321">
        <v>0.20732000397882475</v>
      </c>
      <c r="W1321">
        <v>8.4696980769905825E-2</v>
      </c>
      <c r="X1321">
        <v>1.6626372527605564E-2</v>
      </c>
      <c r="Y1321">
        <v>3.7587823081502883E-3</v>
      </c>
    </row>
    <row r="1322" spans="1:25" x14ac:dyDescent="0.25">
      <c r="A1322" s="827"/>
      <c r="B1322" s="1066">
        <v>1072</v>
      </c>
      <c r="C1322" s="831">
        <v>1.0099213163725023</v>
      </c>
      <c r="D1322" s="831">
        <v>0.97771819107311186</v>
      </c>
      <c r="E1322" s="831">
        <v>1.0006209007257358</v>
      </c>
      <c r="F1322" s="831">
        <v>1.0055974380997075</v>
      </c>
      <c r="G1322" s="831">
        <v>1.027441998550773</v>
      </c>
      <c r="H1322" s="831">
        <v>0.98164846007258355</v>
      </c>
      <c r="I1322" s="831">
        <v>0.98584182437651879</v>
      </c>
      <c r="K1322">
        <v>1.7295923252715748</v>
      </c>
      <c r="L1322">
        <v>0</v>
      </c>
      <c r="M1322">
        <v>1.3587959902334279E-3</v>
      </c>
      <c r="N1322">
        <v>0.13712695885550336</v>
      </c>
      <c r="O1322">
        <v>1.7842383798846326E-2</v>
      </c>
      <c r="P1322">
        <v>1.979534694739481E-2</v>
      </c>
      <c r="Q1322">
        <v>2.1601981657035961E-3</v>
      </c>
      <c r="R1322">
        <v>1.3502874127326861E-3</v>
      </c>
      <c r="S1322">
        <v>0.14919925142944518</v>
      </c>
      <c r="T1322">
        <v>1.0713069824805079</v>
      </c>
      <c r="U1322">
        <v>2.3093410863011078E-2</v>
      </c>
      <c r="V1322">
        <v>0.20720164722074605</v>
      </c>
      <c r="W1322">
        <v>8.1932153755990333E-2</v>
      </c>
      <c r="X1322">
        <v>1.6267463116593699E-2</v>
      </c>
      <c r="Y1322">
        <v>3.6750372153323938E-3</v>
      </c>
    </row>
    <row r="1323" spans="1:25" x14ac:dyDescent="0.25">
      <c r="A1323" s="827"/>
      <c r="B1323" s="1066">
        <v>1073</v>
      </c>
      <c r="C1323" s="831">
        <v>1.0116035753852211</v>
      </c>
      <c r="D1323" s="831">
        <v>1.0168134992807385</v>
      </c>
      <c r="E1323" s="831">
        <v>1.0206013343742131</v>
      </c>
      <c r="F1323" s="831">
        <v>1.0002594846683517</v>
      </c>
      <c r="G1323" s="831">
        <v>1.0083351346820648</v>
      </c>
      <c r="H1323" s="831">
        <v>1.0148047021536994</v>
      </c>
      <c r="I1323" s="831">
        <v>0.9704869812150797</v>
      </c>
      <c r="K1323">
        <v>1.7282685909366575</v>
      </c>
      <c r="L1323">
        <v>0</v>
      </c>
      <c r="M1323">
        <v>1.3208308339466017E-3</v>
      </c>
      <c r="N1323">
        <v>0.14186388277616266</v>
      </c>
      <c r="O1323">
        <v>1.7499049741833316E-2</v>
      </c>
      <c r="P1323">
        <v>1.9975825709090851E-2</v>
      </c>
      <c r="Q1323">
        <v>2.1683259551575546E-3</v>
      </c>
      <c r="R1323">
        <v>1.3128045817590193E-3</v>
      </c>
      <c r="S1323">
        <v>0.14653103767801728</v>
      </c>
      <c r="T1323">
        <v>1.0695419666216819</v>
      </c>
      <c r="U1323">
        <v>2.3055007382137716E-2</v>
      </c>
      <c r="V1323">
        <v>0.20343866981387856</v>
      </c>
      <c r="W1323">
        <v>8.3619899307843859E-2</v>
      </c>
      <c r="X1323">
        <v>1.7009930897407172E-2</v>
      </c>
      <c r="Y1323">
        <v>3.5730213056339821E-3</v>
      </c>
    </row>
    <row r="1324" spans="1:25" x14ac:dyDescent="0.25">
      <c r="A1324" s="827"/>
      <c r="B1324" s="1066">
        <v>1074</v>
      </c>
      <c r="C1324" s="831">
        <v>1.0157497211485429</v>
      </c>
      <c r="D1324" s="831">
        <v>1.0183459537226991</v>
      </c>
      <c r="E1324" s="831">
        <v>0.98156721583452777</v>
      </c>
      <c r="F1324" s="831">
        <v>0.99461474558825513</v>
      </c>
      <c r="G1324" s="831">
        <v>1.022779187357501</v>
      </c>
      <c r="H1324" s="831">
        <v>1.023915646659977</v>
      </c>
      <c r="I1324" s="831">
        <v>1.0032851750293392</v>
      </c>
      <c r="K1324">
        <v>1.7286035652104366</v>
      </c>
      <c r="L1324">
        <v>0</v>
      </c>
      <c r="M1324">
        <v>1.4400021878753601E-3</v>
      </c>
      <c r="N1324">
        <v>0.13698556461575573</v>
      </c>
      <c r="O1324">
        <v>1.7415761121961235E-2</v>
      </c>
      <c r="P1324">
        <v>1.9506249450207489E-2</v>
      </c>
      <c r="Q1324">
        <v>2.0752733385874709E-3</v>
      </c>
      <c r="R1324">
        <v>1.4313285789531594E-3</v>
      </c>
      <c r="S1324">
        <v>0.15141138311235208</v>
      </c>
      <c r="T1324">
        <v>1.0730041694784251</v>
      </c>
      <c r="U1324">
        <v>2.2960900124030147E-2</v>
      </c>
      <c r="V1324">
        <v>0.20287928798323093</v>
      </c>
      <c r="W1324">
        <v>8.2928495345262671E-2</v>
      </c>
      <c r="X1324">
        <v>1.5549549694976222E-2</v>
      </c>
      <c r="Y1324">
        <v>3.8956045545712561E-3</v>
      </c>
    </row>
    <row r="1325" spans="1:25" x14ac:dyDescent="0.25">
      <c r="A1325" s="827"/>
      <c r="B1325" s="1066">
        <v>1075</v>
      </c>
      <c r="C1325" s="831">
        <v>1.0318975102998944</v>
      </c>
      <c r="D1325" s="831">
        <v>0.99052030130288271</v>
      </c>
      <c r="E1325" s="831">
        <v>1.0146015575035381</v>
      </c>
      <c r="F1325" s="831">
        <v>1.0117199227102529</v>
      </c>
      <c r="G1325" s="831">
        <v>0.99304338981745977</v>
      </c>
      <c r="H1325" s="831">
        <v>1.0025339245912426</v>
      </c>
      <c r="I1325" s="831">
        <v>0.99122296296216739</v>
      </c>
      <c r="K1325">
        <v>1.7233968931595061</v>
      </c>
      <c r="L1325">
        <v>0</v>
      </c>
      <c r="M1325">
        <v>1.3109485118799878E-3</v>
      </c>
      <c r="N1325">
        <v>0.13819347086895248</v>
      </c>
      <c r="O1325">
        <v>1.7359607138809716E-2</v>
      </c>
      <c r="P1325">
        <v>1.9905677183671623E-2</v>
      </c>
      <c r="Q1325">
        <v>2.1336601590312455E-3</v>
      </c>
      <c r="R1325">
        <v>1.3029019666995535E-3</v>
      </c>
      <c r="S1325">
        <v>0.14747357851781678</v>
      </c>
      <c r="T1325">
        <v>1.0700703836200849</v>
      </c>
      <c r="U1325">
        <v>2.2601593341886304E-2</v>
      </c>
      <c r="V1325">
        <v>0.20370523638345062</v>
      </c>
      <c r="W1325">
        <v>8.1787419424232746E-2</v>
      </c>
      <c r="X1325">
        <v>1.6628243414912439E-2</v>
      </c>
      <c r="Y1325">
        <v>3.5460696518382919E-3</v>
      </c>
    </row>
    <row r="1326" spans="1:25" x14ac:dyDescent="0.25">
      <c r="A1326" s="827"/>
      <c r="B1326" s="1066">
        <v>1076</v>
      </c>
      <c r="C1326" s="831">
        <v>0.99040963251547287</v>
      </c>
      <c r="D1326" s="831">
        <v>1.0049195629781285</v>
      </c>
      <c r="E1326" s="831">
        <v>0.98556549670153315</v>
      </c>
      <c r="F1326" s="831">
        <v>0.96608740180007868</v>
      </c>
      <c r="G1326" s="831">
        <v>0.96741455066986692</v>
      </c>
      <c r="H1326" s="831">
        <v>0.98650807301296473</v>
      </c>
      <c r="I1326" s="831">
        <v>1.0147321558410773</v>
      </c>
      <c r="K1326">
        <v>1.7368014432788532</v>
      </c>
      <c r="L1326">
        <v>0</v>
      </c>
      <c r="M1326">
        <v>1.4194775764969623E-3</v>
      </c>
      <c r="N1326">
        <v>0.13669484368851098</v>
      </c>
      <c r="O1326">
        <v>1.796890781950666E-2</v>
      </c>
      <c r="P1326">
        <v>1.9671871566967945E-2</v>
      </c>
      <c r="Q1326">
        <v>2.1475650878339946E-3</v>
      </c>
      <c r="R1326">
        <v>1.4106129171678639E-3</v>
      </c>
      <c r="S1326">
        <v>0.15517929581201226</v>
      </c>
      <c r="T1326">
        <v>1.0726468934475388</v>
      </c>
      <c r="U1326">
        <v>2.3548365375918159E-2</v>
      </c>
      <c r="V1326">
        <v>0.20676601561397406</v>
      </c>
      <c r="W1326">
        <v>8.2523802811203931E-2</v>
      </c>
      <c r="X1326">
        <v>1.5823523362606239E-2</v>
      </c>
      <c r="Y1326">
        <v>3.8392233521077567E-3</v>
      </c>
    </row>
    <row r="1327" spans="1:25" x14ac:dyDescent="0.25">
      <c r="A1327" s="827"/>
      <c r="B1327" s="1066">
        <v>1077</v>
      </c>
      <c r="C1327" s="831">
        <v>1.0105006151124736</v>
      </c>
      <c r="D1327" s="831">
        <v>0.99958157352207266</v>
      </c>
      <c r="E1327" s="831">
        <v>0.9982077745682052</v>
      </c>
      <c r="F1327" s="831">
        <v>1.0018105140054527</v>
      </c>
      <c r="G1327" s="831">
        <v>0.99814152456596972</v>
      </c>
      <c r="H1327" s="831">
        <v>1.0040841305754833</v>
      </c>
      <c r="I1327" s="831">
        <v>1.0396485524833841</v>
      </c>
      <c r="K1327">
        <v>1.7381073876841806</v>
      </c>
      <c r="L1327">
        <v>0</v>
      </c>
      <c r="M1327">
        <v>1.3822118442395797E-3</v>
      </c>
      <c r="N1327">
        <v>0.13846463956736696</v>
      </c>
      <c r="O1327">
        <v>1.7654174358686114E-2</v>
      </c>
      <c r="P1327">
        <v>1.9846561153708541E-2</v>
      </c>
      <c r="Q1327">
        <v>2.1361240766534198E-3</v>
      </c>
      <c r="R1327">
        <v>1.3737346828785288E-3</v>
      </c>
      <c r="S1327">
        <v>0.15747162444621043</v>
      </c>
      <c r="T1327">
        <v>1.0715211724067393</v>
      </c>
      <c r="U1327">
        <v>2.3080171896488436E-2</v>
      </c>
      <c r="V1327">
        <v>0.20510067383839037</v>
      </c>
      <c r="W1327">
        <v>8.286817783292065E-2</v>
      </c>
      <c r="X1327">
        <v>1.6233692313097382E-2</v>
      </c>
      <c r="Y1327">
        <v>3.7388529552788517E-3</v>
      </c>
    </row>
    <row r="1328" spans="1:25" x14ac:dyDescent="0.25">
      <c r="A1328" s="827"/>
      <c r="B1328" s="1066">
        <v>1078</v>
      </c>
      <c r="C1328" s="831">
        <v>0.96067433013205206</v>
      </c>
      <c r="D1328" s="831">
        <v>0.97159934138702497</v>
      </c>
      <c r="E1328" s="831">
        <v>1.0010225621018589</v>
      </c>
      <c r="F1328" s="831">
        <v>0.98594857774923117</v>
      </c>
      <c r="G1328" s="831">
        <v>0.97866528201092839</v>
      </c>
      <c r="H1328" s="831">
        <v>0.97678851765607755</v>
      </c>
      <c r="I1328" s="831">
        <v>1.0045095658306016</v>
      </c>
      <c r="K1328">
        <v>1.7604831852883549</v>
      </c>
      <c r="L1328">
        <v>0</v>
      </c>
      <c r="M1328">
        <v>1.424229987928497E-3</v>
      </c>
      <c r="N1328">
        <v>0.14390609562269904</v>
      </c>
      <c r="O1328">
        <v>1.8810614641441889E-2</v>
      </c>
      <c r="P1328">
        <v>2.0046986679019402E-2</v>
      </c>
      <c r="Q1328">
        <v>2.2771540052977895E-3</v>
      </c>
      <c r="R1328">
        <v>1.4152719457665097E-3</v>
      </c>
      <c r="S1328">
        <v>0.15986611400391429</v>
      </c>
      <c r="T1328">
        <v>1.0712713522116646</v>
      </c>
      <c r="U1328">
        <v>2.4277246894998595E-2</v>
      </c>
      <c r="V1328">
        <v>0.21337628803049813</v>
      </c>
      <c r="W1328">
        <v>8.595901436345646E-2</v>
      </c>
      <c r="X1328">
        <v>1.6849373185419202E-2</v>
      </c>
      <c r="Y1328">
        <v>3.851903692104904E-3</v>
      </c>
    </row>
    <row r="1329" spans="1:25" x14ac:dyDescent="0.25">
      <c r="A1329" s="827"/>
      <c r="B1329" s="1066">
        <v>1079</v>
      </c>
      <c r="C1329" s="831">
        <v>0.96558931367187317</v>
      </c>
      <c r="D1329" s="831">
        <v>0.98505968606026029</v>
      </c>
      <c r="E1329" s="831">
        <v>1.0058444605023342</v>
      </c>
      <c r="F1329" s="831">
        <v>0.97862836031394451</v>
      </c>
      <c r="G1329" s="831">
        <v>1.0308214393811401</v>
      </c>
      <c r="H1329" s="831">
        <v>0.98497434872871747</v>
      </c>
      <c r="I1329" s="831">
        <v>1.0162542548908389</v>
      </c>
      <c r="K1329">
        <v>1.7588082717042017</v>
      </c>
      <c r="L1329">
        <v>0</v>
      </c>
      <c r="M1329">
        <v>1.405611236039286E-3</v>
      </c>
      <c r="N1329">
        <v>0.14417748042384415</v>
      </c>
      <c r="O1329">
        <v>1.8598292729904396E-2</v>
      </c>
      <c r="P1329">
        <v>2.0095453706264768E-2</v>
      </c>
      <c r="Q1329">
        <v>2.2649520945515404E-3</v>
      </c>
      <c r="R1329">
        <v>1.3968338272691699E-3</v>
      </c>
      <c r="S1329">
        <v>0.16061673028089166</v>
      </c>
      <c r="T1329">
        <v>1.0708440905244498</v>
      </c>
      <c r="U1329">
        <v>2.4153672340898144E-2</v>
      </c>
      <c r="V1329">
        <v>0.21145591157979071</v>
      </c>
      <c r="W1329">
        <v>8.5838122867673006E-2</v>
      </c>
      <c r="X1329">
        <v>1.6970621353025597E-2</v>
      </c>
      <c r="Y1329">
        <v>3.801721211679274E-3</v>
      </c>
    </row>
    <row r="1330" spans="1:25" x14ac:dyDescent="0.25">
      <c r="A1330" s="827"/>
      <c r="B1330" s="1066">
        <v>1080</v>
      </c>
      <c r="C1330" s="831">
        <v>0.98865390378313078</v>
      </c>
      <c r="D1330" s="831">
        <v>1.0037419961715837</v>
      </c>
      <c r="E1330" s="831">
        <v>1.0333135969349039</v>
      </c>
      <c r="F1330" s="831">
        <v>1.0213840858949956</v>
      </c>
      <c r="G1330" s="831">
        <v>0.97159463392641432</v>
      </c>
      <c r="H1330" s="831">
        <v>1.0050513733330317</v>
      </c>
      <c r="I1330" s="831">
        <v>1.0205789502984877</v>
      </c>
      <c r="K1330">
        <v>1.7508780619378528</v>
      </c>
      <c r="L1330">
        <v>0</v>
      </c>
      <c r="M1330">
        <v>1.3106426047871308E-3</v>
      </c>
      <c r="N1330">
        <v>0.14642922513455167</v>
      </c>
      <c r="O1330">
        <v>1.801037624856237E-2</v>
      </c>
      <c r="P1330">
        <v>2.0361975531639643E-2</v>
      </c>
      <c r="Q1330">
        <v>2.2575758661672811E-3</v>
      </c>
      <c r="R1330">
        <v>1.3026094009131314E-3</v>
      </c>
      <c r="S1330">
        <v>0.15779846415033424</v>
      </c>
      <c r="T1330">
        <v>1.0684268699074915</v>
      </c>
      <c r="U1330">
        <v>2.3590184400282432E-2</v>
      </c>
      <c r="V1330">
        <v>0.20706908014623066</v>
      </c>
      <c r="W1330">
        <v>8.5577209683025859E-2</v>
      </c>
      <c r="X1330">
        <v>1.7819860689230738E-2</v>
      </c>
      <c r="Y1330">
        <v>3.5452733842119368E-3</v>
      </c>
    </row>
    <row r="1331" spans="1:25" x14ac:dyDescent="0.25">
      <c r="A1331" s="827"/>
      <c r="B1331" s="1066">
        <v>1081</v>
      </c>
      <c r="C1331" s="831">
        <v>0.98213522524644881</v>
      </c>
      <c r="D1331" s="831">
        <v>1.0116274631168243</v>
      </c>
      <c r="E1331" s="831">
        <v>0.99422325520598709</v>
      </c>
      <c r="F1331" s="831">
        <v>1.0088772968008985</v>
      </c>
      <c r="G1331" s="831">
        <v>0.9864921452168085</v>
      </c>
      <c r="H1331" s="831">
        <v>0.9912921544201424</v>
      </c>
      <c r="I1331" s="831">
        <v>1.0115330065049495</v>
      </c>
      <c r="K1331">
        <v>1.7416048807463997</v>
      </c>
      <c r="L1331">
        <v>0</v>
      </c>
      <c r="M1331">
        <v>1.4081898984653629E-3</v>
      </c>
      <c r="N1331">
        <v>0.13931668105078074</v>
      </c>
      <c r="O1331">
        <v>1.8065823399920713E-2</v>
      </c>
      <c r="P1331">
        <v>1.9806775947604327E-2</v>
      </c>
      <c r="Q1331">
        <v>2.1793096781311336E-3</v>
      </c>
      <c r="R1331">
        <v>1.3994334485262149E-3</v>
      </c>
      <c r="S1331">
        <v>0.15591558449140014</v>
      </c>
      <c r="T1331">
        <v>1.0718753205881302</v>
      </c>
      <c r="U1331">
        <v>2.3746758388032412E-2</v>
      </c>
      <c r="V1331">
        <v>0.20705976988190097</v>
      </c>
      <c r="W1331">
        <v>8.3606340157522968E-2</v>
      </c>
      <c r="X1331">
        <v>1.623247708913635E-2</v>
      </c>
      <c r="Y1331">
        <v>3.8087965237760335E-3</v>
      </c>
    </row>
    <row r="1332" spans="1:25" x14ac:dyDescent="0.25">
      <c r="A1332" s="827"/>
      <c r="B1332" s="1066">
        <v>1082</v>
      </c>
      <c r="C1332" s="831">
        <v>1.0367775919325064</v>
      </c>
      <c r="D1332" s="831">
        <v>1.0167094527696039</v>
      </c>
      <c r="E1332" s="831">
        <v>1.0038091040022836</v>
      </c>
      <c r="F1332" s="831">
        <v>0.9932591344750179</v>
      </c>
      <c r="G1332" s="831">
        <v>0.98159689467170541</v>
      </c>
      <c r="H1332" s="831">
        <v>1.0252909574528604</v>
      </c>
      <c r="I1332" s="831">
        <v>1.0026556531498787</v>
      </c>
      <c r="K1332">
        <v>1.7211168647145041</v>
      </c>
      <c r="L1332">
        <v>0</v>
      </c>
      <c r="M1332">
        <v>1.3490980082134605E-3</v>
      </c>
      <c r="N1332">
        <v>0.13753941911103559</v>
      </c>
      <c r="O1332">
        <v>1.7074944882704394E-2</v>
      </c>
      <c r="P1332">
        <v>1.9733723459489816E-2</v>
      </c>
      <c r="Q1332">
        <v>2.0805803377420386E-3</v>
      </c>
      <c r="R1332">
        <v>1.3409838988151907E-3</v>
      </c>
      <c r="S1332">
        <v>0.14844106956520806</v>
      </c>
      <c r="T1332">
        <v>1.0710243335132386</v>
      </c>
      <c r="U1332">
        <v>2.2495208306760436E-2</v>
      </c>
      <c r="V1332">
        <v>0.20089940141170265</v>
      </c>
      <c r="W1332">
        <v>8.1999794309091573E-2</v>
      </c>
      <c r="X1332">
        <v>1.6186787809575477E-2</v>
      </c>
      <c r="Y1332">
        <v>3.6497161173515095E-3</v>
      </c>
    </row>
    <row r="1333" spans="1:25" x14ac:dyDescent="0.25">
      <c r="A1333" s="827"/>
      <c r="B1333" s="1066">
        <v>1083</v>
      </c>
      <c r="C1333" s="831">
        <v>1.0203877635741743</v>
      </c>
      <c r="D1333" s="831">
        <v>0.9865090151333098</v>
      </c>
      <c r="E1333" s="831">
        <v>0.99113615777022201</v>
      </c>
      <c r="F1333" s="831">
        <v>1.0147040630096889</v>
      </c>
      <c r="G1333" s="831">
        <v>0.99545942589762293</v>
      </c>
      <c r="H1333" s="831">
        <v>1.0002440215179862</v>
      </c>
      <c r="I1333" s="831">
        <v>1.0415326368109989</v>
      </c>
      <c r="K1333">
        <v>1.73466675043885</v>
      </c>
      <c r="L1333">
        <v>0</v>
      </c>
      <c r="M1333">
        <v>1.3923007213575652E-3</v>
      </c>
      <c r="N1333">
        <v>0.13643676623484918</v>
      </c>
      <c r="O1333">
        <v>1.7587761784111599E-2</v>
      </c>
      <c r="P1333">
        <v>1.9740240653725882E-2</v>
      </c>
      <c r="Q1333">
        <v>2.1106831518219972E-3</v>
      </c>
      <c r="R1333">
        <v>1.3837381239715403E-3</v>
      </c>
      <c r="S1333">
        <v>0.15680230530710776</v>
      </c>
      <c r="T1333">
        <v>1.0721501164980678</v>
      </c>
      <c r="U1333">
        <v>2.2856534281251995E-2</v>
      </c>
      <c r="V1333">
        <v>0.20526527509794473</v>
      </c>
      <c r="W1333">
        <v>8.2052078114121574E-2</v>
      </c>
      <c r="X1333">
        <v>1.590747288893311E-2</v>
      </c>
      <c r="Y1333">
        <v>3.7660790243005593E-3</v>
      </c>
    </row>
    <row r="1334" spans="1:25" x14ac:dyDescent="0.25">
      <c r="A1334" s="827"/>
      <c r="B1334" s="1066">
        <v>1084</v>
      </c>
      <c r="C1334" s="831">
        <v>1.00333367714289</v>
      </c>
      <c r="D1334" s="831">
        <v>1.0152981485721784</v>
      </c>
      <c r="E1334" s="831">
        <v>1.0091544552529468</v>
      </c>
      <c r="F1334" s="831">
        <v>1.0029561017524105</v>
      </c>
      <c r="G1334" s="831">
        <v>1.0120857833784178</v>
      </c>
      <c r="H1334" s="831">
        <v>1.0159383943411997</v>
      </c>
      <c r="I1334" s="831">
        <v>0.98512702238445149</v>
      </c>
      <c r="K1334">
        <v>1.7342742374966003</v>
      </c>
      <c r="L1334">
        <v>0</v>
      </c>
      <c r="M1334">
        <v>1.3667298999360132E-3</v>
      </c>
      <c r="N1334">
        <v>0.14166459649309471</v>
      </c>
      <c r="O1334">
        <v>1.7655184975911977E-2</v>
      </c>
      <c r="P1334">
        <v>1.9887968642067051E-2</v>
      </c>
      <c r="Q1334">
        <v>2.1625868027993064E-3</v>
      </c>
      <c r="R1334">
        <v>1.3584350014804055E-3</v>
      </c>
      <c r="S1334">
        <v>0.15013961390181649</v>
      </c>
      <c r="T1334">
        <v>1.0705513050108644</v>
      </c>
      <c r="U1334">
        <v>2.3245036451598859E-2</v>
      </c>
      <c r="V1334">
        <v>0.20444163201447541</v>
      </c>
      <c r="W1334">
        <v>8.4152231275948008E-2</v>
      </c>
      <c r="X1334">
        <v>1.6685164560426423E-2</v>
      </c>
      <c r="Y1334">
        <v>3.6972122660517775E-3</v>
      </c>
    </row>
    <row r="1335" spans="1:25" x14ac:dyDescent="0.25">
      <c r="A1335" s="827"/>
      <c r="B1335" s="1066">
        <v>1085</v>
      </c>
      <c r="C1335" s="831">
        <v>0.99023499803478154</v>
      </c>
      <c r="D1335" s="831">
        <v>0.99285018829680849</v>
      </c>
      <c r="E1335" s="831">
        <v>1.0186310159506622</v>
      </c>
      <c r="F1335" s="831">
        <v>1.0082527514955144</v>
      </c>
      <c r="G1335" s="831">
        <v>0.95132598007716274</v>
      </c>
      <c r="H1335" s="831">
        <v>1.0227785869695036</v>
      </c>
      <c r="I1335" s="831">
        <v>1.0082304622616918</v>
      </c>
      <c r="K1335">
        <v>1.7547590170216931</v>
      </c>
      <c r="L1335">
        <v>0</v>
      </c>
      <c r="M1335">
        <v>1.3804149876930037E-3</v>
      </c>
      <c r="N1335">
        <v>0.14736752849608967</v>
      </c>
      <c r="O1335">
        <v>1.8070723935172325E-2</v>
      </c>
      <c r="P1335">
        <v>2.0171953064451187E-2</v>
      </c>
      <c r="Q1335">
        <v>2.2304263506455362E-3</v>
      </c>
      <c r="R1335">
        <v>1.372108174760322E-3</v>
      </c>
      <c r="S1335">
        <v>0.15764707863144239</v>
      </c>
      <c r="T1335">
        <v>1.0697153477049355</v>
      </c>
      <c r="U1335">
        <v>2.3552518285648409E-2</v>
      </c>
      <c r="V1335">
        <v>0.20791043260636172</v>
      </c>
      <c r="W1335">
        <v>8.6979550439834241E-2</v>
      </c>
      <c r="X1335">
        <v>1.7387338183683935E-2</v>
      </c>
      <c r="Y1335">
        <v>3.7344261363593486E-3</v>
      </c>
    </row>
    <row r="1336" spans="1:25" x14ac:dyDescent="0.25">
      <c r="A1336" s="827"/>
      <c r="B1336" s="1066">
        <v>1086</v>
      </c>
      <c r="C1336" s="831">
        <v>1.0113207234425479</v>
      </c>
      <c r="D1336" s="831">
        <v>0.96418579726703979</v>
      </c>
      <c r="E1336" s="831">
        <v>0.97649395614171475</v>
      </c>
      <c r="F1336" s="831">
        <v>0.9796009732808364</v>
      </c>
      <c r="G1336" s="831">
        <v>1.0247003475562344</v>
      </c>
      <c r="H1336" s="831">
        <v>1.014811374713833</v>
      </c>
      <c r="I1336" s="831">
        <v>0.98898411179861367</v>
      </c>
      <c r="K1336">
        <v>1.7402965382173874</v>
      </c>
      <c r="L1336">
        <v>0</v>
      </c>
      <c r="M1336">
        <v>1.4851058197170117E-3</v>
      </c>
      <c r="N1336">
        <v>0.13905671174550743</v>
      </c>
      <c r="O1336">
        <v>1.793093263945687E-2</v>
      </c>
      <c r="P1336">
        <v>1.9529289242983333E-2</v>
      </c>
      <c r="Q1336">
        <v>2.1161185154898662E-3</v>
      </c>
      <c r="R1336">
        <v>1.476120576091005E-3</v>
      </c>
      <c r="S1336">
        <v>0.15270431498074472</v>
      </c>
      <c r="T1336">
        <v>1.0734583677047682</v>
      </c>
      <c r="U1336">
        <v>2.3061455537975169E-2</v>
      </c>
      <c r="V1336">
        <v>0.20835301657944288</v>
      </c>
      <c r="W1336">
        <v>8.4479399817734321E-2</v>
      </c>
      <c r="X1336">
        <v>1.5598403091805412E-2</v>
      </c>
      <c r="Y1336">
        <v>4.0175136051025873E-3</v>
      </c>
    </row>
    <row r="1337" spans="1:25" x14ac:dyDescent="0.25">
      <c r="A1337" s="827"/>
      <c r="B1337" s="1066">
        <v>1087</v>
      </c>
      <c r="C1337" s="831">
        <v>0.99504408304686676</v>
      </c>
      <c r="D1337" s="831">
        <v>0.97801327113866421</v>
      </c>
      <c r="E1337" s="831">
        <v>1.0064485954971436</v>
      </c>
      <c r="F1337" s="831">
        <v>1.0160600177385506</v>
      </c>
      <c r="G1337" s="831">
        <v>0.96051090390386773</v>
      </c>
      <c r="H1337" s="831">
        <v>0.99657943204208965</v>
      </c>
      <c r="I1337" s="831">
        <v>0.99604509782789519</v>
      </c>
      <c r="K1337">
        <v>1.7445399067665401</v>
      </c>
      <c r="L1337">
        <v>0</v>
      </c>
      <c r="M1337">
        <v>1.3828117658362484E-3</v>
      </c>
      <c r="N1337">
        <v>0.14211651425595673</v>
      </c>
      <c r="O1337">
        <v>1.8106669521277135E-2</v>
      </c>
      <c r="P1337">
        <v>1.9967531880719296E-2</v>
      </c>
      <c r="Q1337">
        <v>2.2051048159747312E-3</v>
      </c>
      <c r="R1337">
        <v>1.3742823233975604E-3</v>
      </c>
      <c r="S1337">
        <v>0.15406183436827475</v>
      </c>
      <c r="T1337">
        <v>1.070790620883407</v>
      </c>
      <c r="U1337">
        <v>2.3438688089967435E-2</v>
      </c>
      <c r="V1337">
        <v>0.20879381554153298</v>
      </c>
      <c r="W1337">
        <v>8.4576278022815421E-2</v>
      </c>
      <c r="X1337">
        <v>1.6751035376811822E-2</v>
      </c>
      <c r="Y1337">
        <v>3.7403434522420061E-3</v>
      </c>
    </row>
    <row r="1338" spans="1:25" x14ac:dyDescent="0.25">
      <c r="A1338" s="827"/>
      <c r="B1338" s="1066">
        <v>1088</v>
      </c>
      <c r="C1338" s="831">
        <v>1.0173886173119602</v>
      </c>
      <c r="D1338" s="831">
        <v>0.97953934314013735</v>
      </c>
      <c r="E1338" s="831">
        <v>0.97932437863028898</v>
      </c>
      <c r="F1338" s="831">
        <v>0.9785502407280412</v>
      </c>
      <c r="G1338" s="831">
        <v>0.97811791477548871</v>
      </c>
      <c r="H1338" s="831">
        <v>1.0062059073081036</v>
      </c>
      <c r="I1338" s="831">
        <v>1.0014449580840123</v>
      </c>
      <c r="K1338">
        <v>1.732400050742773</v>
      </c>
      <c r="L1338">
        <v>0</v>
      </c>
      <c r="M1338">
        <v>1.4446624285218645E-3</v>
      </c>
      <c r="N1338">
        <v>0.13646000986973347</v>
      </c>
      <c r="O1338">
        <v>1.7696465130203742E-2</v>
      </c>
      <c r="P1338">
        <v>1.9529337216936345E-2</v>
      </c>
      <c r="Q1338">
        <v>2.0972272863627197E-3</v>
      </c>
      <c r="R1338">
        <v>1.4358355975789437E-3</v>
      </c>
      <c r="S1338">
        <v>0.15208346177533527</v>
      </c>
      <c r="T1338">
        <v>1.0732048467202908</v>
      </c>
      <c r="U1338">
        <v>2.2923912752163024E-2</v>
      </c>
      <c r="V1338">
        <v>0.20623292652905589</v>
      </c>
      <c r="W1338">
        <v>8.273895921429697E-2</v>
      </c>
      <c r="X1338">
        <v>1.5533859905805738E-2</v>
      </c>
      <c r="Y1338">
        <v>3.9078711735323519E-3</v>
      </c>
    </row>
    <row r="1339" spans="1:25" x14ac:dyDescent="0.25">
      <c r="A1339" s="827"/>
      <c r="B1339" s="1066">
        <v>1089</v>
      </c>
      <c r="C1339" s="831">
        <v>1.0291598115878509</v>
      </c>
      <c r="D1339" s="831">
        <v>0.97497723627802113</v>
      </c>
      <c r="E1339" s="831">
        <v>1.0261087366486059</v>
      </c>
      <c r="F1339" s="831">
        <v>0.994067795366259</v>
      </c>
      <c r="G1339" s="831">
        <v>1.027808854806751</v>
      </c>
      <c r="H1339" s="831">
        <v>1.0154544344915413</v>
      </c>
      <c r="I1339" s="831">
        <v>0.99570701024932562</v>
      </c>
      <c r="K1339">
        <v>1.735175123285968</v>
      </c>
      <c r="L1339">
        <v>0</v>
      </c>
      <c r="M1339">
        <v>1.3087537285817472E-3</v>
      </c>
      <c r="N1339">
        <v>0.14299530350346068</v>
      </c>
      <c r="O1339">
        <v>1.753119118954851E-2</v>
      </c>
      <c r="P1339">
        <v>2.0125992248584752E-2</v>
      </c>
      <c r="Q1339">
        <v>2.176685900538045E-3</v>
      </c>
      <c r="R1339">
        <v>1.3008331741029672E-3</v>
      </c>
      <c r="S1339">
        <v>0.15042317371867495</v>
      </c>
      <c r="T1339">
        <v>1.0690581148816538</v>
      </c>
      <c r="U1339">
        <v>2.2661716514483534E-2</v>
      </c>
      <c r="V1339">
        <v>0.2054250238338923</v>
      </c>
      <c r="W1339">
        <v>8.3974875104934038E-2</v>
      </c>
      <c r="X1339">
        <v>1.7270527864308906E-2</v>
      </c>
      <c r="Y1339">
        <v>3.5404390803676815E-3</v>
      </c>
    </row>
    <row r="1340" spans="1:25" x14ac:dyDescent="0.25">
      <c r="A1340" s="827"/>
      <c r="B1340" s="1066">
        <v>1090</v>
      </c>
      <c r="C1340" s="831">
        <v>1.0040028769657039</v>
      </c>
      <c r="D1340" s="831">
        <v>1.0381737073002075</v>
      </c>
      <c r="E1340" s="831">
        <v>1.0290579348560167</v>
      </c>
      <c r="F1340" s="831">
        <v>1.0156031997492199</v>
      </c>
      <c r="G1340" s="831">
        <v>1.0124324264149842</v>
      </c>
      <c r="H1340" s="831">
        <v>1.0199928098855493</v>
      </c>
      <c r="I1340" s="831">
        <v>1.0025523642692449</v>
      </c>
      <c r="K1340">
        <v>1.7343224765745644</v>
      </c>
      <c r="L1340">
        <v>0</v>
      </c>
      <c r="M1340">
        <v>1.3016715738275403E-3</v>
      </c>
      <c r="N1340">
        <v>0.14352918445669302</v>
      </c>
      <c r="O1340">
        <v>1.746679170270431E-2</v>
      </c>
      <c r="P1340">
        <v>2.0147175426028428E-2</v>
      </c>
      <c r="Q1340">
        <v>2.1862218624770003E-3</v>
      </c>
      <c r="R1340">
        <v>1.2937888301566313E-3</v>
      </c>
      <c r="S1340">
        <v>0.1515767394099809</v>
      </c>
      <c r="T1340">
        <v>1.0687994864374184</v>
      </c>
      <c r="U1340">
        <v>2.3229542896120503E-2</v>
      </c>
      <c r="V1340">
        <v>0.20237787201086849</v>
      </c>
      <c r="W1340">
        <v>8.4121706451407569E-2</v>
      </c>
      <c r="X1340">
        <v>1.7374371966221439E-2</v>
      </c>
      <c r="Y1340">
        <v>3.521266698313113E-3</v>
      </c>
    </row>
    <row r="1341" spans="1:25" x14ac:dyDescent="0.25">
      <c r="A1341" s="827"/>
      <c r="B1341" s="1066">
        <v>1091</v>
      </c>
      <c r="C1341" s="831">
        <v>1.0063326655717619</v>
      </c>
      <c r="D1341" s="831">
        <v>0.99119031573140115</v>
      </c>
      <c r="E1341" s="831">
        <v>0.99835793222892366</v>
      </c>
      <c r="F1341" s="831">
        <v>1.0417600543411254</v>
      </c>
      <c r="G1341" s="831">
        <v>0.99322417830360776</v>
      </c>
      <c r="H1341" s="831">
        <v>1.0048542150407871</v>
      </c>
      <c r="I1341" s="831">
        <v>1.04202552259433</v>
      </c>
      <c r="K1341">
        <v>1.7433269645997096</v>
      </c>
      <c r="L1341">
        <v>0</v>
      </c>
      <c r="M1341">
        <v>1.3938714608689644E-3</v>
      </c>
      <c r="N1341">
        <v>0.13969916233389892</v>
      </c>
      <c r="O1341">
        <v>1.7795152780657537E-2</v>
      </c>
      <c r="P1341">
        <v>1.9888676397888282E-2</v>
      </c>
      <c r="Q1341">
        <v>2.152016221839405E-3</v>
      </c>
      <c r="R1341">
        <v>1.3853352210844092E-3</v>
      </c>
      <c r="S1341">
        <v>0.15909887273581727</v>
      </c>
      <c r="T1341">
        <v>1.071507837948517</v>
      </c>
      <c r="U1341">
        <v>2.3175763538443972E-2</v>
      </c>
      <c r="V1341">
        <v>0.20631735691541309</v>
      </c>
      <c r="W1341">
        <v>8.3598413786499903E-2</v>
      </c>
      <c r="X1341">
        <v>1.633182238435912E-2</v>
      </c>
      <c r="Y1341">
        <v>3.770425796158865E-3</v>
      </c>
    </row>
    <row r="1342" spans="1:25" x14ac:dyDescent="0.25">
      <c r="A1342" s="827"/>
      <c r="B1342" s="1066">
        <v>1092</v>
      </c>
      <c r="C1342" s="831">
        <v>1.038236226210528</v>
      </c>
      <c r="D1342" s="831">
        <v>1.020275287312389</v>
      </c>
      <c r="E1342" s="831">
        <v>1.0254932424797507</v>
      </c>
      <c r="F1342" s="831">
        <v>1.0039237595694555</v>
      </c>
      <c r="G1342" s="831">
        <v>0.97876011309007327</v>
      </c>
      <c r="H1342" s="831">
        <v>1.0431194906713188</v>
      </c>
      <c r="I1342" s="831">
        <v>0.98341332106870383</v>
      </c>
      <c r="K1342">
        <v>1.7244862173867204</v>
      </c>
      <c r="L1342">
        <v>0</v>
      </c>
      <c r="M1342">
        <v>1.3072441639124231E-3</v>
      </c>
      <c r="N1342">
        <v>0.14257753257756495</v>
      </c>
      <c r="O1342">
        <v>1.702399488624556E-2</v>
      </c>
      <c r="P1342">
        <v>1.9989497329329229E-2</v>
      </c>
      <c r="Q1342">
        <v>2.1203128860647217E-3</v>
      </c>
      <c r="R1342">
        <v>1.2995139803739775E-3</v>
      </c>
      <c r="S1342">
        <v>0.14637812518589541</v>
      </c>
      <c r="T1342">
        <v>1.0691121319333594</v>
      </c>
      <c r="U1342">
        <v>2.2463604437526128E-2</v>
      </c>
      <c r="V1342">
        <v>0.2004486699038123</v>
      </c>
      <c r="W1342">
        <v>8.3764178759859018E-2</v>
      </c>
      <c r="X1342">
        <v>1.7079051000691309E-2</v>
      </c>
      <c r="Y1342">
        <v>3.5368486699094664E-3</v>
      </c>
    </row>
    <row r="1343" spans="1:25" x14ac:dyDescent="0.25">
      <c r="A1343" s="827"/>
      <c r="B1343" s="1066">
        <v>1093</v>
      </c>
      <c r="C1343" s="831">
        <v>0.99506657339339188</v>
      </c>
      <c r="D1343" s="831">
        <v>0.96944688317740735</v>
      </c>
      <c r="E1343" s="831">
        <v>1.0164216790038063</v>
      </c>
      <c r="F1343" s="831">
        <v>1.0036984631404631</v>
      </c>
      <c r="G1343" s="831">
        <v>0.9885512244575605</v>
      </c>
      <c r="H1343" s="831">
        <v>0.9795438453673927</v>
      </c>
      <c r="I1343" s="831">
        <v>0.98572289202012442</v>
      </c>
      <c r="K1343">
        <v>1.7412842366368397</v>
      </c>
      <c r="L1343">
        <v>0</v>
      </c>
      <c r="M1343">
        <v>1.3361709756442462E-3</v>
      </c>
      <c r="N1343">
        <v>0.14163227784921575</v>
      </c>
      <c r="O1343">
        <v>1.8178785918172194E-2</v>
      </c>
      <c r="P1343">
        <v>2.0083144640448348E-2</v>
      </c>
      <c r="Q1343">
        <v>2.2344166409045815E-3</v>
      </c>
      <c r="R1343">
        <v>1.3277919802867862E-3</v>
      </c>
      <c r="S1343">
        <v>0.15179275409498524</v>
      </c>
      <c r="T1343">
        <v>1.0699099364416991</v>
      </c>
      <c r="U1343">
        <v>2.3438158332229335E-2</v>
      </c>
      <c r="V1343">
        <v>0.20962443781657752</v>
      </c>
      <c r="W1343">
        <v>8.3719410872485786E-2</v>
      </c>
      <c r="X1343">
        <v>1.7065480961643849E-2</v>
      </c>
      <c r="Y1343">
        <v>3.6138120638319685E-3</v>
      </c>
    </row>
    <row r="1344" spans="1:25" x14ac:dyDescent="0.25">
      <c r="A1344" s="827"/>
      <c r="B1344" s="1066">
        <v>1094</v>
      </c>
      <c r="C1344" s="831">
        <v>1.0282507417170657</v>
      </c>
      <c r="D1344" s="831">
        <v>1.0220993755306205</v>
      </c>
      <c r="E1344" s="831">
        <v>0.99757251075267162</v>
      </c>
      <c r="F1344" s="831">
        <v>0.97862005801210195</v>
      </c>
      <c r="G1344" s="831">
        <v>1.0341126930521511</v>
      </c>
      <c r="H1344" s="831">
        <v>0.99694842593684119</v>
      </c>
      <c r="I1344" s="831">
        <v>0.99629021831733666</v>
      </c>
      <c r="K1344">
        <v>1.7140210213874094</v>
      </c>
      <c r="L1344">
        <v>0</v>
      </c>
      <c r="M1344">
        <v>1.336975867636971E-3</v>
      </c>
      <c r="N1344">
        <v>0.13366118781526498</v>
      </c>
      <c r="O1344">
        <v>1.717544909135774E-2</v>
      </c>
      <c r="P1344">
        <v>1.9630283389719935E-2</v>
      </c>
      <c r="Q1344">
        <v>2.0806454896637721E-3</v>
      </c>
      <c r="R1344">
        <v>1.3287025342031383E-3</v>
      </c>
      <c r="S1344">
        <v>0.14644411648207678</v>
      </c>
      <c r="T1344">
        <v>1.0715775951833033</v>
      </c>
      <c r="U1344">
        <v>2.2681751592376325E-2</v>
      </c>
      <c r="V1344">
        <v>0.20128637126076165</v>
      </c>
      <c r="W1344">
        <v>8.0028242749870082E-2</v>
      </c>
      <c r="X1344">
        <v>1.5847361375018718E-2</v>
      </c>
      <c r="Y1344">
        <v>3.6162902914282581E-3</v>
      </c>
    </row>
    <row r="1345" spans="1:25" x14ac:dyDescent="0.25">
      <c r="A1345" s="827"/>
      <c r="B1345" s="1066">
        <v>1095</v>
      </c>
      <c r="C1345" s="831">
        <v>1.0149761192967326</v>
      </c>
      <c r="D1345" s="831">
        <v>0.99328416082530868</v>
      </c>
      <c r="E1345" s="831">
        <v>0.98410332999869155</v>
      </c>
      <c r="F1345" s="831">
        <v>0.99598106633633332</v>
      </c>
      <c r="G1345" s="831">
        <v>0.99923449572611656</v>
      </c>
      <c r="H1345" s="831">
        <v>0.96472902892409207</v>
      </c>
      <c r="I1345" s="831">
        <v>1.0197017564508943</v>
      </c>
      <c r="K1345">
        <v>1.7207663178609587</v>
      </c>
      <c r="L1345">
        <v>0</v>
      </c>
      <c r="M1345">
        <v>1.3658879883214818E-3</v>
      </c>
      <c r="N1345">
        <v>0.13091876558312987</v>
      </c>
      <c r="O1345">
        <v>1.7626738476774578E-2</v>
      </c>
      <c r="P1345">
        <v>1.9571197296921739E-2</v>
      </c>
      <c r="Q1345">
        <v>2.1015422370929274E-3</v>
      </c>
      <c r="R1345">
        <v>1.3571737055292853E-3</v>
      </c>
      <c r="S1345">
        <v>0.15132654426584297</v>
      </c>
      <c r="T1345">
        <v>1.0727774791506346</v>
      </c>
      <c r="U1345">
        <v>2.2978400629231663E-2</v>
      </c>
      <c r="V1345">
        <v>0.20520597409899866</v>
      </c>
      <c r="W1345">
        <v>7.9116695120185307E-2</v>
      </c>
      <c r="X1345">
        <v>1.5457915850679941E-2</v>
      </c>
      <c r="Y1345">
        <v>3.6937794342589273E-3</v>
      </c>
    </row>
    <row r="1346" spans="1:25" x14ac:dyDescent="0.25">
      <c r="A1346" s="827"/>
      <c r="B1346" s="1066">
        <v>1096</v>
      </c>
      <c r="C1346" s="831">
        <v>0.97748639525794168</v>
      </c>
      <c r="D1346" s="831">
        <v>0.97769470176902162</v>
      </c>
      <c r="E1346" s="831">
        <v>1.0334647657188742</v>
      </c>
      <c r="F1346" s="831">
        <v>0.97087939666162315</v>
      </c>
      <c r="G1346" s="831">
        <v>1.0211450029468012</v>
      </c>
      <c r="H1346" s="831">
        <v>1.0197584193602607</v>
      </c>
      <c r="I1346" s="831">
        <v>1.026512877466027</v>
      </c>
      <c r="K1346">
        <v>1.7706243541664841</v>
      </c>
      <c r="L1346">
        <v>0</v>
      </c>
      <c r="M1346">
        <v>1.360693221820753E-3</v>
      </c>
      <c r="N1346">
        <v>0.15210789321791779</v>
      </c>
      <c r="O1346">
        <v>1.8434630333664957E-2</v>
      </c>
      <c r="P1346">
        <v>2.0498563767397331E-2</v>
      </c>
      <c r="Q1346">
        <v>2.3060996202644676E-3</v>
      </c>
      <c r="R1346">
        <v>1.3524912031509422E-3</v>
      </c>
      <c r="S1346">
        <v>0.16341357985645144</v>
      </c>
      <c r="T1346">
        <v>1.0684136465377907</v>
      </c>
      <c r="U1346">
        <v>2.3859695655558216E-2</v>
      </c>
      <c r="V1346">
        <v>0.2108033524038628</v>
      </c>
      <c r="W1346">
        <v>8.8886993629334887E-2</v>
      </c>
      <c r="X1346">
        <v>1.8227065956540112E-2</v>
      </c>
      <c r="Y1346">
        <v>3.68103520637157E-3</v>
      </c>
    </row>
    <row r="1347" spans="1:25" x14ac:dyDescent="0.25">
      <c r="A1347" s="827"/>
      <c r="B1347" s="1066">
        <v>1097</v>
      </c>
      <c r="C1347" s="831">
        <v>0.98711720229641053</v>
      </c>
      <c r="D1347" s="831">
        <v>0.98130050601777763</v>
      </c>
      <c r="E1347" s="831">
        <v>1.0145064754357016</v>
      </c>
      <c r="F1347" s="831">
        <v>1.0153808860212061</v>
      </c>
      <c r="G1347" s="831">
        <v>1.0115934581775803</v>
      </c>
      <c r="H1347" s="831">
        <v>1.0022056483212485</v>
      </c>
      <c r="I1347" s="831">
        <v>1.0009822669141364</v>
      </c>
      <c r="K1347">
        <v>1.7516515896603488</v>
      </c>
      <c r="L1347">
        <v>0</v>
      </c>
      <c r="M1347">
        <v>1.3760654148379167E-3</v>
      </c>
      <c r="N1347">
        <v>0.14501529788962206</v>
      </c>
      <c r="O1347">
        <v>1.8224284083266571E-2</v>
      </c>
      <c r="P1347">
        <v>2.0117845603757522E-2</v>
      </c>
      <c r="Q1347">
        <v>2.2379955432836485E-3</v>
      </c>
      <c r="R1347">
        <v>1.3676229015223101E-3</v>
      </c>
      <c r="S1347">
        <v>0.15626410407906732</v>
      </c>
      <c r="T1347">
        <v>1.0700787687319535</v>
      </c>
      <c r="U1347">
        <v>2.3626908581925354E-2</v>
      </c>
      <c r="V1347">
        <v>0.20936189157111731</v>
      </c>
      <c r="W1347">
        <v>8.5830327462931108E-2</v>
      </c>
      <c r="X1347">
        <v>1.7180389925561236E-2</v>
      </c>
      <c r="Y1347">
        <v>3.7222187011754062E-3</v>
      </c>
    </row>
    <row r="1348" spans="1:25" x14ac:dyDescent="0.25">
      <c r="A1348" s="827"/>
      <c r="B1348" s="1066">
        <v>1098</v>
      </c>
      <c r="C1348" s="831">
        <v>1.0064658850341608</v>
      </c>
      <c r="D1348" s="831">
        <v>0.97732290365845043</v>
      </c>
      <c r="E1348" s="831">
        <v>1.0163513259017545</v>
      </c>
      <c r="F1348" s="831">
        <v>1.0048355579623482</v>
      </c>
      <c r="G1348" s="831">
        <v>1.0461590474163387</v>
      </c>
      <c r="H1348" s="831">
        <v>1.0283643895380548</v>
      </c>
      <c r="I1348" s="831">
        <v>1.0142223001553514</v>
      </c>
      <c r="K1348">
        <v>1.7524656596592629</v>
      </c>
      <c r="L1348">
        <v>0</v>
      </c>
      <c r="M1348">
        <v>1.3819990031301165E-3</v>
      </c>
      <c r="N1348">
        <v>0.14650125211033646</v>
      </c>
      <c r="O1348">
        <v>1.7906929366765641E-2</v>
      </c>
      <c r="P1348">
        <v>2.0129023300512128E-2</v>
      </c>
      <c r="Q1348">
        <v>2.2023288962743845E-3</v>
      </c>
      <c r="R1348">
        <v>1.3737385302196199E-3</v>
      </c>
      <c r="S1348">
        <v>0.15746203420166147</v>
      </c>
      <c r="T1348">
        <v>1.0699161358716585</v>
      </c>
      <c r="U1348">
        <v>2.3172695910613585E-2</v>
      </c>
      <c r="V1348">
        <v>0.20761082575733508</v>
      </c>
      <c r="W1348">
        <v>8.6601602653232801E-2</v>
      </c>
      <c r="X1348">
        <v>1.7232228637309485E-2</v>
      </c>
      <c r="Y1348">
        <v>3.7388634264730264E-3</v>
      </c>
    </row>
    <row r="1349" spans="1:25" x14ac:dyDescent="0.25">
      <c r="A1349" s="827"/>
      <c r="B1349" s="1066">
        <v>1099</v>
      </c>
      <c r="C1349" s="831">
        <v>0.96748977134626346</v>
      </c>
      <c r="D1349" s="831">
        <v>0.97267846217742981</v>
      </c>
      <c r="E1349" s="831">
        <v>0.96059754641868977</v>
      </c>
      <c r="F1349" s="831">
        <v>1.0046628478862139</v>
      </c>
      <c r="G1349" s="831">
        <v>0.99149719705506423</v>
      </c>
      <c r="H1349" s="831">
        <v>1.0017733642424946</v>
      </c>
      <c r="I1349" s="831">
        <v>1.0332636021951642</v>
      </c>
      <c r="K1349">
        <v>1.7635821872239852</v>
      </c>
      <c r="L1349">
        <v>0</v>
      </c>
      <c r="M1349">
        <v>1.5780502601773843E-3</v>
      </c>
      <c r="N1349">
        <v>0.14060171576418345</v>
      </c>
      <c r="O1349">
        <v>1.8668683393598919E-2</v>
      </c>
      <c r="P1349">
        <v>1.9544355796429404E-2</v>
      </c>
      <c r="Q1349">
        <v>2.1692342835979315E-3</v>
      </c>
      <c r="R1349">
        <v>1.5683713882905009E-3</v>
      </c>
      <c r="S1349">
        <v>0.1651481752658836</v>
      </c>
      <c r="T1349">
        <v>1.0748877906460914</v>
      </c>
      <c r="U1349">
        <v>2.4106226845013439E-2</v>
      </c>
      <c r="V1349">
        <v>0.21246226986562983</v>
      </c>
      <c r="W1349">
        <v>8.6373135778630664E-2</v>
      </c>
      <c r="X1349">
        <v>1.5361688551374262E-2</v>
      </c>
      <c r="Y1349">
        <v>4.2685899054375441E-3</v>
      </c>
    </row>
    <row r="1350" spans="1:25" x14ac:dyDescent="0.25">
      <c r="A1350" s="827"/>
      <c r="B1350" s="1066">
        <v>1100</v>
      </c>
      <c r="C1350" s="831">
        <v>0.97417807158105274</v>
      </c>
      <c r="D1350" s="831">
        <v>0.95805360160055975</v>
      </c>
      <c r="E1350" s="831">
        <v>0.99499412486648209</v>
      </c>
      <c r="F1350" s="831">
        <v>1.0227622573191575</v>
      </c>
      <c r="G1350" s="831">
        <v>1.0354970791220239</v>
      </c>
      <c r="H1350" s="831">
        <v>0.985678513593782</v>
      </c>
      <c r="I1350" s="831">
        <v>0.96564353297834005</v>
      </c>
      <c r="K1350">
        <v>1.7524064630735352</v>
      </c>
      <c r="L1350">
        <v>0</v>
      </c>
      <c r="M1350">
        <v>1.4445584121863845E-3</v>
      </c>
      <c r="N1350">
        <v>0.14325694412046117</v>
      </c>
      <c r="O1350">
        <v>1.8668717299501456E-2</v>
      </c>
      <c r="P1350">
        <v>1.9864405100752752E-2</v>
      </c>
      <c r="Q1350">
        <v>2.2436747720292814E-3</v>
      </c>
      <c r="R1350">
        <v>1.4355649469831977E-3</v>
      </c>
      <c r="S1350">
        <v>0.15308419223339567</v>
      </c>
      <c r="T1350">
        <v>1.0718067581889348</v>
      </c>
      <c r="U1350">
        <v>2.3940723548058995E-2</v>
      </c>
      <c r="V1350">
        <v>0.21316172564814503</v>
      </c>
      <c r="W1350">
        <v>8.5925454497886286E-2</v>
      </c>
      <c r="X1350">
        <v>1.6555726577739894E-2</v>
      </c>
      <c r="Y1350">
        <v>3.9071345518306745E-3</v>
      </c>
    </row>
    <row r="1351" spans="1:25" x14ac:dyDescent="0.25">
      <c r="A1351" s="827"/>
      <c r="B1351" s="1066">
        <v>1101</v>
      </c>
      <c r="C1351" s="831">
        <v>1.0137694900264917</v>
      </c>
      <c r="D1351" s="831">
        <v>1.0016641133760835</v>
      </c>
      <c r="E1351" s="831">
        <v>1.0143315123148382</v>
      </c>
      <c r="F1351" s="831">
        <v>0.99411212793352621</v>
      </c>
      <c r="G1351" s="831">
        <v>0.97383939539841979</v>
      </c>
      <c r="H1351" s="831">
        <v>1.0214000761050062</v>
      </c>
      <c r="I1351" s="831">
        <v>1.0376945116925822</v>
      </c>
      <c r="K1351">
        <v>1.742796739587599</v>
      </c>
      <c r="L1351">
        <v>0</v>
      </c>
      <c r="M1351">
        <v>1.3534054522495826E-3</v>
      </c>
      <c r="N1351">
        <v>0.14256485184911791</v>
      </c>
      <c r="O1351">
        <v>1.7580668476126375E-2</v>
      </c>
      <c r="P1351">
        <v>2.0062011925733571E-2</v>
      </c>
      <c r="Q1351">
        <v>2.1622350682831194E-3</v>
      </c>
      <c r="R1351">
        <v>1.3452442979155835E-3</v>
      </c>
      <c r="S1351">
        <v>0.15780495533260502</v>
      </c>
      <c r="T1351">
        <v>1.0700941993003692</v>
      </c>
      <c r="U1351">
        <v>2.3005750446971611E-2</v>
      </c>
      <c r="V1351">
        <v>0.20456694398522512</v>
      </c>
      <c r="W1351">
        <v>8.438998119696961E-2</v>
      </c>
      <c r="X1351">
        <v>1.6911991641268671E-2</v>
      </c>
      <c r="Y1351">
        <v>3.6613115192625926E-3</v>
      </c>
    </row>
    <row r="1352" spans="1:25" x14ac:dyDescent="0.25">
      <c r="A1352" s="827"/>
      <c r="B1352" s="1066">
        <v>1102</v>
      </c>
      <c r="C1352" s="831">
        <v>1.0170738052904416</v>
      </c>
      <c r="D1352" s="831">
        <v>1.0253791054973671</v>
      </c>
      <c r="E1352" s="831">
        <v>0.98751449623544663</v>
      </c>
      <c r="F1352" s="831">
        <v>1.0301454526501534</v>
      </c>
      <c r="G1352" s="831">
        <v>0.99492558793666308</v>
      </c>
      <c r="H1352" s="831">
        <v>1.0035771955677892</v>
      </c>
      <c r="I1352" s="831">
        <v>0.97159014901500795</v>
      </c>
      <c r="K1352">
        <v>1.7159516834226876</v>
      </c>
      <c r="L1352">
        <v>0</v>
      </c>
      <c r="M1352">
        <v>1.3877420745158819E-3</v>
      </c>
      <c r="N1352">
        <v>0.13446535166440018</v>
      </c>
      <c r="O1352">
        <v>1.7339084759017818E-2</v>
      </c>
      <c r="P1352">
        <v>1.9484988100783918E-2</v>
      </c>
      <c r="Q1352">
        <v>2.0797917241822898E-3</v>
      </c>
      <c r="R1352">
        <v>1.3792091173705113E-3</v>
      </c>
      <c r="S1352">
        <v>0.14464099422190058</v>
      </c>
      <c r="T1352">
        <v>1.0724729539138467</v>
      </c>
      <c r="U1352">
        <v>2.2931008327014227E-2</v>
      </c>
      <c r="V1352">
        <v>0.20212989753437896</v>
      </c>
      <c r="W1352">
        <v>8.1068631885550718E-2</v>
      </c>
      <c r="X1352">
        <v>1.5593761687438909E-2</v>
      </c>
      <c r="Y1352">
        <v>3.7537525613191816E-3</v>
      </c>
    </row>
    <row r="1353" spans="1:25" x14ac:dyDescent="0.25">
      <c r="A1353" s="827"/>
      <c r="B1353" s="1066">
        <v>1103</v>
      </c>
      <c r="C1353" s="831">
        <v>0.97567729852631191</v>
      </c>
      <c r="D1353" s="831">
        <v>1.005841842574988</v>
      </c>
      <c r="E1353" s="831">
        <v>1.0381792174812259</v>
      </c>
      <c r="F1353" s="831">
        <v>0.9813113707502793</v>
      </c>
      <c r="G1353" s="831">
        <v>0.98298202184963934</v>
      </c>
      <c r="H1353" s="831">
        <v>0.98419499836206636</v>
      </c>
      <c r="I1353" s="831">
        <v>1.0340087394584003</v>
      </c>
      <c r="K1353">
        <v>1.7538002394509342</v>
      </c>
      <c r="L1353">
        <v>0</v>
      </c>
      <c r="M1353">
        <v>1.2859696515140743E-3</v>
      </c>
      <c r="N1353">
        <v>0.14583902179588193</v>
      </c>
      <c r="O1353">
        <v>1.8232658184662371E-2</v>
      </c>
      <c r="P1353">
        <v>2.0484473451593252E-2</v>
      </c>
      <c r="Q1353">
        <v>2.2968171230880723E-3</v>
      </c>
      <c r="R1353">
        <v>1.2779192769542642E-3</v>
      </c>
      <c r="S1353">
        <v>0.16027829225321327</v>
      </c>
      <c r="T1353">
        <v>1.0680016890462538</v>
      </c>
      <c r="U1353">
        <v>2.3903936202605249E-2</v>
      </c>
      <c r="V1353">
        <v>0.20831550304191235</v>
      </c>
      <c r="W1353">
        <v>8.4955927974605536E-2</v>
      </c>
      <c r="X1353">
        <v>1.802189574578246E-2</v>
      </c>
      <c r="Y1353">
        <v>3.478075005893077E-3</v>
      </c>
    </row>
    <row r="1354" spans="1:25" x14ac:dyDescent="0.25">
      <c r="A1354" s="827"/>
      <c r="B1354" s="1066">
        <v>1104</v>
      </c>
      <c r="C1354" s="831">
        <v>0.95920338078063672</v>
      </c>
      <c r="D1354" s="831">
        <v>1.0140596579921841</v>
      </c>
      <c r="E1354" s="831">
        <v>0.96693329429358288</v>
      </c>
      <c r="F1354" s="831">
        <v>0.96692597680175718</v>
      </c>
      <c r="G1354" s="831">
        <v>1.0373351360141674</v>
      </c>
      <c r="H1354" s="831">
        <v>1.0358444905248163</v>
      </c>
      <c r="I1354" s="831">
        <v>0.98212232138319966</v>
      </c>
      <c r="K1354">
        <v>1.7597039630855229</v>
      </c>
      <c r="L1354">
        <v>0</v>
      </c>
      <c r="M1354">
        <v>1.5937737476880718E-3</v>
      </c>
      <c r="N1354">
        <v>0.14486359965530585</v>
      </c>
      <c r="O1354">
        <v>1.8477646801194823E-2</v>
      </c>
      <c r="P1354">
        <v>1.9501044950433127E-2</v>
      </c>
      <c r="Q1354">
        <v>2.1684541207977717E-3</v>
      </c>
      <c r="R1354">
        <v>1.5842877064362309E-3</v>
      </c>
      <c r="S1354">
        <v>0.15810132612558889</v>
      </c>
      <c r="T1354">
        <v>1.0743169386878508</v>
      </c>
      <c r="U1354">
        <v>2.4314476330684384E-2</v>
      </c>
      <c r="V1354">
        <v>0.20942461741657703</v>
      </c>
      <c r="W1354">
        <v>8.8596406275207762E-2</v>
      </c>
      <c r="X1354">
        <v>1.5637029886512839E-2</v>
      </c>
      <c r="Y1354">
        <v>4.3119088766173548E-3</v>
      </c>
    </row>
    <row r="1355" spans="1:25" x14ac:dyDescent="0.25">
      <c r="A1355" s="827"/>
      <c r="B1355" s="1066">
        <v>1105</v>
      </c>
      <c r="C1355" s="831">
        <v>1.0081948955966353</v>
      </c>
      <c r="D1355" s="831">
        <v>0.96150467187846356</v>
      </c>
      <c r="E1355" s="831">
        <v>0.97540434977164103</v>
      </c>
      <c r="F1355" s="831">
        <v>0.99615980204901755</v>
      </c>
      <c r="G1355" s="831">
        <v>0.96416669276391254</v>
      </c>
      <c r="H1355" s="831">
        <v>0.97014188447373562</v>
      </c>
      <c r="I1355" s="831">
        <v>0.99805213038467533</v>
      </c>
      <c r="K1355">
        <v>1.7304379659720917</v>
      </c>
      <c r="L1355">
        <v>0</v>
      </c>
      <c r="M1355">
        <v>1.4292037529987647E-3</v>
      </c>
      <c r="N1355">
        <v>0.1333315010258527</v>
      </c>
      <c r="O1355">
        <v>1.8009329272073944E-2</v>
      </c>
      <c r="P1355">
        <v>1.9507701834605446E-2</v>
      </c>
      <c r="Q1355">
        <v>2.1225183256436248E-3</v>
      </c>
      <c r="R1355">
        <v>1.4201606775357688E-3</v>
      </c>
      <c r="S1355">
        <v>0.15153053561463387</v>
      </c>
      <c r="T1355">
        <v>1.0735560439488272</v>
      </c>
      <c r="U1355">
        <v>2.3132955741162767E-2</v>
      </c>
      <c r="V1355">
        <v>0.20895734083217657</v>
      </c>
      <c r="W1355">
        <v>8.1062673739090027E-2</v>
      </c>
      <c r="X1355">
        <v>1.5371199505077225E-2</v>
      </c>
      <c r="Y1355">
        <v>3.8652092084108343E-3</v>
      </c>
    </row>
    <row r="1356" spans="1:25" x14ac:dyDescent="0.25">
      <c r="A1356" s="827"/>
      <c r="B1356" s="1066">
        <v>1106</v>
      </c>
      <c r="C1356" s="831">
        <v>1.037143384457818</v>
      </c>
      <c r="D1356" s="831">
        <v>0.98673203121093578</v>
      </c>
      <c r="E1356" s="831">
        <v>0.9799415382964255</v>
      </c>
      <c r="F1356" s="831">
        <v>1.030578031754027</v>
      </c>
      <c r="G1356" s="831">
        <v>0.98599824379115975</v>
      </c>
      <c r="H1356" s="831">
        <v>1.0045567882228712</v>
      </c>
      <c r="I1356" s="831">
        <v>1.0043259450427631</v>
      </c>
      <c r="K1356">
        <v>1.7201933302148669</v>
      </c>
      <c r="L1356">
        <v>0</v>
      </c>
      <c r="M1356">
        <v>1.4083121602317746E-3</v>
      </c>
      <c r="N1356">
        <v>0.13328064495994427</v>
      </c>
      <c r="O1356">
        <v>1.7301847417116201E-2</v>
      </c>
      <c r="P1356">
        <v>1.9454561637988803E-2</v>
      </c>
      <c r="Q1356">
        <v>2.0529896050860076E-3</v>
      </c>
      <c r="R1356">
        <v>1.3996881168677722E-3</v>
      </c>
      <c r="S1356">
        <v>0.1490457609620143</v>
      </c>
      <c r="T1356">
        <v>1.0731496076787188</v>
      </c>
      <c r="U1356">
        <v>2.248727441914445E-2</v>
      </c>
      <c r="V1356">
        <v>0.20351861587073281</v>
      </c>
      <c r="W1356">
        <v>8.0776626227842971E-2</v>
      </c>
      <c r="X1356">
        <v>1.532453583258999E-2</v>
      </c>
      <c r="Y1356">
        <v>3.8094896470503574E-3</v>
      </c>
    </row>
    <row r="1357" spans="1:25" x14ac:dyDescent="0.25">
      <c r="A1357" s="827"/>
      <c r="B1357" s="1066">
        <v>1107</v>
      </c>
      <c r="C1357" s="831">
        <v>0.99303113900310314</v>
      </c>
      <c r="D1357" s="831">
        <v>0.98229071566833803</v>
      </c>
      <c r="E1357" s="831">
        <v>0.98127824101393069</v>
      </c>
      <c r="F1357" s="831">
        <v>0.98184283589457977</v>
      </c>
      <c r="G1357" s="831">
        <v>1.0034665410498189</v>
      </c>
      <c r="H1357" s="831">
        <v>1.0243140602840504</v>
      </c>
      <c r="I1357" s="831">
        <v>0.99961358802515776</v>
      </c>
      <c r="K1357">
        <v>1.7503757518840601</v>
      </c>
      <c r="L1357">
        <v>0</v>
      </c>
      <c r="M1357">
        <v>1.4986587833558042E-3</v>
      </c>
      <c r="N1357">
        <v>0.14244006719660926</v>
      </c>
      <c r="O1357">
        <v>1.8107458258005346E-2</v>
      </c>
      <c r="P1357">
        <v>1.9657141054758295E-2</v>
      </c>
      <c r="Q1357">
        <v>2.1506991876343645E-3</v>
      </c>
      <c r="R1357">
        <v>1.4896618359002867E-3</v>
      </c>
      <c r="S1357">
        <v>0.15666659844553996</v>
      </c>
      <c r="T1357">
        <v>1.0730300148117189</v>
      </c>
      <c r="U1357">
        <v>2.3486199961177959E-2</v>
      </c>
      <c r="V1357">
        <v>0.20860346195297061</v>
      </c>
      <c r="W1357">
        <v>8.6247824201043405E-2</v>
      </c>
      <c r="X1357">
        <v>1.5940915311628528E-2</v>
      </c>
      <c r="Y1357">
        <v>4.0543684504283535E-3</v>
      </c>
    </row>
    <row r="1358" spans="1:25" x14ac:dyDescent="0.25">
      <c r="A1358" s="827"/>
      <c r="B1358" s="1066">
        <v>1108</v>
      </c>
      <c r="C1358" s="831">
        <v>1.0268754242841105</v>
      </c>
      <c r="D1358" s="831">
        <v>1.0145968532457168</v>
      </c>
      <c r="E1358" s="831">
        <v>0.98170992180657568</v>
      </c>
      <c r="F1358" s="831">
        <v>1.0093613135247061</v>
      </c>
      <c r="G1358" s="831">
        <v>1.0348028642934517</v>
      </c>
      <c r="H1358" s="831">
        <v>1.0231819618027602</v>
      </c>
      <c r="I1358" s="831">
        <v>1.0017471921227816</v>
      </c>
      <c r="K1358">
        <v>1.7233451110014419</v>
      </c>
      <c r="L1358">
        <v>0</v>
      </c>
      <c r="M1358">
        <v>1.4253254327541804E-3</v>
      </c>
      <c r="N1358">
        <v>0.13564933282387556</v>
      </c>
      <c r="O1358">
        <v>1.7255819597525337E-2</v>
      </c>
      <c r="P1358">
        <v>1.9471219470574768E-2</v>
      </c>
      <c r="Q1358">
        <v>2.0558962980867638E-3</v>
      </c>
      <c r="R1358">
        <v>1.4167366294589947E-3</v>
      </c>
      <c r="S1358">
        <v>0.14971922713881139</v>
      </c>
      <c r="T1358">
        <v>1.0729914072978435</v>
      </c>
      <c r="U1358">
        <v>2.2712129774225091E-2</v>
      </c>
      <c r="V1358">
        <v>0.20207384860888689</v>
      </c>
      <c r="W1358">
        <v>8.2111443725704711E-2</v>
      </c>
      <c r="X1358">
        <v>1.5457484990920393E-2</v>
      </c>
      <c r="Y1358">
        <v>3.8558900782829997E-3</v>
      </c>
    </row>
    <row r="1359" spans="1:25" x14ac:dyDescent="0.25">
      <c r="A1359" s="827"/>
      <c r="B1359" s="1066">
        <v>1109</v>
      </c>
      <c r="C1359" s="831">
        <v>0.96196687368648759</v>
      </c>
      <c r="D1359" s="831">
        <v>0.98027752140752777</v>
      </c>
      <c r="E1359" s="831">
        <v>0.97665244409016772</v>
      </c>
      <c r="F1359" s="831">
        <v>0.99360136410093514</v>
      </c>
      <c r="G1359" s="831">
        <v>1.0327893353737081</v>
      </c>
      <c r="H1359" s="831">
        <v>0.96953068336766379</v>
      </c>
      <c r="I1359" s="831">
        <v>1.0006284517467252</v>
      </c>
      <c r="K1359">
        <v>1.751128087299769</v>
      </c>
      <c r="L1359">
        <v>0</v>
      </c>
      <c r="M1359">
        <v>1.4799762396887327E-3</v>
      </c>
      <c r="N1359">
        <v>0.13860424651540409</v>
      </c>
      <c r="O1359">
        <v>1.8709609981581918E-2</v>
      </c>
      <c r="P1359">
        <v>1.9670640995384667E-2</v>
      </c>
      <c r="Q1359">
        <v>2.211414035773795E-3</v>
      </c>
      <c r="R1359">
        <v>1.4705909988824207E-3</v>
      </c>
      <c r="S1359">
        <v>0.15790047589152498</v>
      </c>
      <c r="T1359">
        <v>1.0734441639861938</v>
      </c>
      <c r="U1359">
        <v>2.4244626853860026E-2</v>
      </c>
      <c r="V1359">
        <v>0.21235263386042288</v>
      </c>
      <c r="W1359">
        <v>8.4195237176994855E-2</v>
      </c>
      <c r="X1359">
        <v>1.5801959324668408E-2</v>
      </c>
      <c r="Y1359">
        <v>4.0024639187654565E-3</v>
      </c>
    </row>
    <row r="1360" spans="1:25" x14ac:dyDescent="0.25">
      <c r="A1360" s="827"/>
      <c r="B1360" s="1066">
        <v>1110</v>
      </c>
      <c r="C1360" s="831">
        <v>1.0015525659629387</v>
      </c>
      <c r="D1360" s="831">
        <v>1.0430223590693293</v>
      </c>
      <c r="E1360" s="831">
        <v>1.0179729508103101</v>
      </c>
      <c r="F1360" s="831">
        <v>1.0039571011109711</v>
      </c>
      <c r="G1360" s="831">
        <v>0.97262207477181561</v>
      </c>
      <c r="H1360" s="831">
        <v>1.0410383874066196</v>
      </c>
      <c r="I1360" s="831">
        <v>0.96506404730911566</v>
      </c>
      <c r="K1360">
        <v>1.7335457972468735</v>
      </c>
      <c r="L1360">
        <v>0</v>
      </c>
      <c r="M1360">
        <v>1.3604904580715672E-3</v>
      </c>
      <c r="N1360">
        <v>0.14495577337139906</v>
      </c>
      <c r="O1360">
        <v>1.7472779571380683E-2</v>
      </c>
      <c r="P1360">
        <v>1.993908345495066E-2</v>
      </c>
      <c r="Q1360">
        <v>2.1638580663519225E-3</v>
      </c>
      <c r="R1360">
        <v>1.3524150728794013E-3</v>
      </c>
      <c r="S1360">
        <v>0.14741256887360019</v>
      </c>
      <c r="T1360">
        <v>1.0697732878764148</v>
      </c>
      <c r="U1360">
        <v>2.3286374266217189E-2</v>
      </c>
      <c r="V1360">
        <v>0.20222022848427609</v>
      </c>
      <c r="W1360">
        <v>8.5594123911090531E-2</v>
      </c>
      <c r="X1360">
        <v>1.7054966751515636E-2</v>
      </c>
      <c r="Y1360">
        <v>3.6808280048687731E-3</v>
      </c>
    </row>
    <row r="1361" spans="1:25" x14ac:dyDescent="0.25">
      <c r="A1361" s="827"/>
      <c r="B1361" s="1066">
        <v>1111</v>
      </c>
      <c r="C1361" s="831">
        <v>1.0101595525735418</v>
      </c>
      <c r="D1361" s="831">
        <v>1.007058458686187</v>
      </c>
      <c r="E1361" s="831">
        <v>0.99510894050530907</v>
      </c>
      <c r="F1361" s="831">
        <v>0.97110577398036135</v>
      </c>
      <c r="G1361" s="831">
        <v>0.99895147158814068</v>
      </c>
      <c r="H1361" s="831">
        <v>1.0233135578778612</v>
      </c>
      <c r="I1361" s="831">
        <v>1.0219105367876924</v>
      </c>
      <c r="K1361">
        <v>1.7389798751274808</v>
      </c>
      <c r="L1361">
        <v>0</v>
      </c>
      <c r="M1361">
        <v>1.4136072342522876E-3</v>
      </c>
      <c r="N1361">
        <v>0.14026644873213012</v>
      </c>
      <c r="O1361">
        <v>1.7600645514941185E-2</v>
      </c>
      <c r="P1361">
        <v>1.9772280326524373E-2</v>
      </c>
      <c r="Q1361">
        <v>2.1243066574921864E-3</v>
      </c>
      <c r="R1361">
        <v>1.4050952820667565E-3</v>
      </c>
      <c r="S1361">
        <v>0.15575101897169397</v>
      </c>
      <c r="T1361">
        <v>1.0717965482165885</v>
      </c>
      <c r="U1361">
        <v>2.3087964509057351E-2</v>
      </c>
      <c r="V1361">
        <v>0.20445732452325685</v>
      </c>
      <c r="W1361">
        <v>8.4125124474901072E-2</v>
      </c>
      <c r="X1361">
        <v>1.618251898482876E-2</v>
      </c>
      <c r="Y1361">
        <v>3.8242061682504632E-3</v>
      </c>
    </row>
    <row r="1362" spans="1:25" x14ac:dyDescent="0.25">
      <c r="A1362" s="827"/>
      <c r="B1362" s="1066">
        <v>1112</v>
      </c>
      <c r="C1362" s="831">
        <v>0.97420013861374477</v>
      </c>
      <c r="D1362" s="831">
        <v>1.0130408123531562</v>
      </c>
      <c r="E1362" s="831">
        <v>0.98622995878478725</v>
      </c>
      <c r="F1362" s="831">
        <v>0.99600784143552057</v>
      </c>
      <c r="G1362" s="831">
        <v>0.98990519079656614</v>
      </c>
      <c r="H1362" s="831">
        <v>0.9620930022370805</v>
      </c>
      <c r="I1362" s="831">
        <v>1.0149694042070725</v>
      </c>
      <c r="K1362">
        <v>1.7361373253074901</v>
      </c>
      <c r="L1362">
        <v>0</v>
      </c>
      <c r="M1362">
        <v>1.4003134510687943E-3</v>
      </c>
      <c r="N1362">
        <v>0.13510657470918322</v>
      </c>
      <c r="O1362">
        <v>1.8201476120771186E-2</v>
      </c>
      <c r="P1362">
        <v>1.9704150346458376E-2</v>
      </c>
      <c r="Q1362">
        <v>2.1782553898023775E-3</v>
      </c>
      <c r="R1362">
        <v>1.3913406964045057E-3</v>
      </c>
      <c r="S1362">
        <v>0.15545724389871232</v>
      </c>
      <c r="T1362">
        <v>1.0725875771040907</v>
      </c>
      <c r="U1362">
        <v>2.3940181256276935E-2</v>
      </c>
      <c r="V1362">
        <v>0.20781355789726444</v>
      </c>
      <c r="W1362">
        <v>8.1527508977414273E-2</v>
      </c>
      <c r="X1362">
        <v>1.5843001641904827E-2</v>
      </c>
      <c r="Y1362">
        <v>3.7867707202757618E-3</v>
      </c>
    </row>
    <row r="1363" spans="1:25" x14ac:dyDescent="0.25">
      <c r="A1363" s="827"/>
      <c r="B1363" s="1066">
        <v>1113</v>
      </c>
      <c r="C1363" s="831">
        <v>1.0407357922334848</v>
      </c>
      <c r="D1363" s="831">
        <v>0.99590585742131588</v>
      </c>
      <c r="E1363" s="831">
        <v>1.0113086086012752</v>
      </c>
      <c r="F1363" s="831">
        <v>1.0215500445358427</v>
      </c>
      <c r="G1363" s="831">
        <v>1.0056923557479163</v>
      </c>
      <c r="H1363" s="831">
        <v>0.98831101384315723</v>
      </c>
      <c r="I1363" s="831">
        <v>0.98270124854777285</v>
      </c>
      <c r="K1363">
        <v>1.7115437451543498</v>
      </c>
      <c r="L1363">
        <v>0</v>
      </c>
      <c r="M1363">
        <v>1.2871454080689104E-3</v>
      </c>
      <c r="N1363">
        <v>0.13429032656040824</v>
      </c>
      <c r="O1363">
        <v>1.7169925840783255E-2</v>
      </c>
      <c r="P1363">
        <v>1.9787484404691361E-2</v>
      </c>
      <c r="Q1363">
        <v>2.1043610159042045E-3</v>
      </c>
      <c r="R1363">
        <v>1.27912771515808E-3</v>
      </c>
      <c r="S1363">
        <v>0.143671955982664</v>
      </c>
      <c r="T1363">
        <v>1.0703609819358912</v>
      </c>
      <c r="U1363">
        <v>2.2409652932423484E-2</v>
      </c>
      <c r="V1363">
        <v>0.20232988016809123</v>
      </c>
      <c r="W1363">
        <v>7.9655075644511436E-2</v>
      </c>
      <c r="X1363">
        <v>1.6290754385569668E-2</v>
      </c>
      <c r="Y1363">
        <v>3.4813639763223176E-3</v>
      </c>
    </row>
    <row r="1364" spans="1:25" x14ac:dyDescent="0.25">
      <c r="A1364" s="827"/>
      <c r="B1364" s="1066">
        <v>1114</v>
      </c>
      <c r="C1364" s="831">
        <v>1.0071411738619283</v>
      </c>
      <c r="D1364" s="831">
        <v>0.97065998720435809</v>
      </c>
      <c r="E1364" s="831">
        <v>1.0031089155630224</v>
      </c>
      <c r="F1364" s="831">
        <v>0.98499391540066061</v>
      </c>
      <c r="G1364" s="831">
        <v>0.99383004506217543</v>
      </c>
      <c r="H1364" s="831">
        <v>1.0004876240880893</v>
      </c>
      <c r="I1364" s="831">
        <v>0.99472404935984349</v>
      </c>
      <c r="K1364">
        <v>1.7405645141271093</v>
      </c>
      <c r="L1364">
        <v>0</v>
      </c>
      <c r="M1364">
        <v>1.3859867824323946E-3</v>
      </c>
      <c r="N1364">
        <v>0.14097496598151321</v>
      </c>
      <c r="O1364">
        <v>1.795063291082814E-2</v>
      </c>
      <c r="P1364">
        <v>1.9892126203789551E-2</v>
      </c>
      <c r="Q1364">
        <v>2.1774287455216005E-3</v>
      </c>
      <c r="R1364">
        <v>1.3774764577389922E-3</v>
      </c>
      <c r="S1364">
        <v>0.15276875700365655</v>
      </c>
      <c r="T1364">
        <v>1.0710863755641695</v>
      </c>
      <c r="U1364">
        <v>2.315715860257396E-2</v>
      </c>
      <c r="V1364">
        <v>0.20817862840580686</v>
      </c>
      <c r="W1364">
        <v>8.4088216917393016E-2</v>
      </c>
      <c r="X1364">
        <v>1.6549697283575329E-2</v>
      </c>
      <c r="Y1364">
        <v>3.7490368329732809E-3</v>
      </c>
    </row>
    <row r="1365" spans="1:25" x14ac:dyDescent="0.25">
      <c r="A1365" s="827"/>
      <c r="B1365" s="1066">
        <v>1115</v>
      </c>
      <c r="C1365" s="831">
        <v>0.99103309498553716</v>
      </c>
      <c r="D1365" s="831">
        <v>1.0062528927502408</v>
      </c>
      <c r="E1365" s="831">
        <v>1.0150449159697723</v>
      </c>
      <c r="F1365" s="831">
        <v>0.9547397166988375</v>
      </c>
      <c r="G1365" s="831">
        <v>1.0044163888900239</v>
      </c>
      <c r="H1365" s="831">
        <v>0.98964846602320578</v>
      </c>
      <c r="I1365" s="831">
        <v>0.98057651182633943</v>
      </c>
      <c r="K1365">
        <v>1.7353878418303821</v>
      </c>
      <c r="L1365">
        <v>0</v>
      </c>
      <c r="M1365">
        <v>1.3366336102115569E-3</v>
      </c>
      <c r="N1365">
        <v>0.14108285238153351</v>
      </c>
      <c r="O1365">
        <v>1.7946828547723288E-2</v>
      </c>
      <c r="P1365">
        <v>1.999903075282394E-2</v>
      </c>
      <c r="Q1365">
        <v>2.2096654642873013E-3</v>
      </c>
      <c r="R1365">
        <v>1.32831190451406E-3</v>
      </c>
      <c r="S1365">
        <v>0.15000172145769769</v>
      </c>
      <c r="T1365">
        <v>1.0700312891738546</v>
      </c>
      <c r="U1365">
        <v>2.3533551014906874E-2</v>
      </c>
      <c r="V1365">
        <v>0.20657754261819239</v>
      </c>
      <c r="W1365">
        <v>8.347238390877347E-2</v>
      </c>
      <c r="X1365">
        <v>1.6926071090099599E-2</v>
      </c>
      <c r="Y1365">
        <v>3.61522712618563E-3</v>
      </c>
    </row>
    <row r="1366" spans="1:25" x14ac:dyDescent="0.25">
      <c r="A1366" s="827"/>
      <c r="B1366" s="1066">
        <v>1116</v>
      </c>
      <c r="C1366" s="831">
        <v>0.98415916552012428</v>
      </c>
      <c r="D1366" s="831">
        <v>0.99231973595035539</v>
      </c>
      <c r="E1366" s="831">
        <v>1.0002692627960508</v>
      </c>
      <c r="F1366" s="831">
        <v>1.0210189021083098</v>
      </c>
      <c r="G1366" s="831">
        <v>1.0002303789936688</v>
      </c>
      <c r="H1366" s="831">
        <v>1.0097962475036331</v>
      </c>
      <c r="I1366" s="831">
        <v>0.9874336468206657</v>
      </c>
      <c r="K1366">
        <v>1.7485484207740467</v>
      </c>
      <c r="L1366">
        <v>0</v>
      </c>
      <c r="M1366">
        <v>1.4257971648163801E-3</v>
      </c>
      <c r="N1366">
        <v>0.14375543548078645</v>
      </c>
      <c r="O1366">
        <v>1.8186691668747219E-2</v>
      </c>
      <c r="P1366">
        <v>1.9890016281485366E-2</v>
      </c>
      <c r="Q1366">
        <v>2.203803866998998E-3</v>
      </c>
      <c r="R1366">
        <v>1.4171073323698104E-3</v>
      </c>
      <c r="S1366">
        <v>0.15444466773403392</v>
      </c>
      <c r="T1366">
        <v>1.0713381803074731</v>
      </c>
      <c r="U1366">
        <v>2.3697922770426354E-2</v>
      </c>
      <c r="V1366">
        <v>0.20863605613460123</v>
      </c>
      <c r="W1366">
        <v>8.5913272593805171E-2</v>
      </c>
      <c r="X1366">
        <v>1.6634164758732667E-2</v>
      </c>
      <c r="Y1366">
        <v>3.8568990094040574E-3</v>
      </c>
    </row>
    <row r="1367" spans="1:25" x14ac:dyDescent="0.25">
      <c r="A1367" s="827"/>
      <c r="B1367" s="1066">
        <v>1117</v>
      </c>
      <c r="C1367" s="831">
        <v>1.0108166178296132</v>
      </c>
      <c r="D1367" s="831">
        <v>1.0011778731366709</v>
      </c>
      <c r="E1367" s="831">
        <v>0.99814391240280576</v>
      </c>
      <c r="F1367" s="831">
        <v>0.98285055818479461</v>
      </c>
      <c r="G1367" s="831">
        <v>1.0079654003965142</v>
      </c>
      <c r="H1367" s="831">
        <v>0.9897834688136411</v>
      </c>
      <c r="I1367" s="831">
        <v>1.0007005673403679</v>
      </c>
      <c r="K1367">
        <v>1.7271528893870602</v>
      </c>
      <c r="L1367">
        <v>0</v>
      </c>
      <c r="M1367">
        <v>1.3612997422811272E-3</v>
      </c>
      <c r="N1367">
        <v>0.13633038373960604</v>
      </c>
      <c r="O1367">
        <v>1.7635904139821992E-2</v>
      </c>
      <c r="P1367">
        <v>1.9746886777808392E-2</v>
      </c>
      <c r="Q1367">
        <v>2.1340553621779792E-3</v>
      </c>
      <c r="R1367">
        <v>1.3528291075425762E-3</v>
      </c>
      <c r="S1367">
        <v>0.15040879307662453</v>
      </c>
      <c r="T1367">
        <v>1.0715268438196373</v>
      </c>
      <c r="U1367">
        <v>2.3072956545154982E-2</v>
      </c>
      <c r="V1367">
        <v>0.20492118230710651</v>
      </c>
      <c r="W1367">
        <v>8.1594440466192644E-2</v>
      </c>
      <c r="X1367">
        <v>1.6107958916930589E-2</v>
      </c>
      <c r="Y1367">
        <v>3.6819548707354463E-3</v>
      </c>
    </row>
    <row r="1368" spans="1:25" x14ac:dyDescent="0.25">
      <c r="A1368" s="827"/>
      <c r="B1368" s="1066">
        <v>1118</v>
      </c>
      <c r="C1368" s="831">
        <v>1.0176964885483477</v>
      </c>
      <c r="D1368" s="831">
        <v>0.98908836781675746</v>
      </c>
      <c r="E1368" s="831">
        <v>1.0131263131289092</v>
      </c>
      <c r="F1368" s="831">
        <v>1.0086663361601409</v>
      </c>
      <c r="G1368" s="831">
        <v>0.97838088173343252</v>
      </c>
      <c r="H1368" s="831">
        <v>1.0046117082090136</v>
      </c>
      <c r="I1368" s="831">
        <v>1.0020914387650341</v>
      </c>
      <c r="K1368">
        <v>1.7333541883979184</v>
      </c>
      <c r="L1368">
        <v>0</v>
      </c>
      <c r="M1368">
        <v>1.3370258926715425E-3</v>
      </c>
      <c r="N1368">
        <v>0.14029957572063365</v>
      </c>
      <c r="O1368">
        <v>1.7613396724589066E-2</v>
      </c>
      <c r="P1368">
        <v>1.9966491598807812E-2</v>
      </c>
      <c r="Q1368">
        <v>2.1614121776563277E-3</v>
      </c>
      <c r="R1368">
        <v>1.3288372293632856E-3</v>
      </c>
      <c r="S1368">
        <v>0.15140954876007456</v>
      </c>
      <c r="T1368">
        <v>1.070200521222437</v>
      </c>
      <c r="U1368">
        <v>2.2916977862005441E-2</v>
      </c>
      <c r="V1368">
        <v>0.20530652834844901</v>
      </c>
      <c r="W1368">
        <v>8.3116933080646882E-2</v>
      </c>
      <c r="X1368">
        <v>1.6754334678675903E-2</v>
      </c>
      <c r="Y1368">
        <v>3.6166568872519323E-3</v>
      </c>
    </row>
    <row r="1369" spans="1:25" x14ac:dyDescent="0.25">
      <c r="A1369" s="827"/>
      <c r="B1369" s="1066">
        <v>1119</v>
      </c>
      <c r="C1369" s="831">
        <v>1.0175964830829427</v>
      </c>
      <c r="D1369" s="831">
        <v>1.0074345882519162</v>
      </c>
      <c r="E1369" s="831">
        <v>0.98451939142257205</v>
      </c>
      <c r="F1369" s="831">
        <v>1.0003895961121922</v>
      </c>
      <c r="G1369" s="831">
        <v>1.0021935026572952</v>
      </c>
      <c r="H1369" s="831">
        <v>1.0038784360448854</v>
      </c>
      <c r="I1369" s="831">
        <v>1.017680937780661</v>
      </c>
      <c r="K1369">
        <v>1.7271122791632094</v>
      </c>
      <c r="L1369">
        <v>0</v>
      </c>
      <c r="M1369">
        <v>1.4073819809463895E-3</v>
      </c>
      <c r="N1369">
        <v>0.13510370511537662</v>
      </c>
      <c r="O1369">
        <v>1.746906160519664E-2</v>
      </c>
      <c r="P1369">
        <v>1.9571686905094712E-2</v>
      </c>
      <c r="Q1369">
        <v>2.086039131554163E-3</v>
      </c>
      <c r="R1369">
        <v>1.3987431859749373E-3</v>
      </c>
      <c r="S1369">
        <v>0.1525583048431764</v>
      </c>
      <c r="T1369">
        <v>1.0727403126338904</v>
      </c>
      <c r="U1369">
        <v>2.2919230054377231E-2</v>
      </c>
      <c r="V1369">
        <v>0.20364984275834253</v>
      </c>
      <c r="W1369">
        <v>8.1622236897487752E-2</v>
      </c>
      <c r="X1369">
        <v>1.5593580157028815E-2</v>
      </c>
      <c r="Y1369">
        <v>3.8069178566564436E-3</v>
      </c>
    </row>
    <row r="1370" spans="1:25" x14ac:dyDescent="0.25">
      <c r="A1370" s="827"/>
      <c r="B1370" s="1066">
        <v>1120</v>
      </c>
      <c r="C1370" s="831">
        <v>1.0142958567986791</v>
      </c>
      <c r="D1370" s="831">
        <v>0.97022627251037541</v>
      </c>
      <c r="E1370" s="831">
        <v>0.98896535219983694</v>
      </c>
      <c r="F1370" s="831">
        <v>0.98897056377594839</v>
      </c>
      <c r="G1370" s="831">
        <v>0.98022169742862353</v>
      </c>
      <c r="H1370" s="831">
        <v>1.0124921307258468</v>
      </c>
      <c r="I1370" s="831">
        <v>0.99290762112185427</v>
      </c>
      <c r="K1370">
        <v>1.7384308694617263</v>
      </c>
      <c r="L1370">
        <v>0</v>
      </c>
      <c r="M1370">
        <v>1.4350945274785624E-3</v>
      </c>
      <c r="N1370">
        <v>0.13969465943431961</v>
      </c>
      <c r="O1370">
        <v>1.782763349130094E-2</v>
      </c>
      <c r="P1370">
        <v>1.9681031958327412E-2</v>
      </c>
      <c r="Q1370">
        <v>2.1318362614796854E-3</v>
      </c>
      <c r="R1370">
        <v>1.4263874672717834E-3</v>
      </c>
      <c r="S1370">
        <v>0.15229757975805208</v>
      </c>
      <c r="T1370">
        <v>1.0723435643098271</v>
      </c>
      <c r="U1370">
        <v>2.2993811659562286E-2</v>
      </c>
      <c r="V1370">
        <v>0.20744716647498088</v>
      </c>
      <c r="W1370">
        <v>8.4137103138260186E-2</v>
      </c>
      <c r="X1370">
        <v>1.6003033558409673E-2</v>
      </c>
      <c r="Y1370">
        <v>3.8821564774115798E-3</v>
      </c>
    </row>
    <row r="1371" spans="1:25" x14ac:dyDescent="0.25">
      <c r="A1371" s="827"/>
      <c r="B1371" s="1066">
        <v>1121</v>
      </c>
      <c r="C1371" s="831">
        <v>1.0021616846050152</v>
      </c>
      <c r="D1371" s="831">
        <v>1.0397693906845897</v>
      </c>
      <c r="E1371" s="831">
        <v>0.98370141936740629</v>
      </c>
      <c r="F1371" s="831">
        <v>0.98770776059288545</v>
      </c>
      <c r="G1371" s="831">
        <v>1.0152329661775459</v>
      </c>
      <c r="H1371" s="831">
        <v>1.0282992433683065</v>
      </c>
      <c r="I1371" s="831">
        <v>1.0327548198263949</v>
      </c>
      <c r="K1371">
        <v>1.7363761231214467</v>
      </c>
      <c r="L1371">
        <v>0</v>
      </c>
      <c r="M1371">
        <v>1.4455843407171435E-3</v>
      </c>
      <c r="N1371">
        <v>0.13843606416530893</v>
      </c>
      <c r="O1371">
        <v>1.7486767106559862E-2</v>
      </c>
      <c r="P1371">
        <v>1.9607925576080779E-2</v>
      </c>
      <c r="Q1371">
        <v>2.0917657334861813E-3</v>
      </c>
      <c r="R1371">
        <v>1.4368997320062884E-3</v>
      </c>
      <c r="S1371">
        <v>0.15693436861986368</v>
      </c>
      <c r="T1371">
        <v>1.0728133877679797</v>
      </c>
      <c r="U1371">
        <v>2.3272220697097785E-2</v>
      </c>
      <c r="V1371">
        <v>0.20243443120879812</v>
      </c>
      <c r="W1371">
        <v>8.3682811907998075E-2</v>
      </c>
      <c r="X1371">
        <v>1.5714297550330578E-2</v>
      </c>
      <c r="Y1371">
        <v>3.9107673966517643E-3</v>
      </c>
    </row>
    <row r="1372" spans="1:25" x14ac:dyDescent="0.25">
      <c r="A1372" s="827"/>
      <c r="B1372" s="1066">
        <v>1122</v>
      </c>
      <c r="C1372" s="831">
        <v>1.0135088095159186</v>
      </c>
      <c r="D1372" s="831">
        <v>1.0031248672136814</v>
      </c>
      <c r="E1372" s="831">
        <v>0.97760448789570009</v>
      </c>
      <c r="F1372" s="831">
        <v>1.0415185466398957</v>
      </c>
      <c r="G1372" s="831">
        <v>1.0006517082597919</v>
      </c>
      <c r="H1372" s="831">
        <v>0.98026984701501219</v>
      </c>
      <c r="I1372" s="831">
        <v>0.99487014413016206</v>
      </c>
      <c r="K1372">
        <v>1.7190685317017054</v>
      </c>
      <c r="L1372">
        <v>0</v>
      </c>
      <c r="M1372">
        <v>1.4027233915253523E-3</v>
      </c>
      <c r="N1372">
        <v>0.13176727015165343</v>
      </c>
      <c r="O1372">
        <v>1.7573589625324813E-2</v>
      </c>
      <c r="P1372">
        <v>1.9433126167451711E-2</v>
      </c>
      <c r="Q1372">
        <v>2.0831023624796911E-3</v>
      </c>
      <c r="R1372">
        <v>1.3939088963574949E-3</v>
      </c>
      <c r="S1372">
        <v>0.14834565067910735</v>
      </c>
      <c r="T1372">
        <v>1.0733588614958736</v>
      </c>
      <c r="U1372">
        <v>2.3011667663197437E-2</v>
      </c>
      <c r="V1372">
        <v>0.20446317899949473</v>
      </c>
      <c r="W1372">
        <v>7.9989145402731832E-2</v>
      </c>
      <c r="X1372">
        <v>1.5257993135616179E-2</v>
      </c>
      <c r="Y1372">
        <v>3.7937605139409109E-3</v>
      </c>
    </row>
    <row r="1373" spans="1:25" x14ac:dyDescent="0.25">
      <c r="A1373" s="827"/>
      <c r="B1373" s="1066">
        <v>1123</v>
      </c>
      <c r="C1373" s="831">
        <v>1.0243973769668564</v>
      </c>
      <c r="D1373" s="831">
        <v>1.0315272744479844</v>
      </c>
      <c r="E1373" s="831">
        <v>1.0167431305101404</v>
      </c>
      <c r="F1373" s="831">
        <v>1.0121338874436145</v>
      </c>
      <c r="G1373" s="831">
        <v>0.97305378988350932</v>
      </c>
      <c r="H1373" s="831">
        <v>0.99105638590578626</v>
      </c>
      <c r="I1373" s="831">
        <v>1.0302025441573135</v>
      </c>
      <c r="K1373">
        <v>1.719137508872481</v>
      </c>
      <c r="L1373">
        <v>0</v>
      </c>
      <c r="M1373">
        <v>1.2759349753959483E-3</v>
      </c>
      <c r="N1373">
        <v>0.13538814696146437</v>
      </c>
      <c r="O1373">
        <v>1.716872465319047E-2</v>
      </c>
      <c r="P1373">
        <v>1.9946308796678722E-2</v>
      </c>
      <c r="Q1373">
        <v>2.1217105898734892E-3</v>
      </c>
      <c r="R1373">
        <v>1.2679865675373867E-3</v>
      </c>
      <c r="S1373">
        <v>0.15100260376900498</v>
      </c>
      <c r="T1373">
        <v>1.0698816129092976</v>
      </c>
      <c r="U1373">
        <v>2.2767071082668126E-2</v>
      </c>
      <c r="V1373">
        <v>0.20086762350815374</v>
      </c>
      <c r="W1373">
        <v>8.0011081687721725E-2</v>
      </c>
      <c r="X1373">
        <v>1.6539531877107366E-2</v>
      </c>
      <c r="Y1373">
        <v>3.4510414451771163E-3</v>
      </c>
    </row>
    <row r="1374" spans="1:25" x14ac:dyDescent="0.25">
      <c r="A1374" s="827"/>
      <c r="B1374" s="1066">
        <v>1124</v>
      </c>
      <c r="C1374" s="831">
        <v>0.9809726008804297</v>
      </c>
      <c r="D1374" s="831">
        <v>0.9821873196448605</v>
      </c>
      <c r="E1374" s="831">
        <v>0.98807964213165289</v>
      </c>
      <c r="F1374" s="831">
        <v>1.0007769922309273</v>
      </c>
      <c r="G1374" s="831">
        <v>1.0306244485425888</v>
      </c>
      <c r="H1374" s="831">
        <v>0.98013671369790756</v>
      </c>
      <c r="I1374" s="831">
        <v>0.98761878714853901</v>
      </c>
      <c r="K1374">
        <v>1.742432753178863</v>
      </c>
      <c r="L1374">
        <v>0</v>
      </c>
      <c r="M1374">
        <v>1.4311243715409681E-3</v>
      </c>
      <c r="N1374">
        <v>0.13889564968287224</v>
      </c>
      <c r="O1374">
        <v>1.8330918820884282E-2</v>
      </c>
      <c r="P1374">
        <v>1.9729581181247128E-2</v>
      </c>
      <c r="Q1374">
        <v>2.1922853299533255E-3</v>
      </c>
      <c r="R1374">
        <v>1.4221456910919954E-3</v>
      </c>
      <c r="S1374">
        <v>0.15347732766255684</v>
      </c>
      <c r="T1374">
        <v>1.0724225438966868</v>
      </c>
      <c r="U1374">
        <v>2.3774902456369377E-2</v>
      </c>
      <c r="V1374">
        <v>0.20996801746566071</v>
      </c>
      <c r="W1374">
        <v>8.3706988163810239E-2</v>
      </c>
      <c r="X1374">
        <v>1.6072905438318574E-2</v>
      </c>
      <c r="Y1374">
        <v>3.8706117609513392E-3</v>
      </c>
    </row>
    <row r="1375" spans="1:25" x14ac:dyDescent="0.25">
      <c r="A1375" s="827"/>
      <c r="B1375" s="1066">
        <v>1125</v>
      </c>
      <c r="C1375" s="831">
        <v>1.0096695727607676</v>
      </c>
      <c r="D1375" s="831">
        <v>0.99754702272567231</v>
      </c>
      <c r="E1375" s="831">
        <v>1.0034285601056268</v>
      </c>
      <c r="F1375" s="831">
        <v>1.0214752114194996</v>
      </c>
      <c r="G1375" s="831">
        <v>0.98099001583532675</v>
      </c>
      <c r="H1375" s="831">
        <v>0.96702461078952884</v>
      </c>
      <c r="I1375" s="831">
        <v>0.99607657654218429</v>
      </c>
      <c r="K1375">
        <v>1.7217362267319871</v>
      </c>
      <c r="L1375">
        <v>0</v>
      </c>
      <c r="M1375">
        <v>1.3189376805710579E-3</v>
      </c>
      <c r="N1375">
        <v>0.1342579050034744</v>
      </c>
      <c r="O1375">
        <v>1.7685022050221003E-2</v>
      </c>
      <c r="P1375">
        <v>1.9798826266658343E-2</v>
      </c>
      <c r="Q1375">
        <v>2.1507510828277935E-3</v>
      </c>
      <c r="R1375">
        <v>1.3105399768404485E-3</v>
      </c>
      <c r="S1375">
        <v>0.14849645876226619</v>
      </c>
      <c r="T1375">
        <v>1.0710580503158376</v>
      </c>
      <c r="U1375">
        <v>2.3099168804831569E-2</v>
      </c>
      <c r="V1375">
        <v>0.20537259256384086</v>
      </c>
      <c r="W1375">
        <v>8.006417652634773E-2</v>
      </c>
      <c r="X1375">
        <v>1.6194815261840044E-2</v>
      </c>
      <c r="Y1375">
        <v>3.5668577975724427E-3</v>
      </c>
    </row>
    <row r="1376" spans="1:25" x14ac:dyDescent="0.25">
      <c r="A1376" s="827"/>
      <c r="B1376" s="1066">
        <v>1126</v>
      </c>
      <c r="C1376" s="831">
        <v>1.0023030956950314</v>
      </c>
      <c r="D1376" s="831">
        <v>1.0220045966109299</v>
      </c>
      <c r="E1376" s="831">
        <v>1.0141784609292277</v>
      </c>
      <c r="F1376" s="831">
        <v>1.0029844541083621</v>
      </c>
      <c r="G1376" s="831">
        <v>0.98657493131436791</v>
      </c>
      <c r="H1376" s="831">
        <v>1.0046624676194902</v>
      </c>
      <c r="I1376" s="831">
        <v>1.0057543790969792</v>
      </c>
      <c r="K1376">
        <v>1.7334196875422985</v>
      </c>
      <c r="L1376">
        <v>0</v>
      </c>
      <c r="M1376">
        <v>1.3347125891963439E-3</v>
      </c>
      <c r="N1376">
        <v>0.14051331069964088</v>
      </c>
      <c r="O1376">
        <v>1.7620825776768455E-2</v>
      </c>
      <c r="P1376">
        <v>1.9978081489546148E-2</v>
      </c>
      <c r="Q1376">
        <v>2.1703947358469064E-3</v>
      </c>
      <c r="R1376">
        <v>1.3265167394678917E-3</v>
      </c>
      <c r="S1376">
        <v>0.15221846795266727</v>
      </c>
      <c r="T1376">
        <v>1.0701076983513684</v>
      </c>
      <c r="U1376">
        <v>2.3268937308958935E-2</v>
      </c>
      <c r="V1376">
        <v>0.20395532014165832</v>
      </c>
      <c r="W1376">
        <v>8.3184214703638307E-2</v>
      </c>
      <c r="X1376">
        <v>1.6800290953228224E-2</v>
      </c>
      <c r="Y1376">
        <v>3.6103412787059585E-3</v>
      </c>
    </row>
    <row r="1377" spans="1:25" x14ac:dyDescent="0.25">
      <c r="A1377" s="827"/>
      <c r="B1377" s="1066">
        <v>1127</v>
      </c>
      <c r="C1377" s="831">
        <v>0.99244540162635375</v>
      </c>
      <c r="D1377" s="831">
        <v>1.0354930986399977</v>
      </c>
      <c r="E1377" s="831">
        <v>1.0337190450568277</v>
      </c>
      <c r="F1377" s="831">
        <v>1.0401175911666074</v>
      </c>
      <c r="G1377" s="831">
        <v>0.98343640852142744</v>
      </c>
      <c r="H1377" s="831">
        <v>1.0300155551014056</v>
      </c>
      <c r="I1377" s="831">
        <v>0.99158298954723612</v>
      </c>
      <c r="K1377">
        <v>1.7433926630687191</v>
      </c>
      <c r="L1377">
        <v>0</v>
      </c>
      <c r="M1377">
        <v>1.318253713032601E-3</v>
      </c>
      <c r="N1377">
        <v>0.14748480698063865</v>
      </c>
      <c r="O1377">
        <v>1.7690818187064639E-2</v>
      </c>
      <c r="P1377">
        <v>2.0247080360203118E-2</v>
      </c>
      <c r="Q1377">
        <v>2.2240196082881697E-3</v>
      </c>
      <c r="R1377">
        <v>1.310349864892848E-3</v>
      </c>
      <c r="S1377">
        <v>0.15253409899094178</v>
      </c>
      <c r="T1377">
        <v>1.0683914056107064</v>
      </c>
      <c r="U1377">
        <v>2.3500061424118417E-2</v>
      </c>
      <c r="V1377">
        <v>0.20381871819539557</v>
      </c>
      <c r="W1377">
        <v>8.6170761725714987E-2</v>
      </c>
      <c r="X1377">
        <v>1.7772455458264065E-2</v>
      </c>
      <c r="Y1377">
        <v>3.5663403755214615E-3</v>
      </c>
    </row>
    <row r="1378" spans="1:25" x14ac:dyDescent="0.25">
      <c r="A1378" s="827"/>
      <c r="B1378" s="1066">
        <v>1128</v>
      </c>
      <c r="C1378" s="831">
        <v>1.0333370479606785</v>
      </c>
      <c r="D1378" s="831">
        <v>0.99643418166505826</v>
      </c>
      <c r="E1378" s="831">
        <v>0.97124248726803863</v>
      </c>
      <c r="F1378" s="831">
        <v>0.9787695636423388</v>
      </c>
      <c r="G1378" s="831">
        <v>1.0276851048995128</v>
      </c>
      <c r="H1378" s="831">
        <v>1.0339885442438495</v>
      </c>
      <c r="I1378" s="831">
        <v>0.9840437717050281</v>
      </c>
      <c r="K1378">
        <v>1.7240294120264681</v>
      </c>
      <c r="L1378">
        <v>0</v>
      </c>
      <c r="M1378">
        <v>1.475155967124977E-3</v>
      </c>
      <c r="N1378">
        <v>0.13589555865547479</v>
      </c>
      <c r="O1378">
        <v>1.7288707671287429E-2</v>
      </c>
      <c r="P1378">
        <v>1.9316727048616388E-2</v>
      </c>
      <c r="Q1378">
        <v>2.0349669737218597E-3</v>
      </c>
      <c r="R1378">
        <v>1.4663726925864876E-3</v>
      </c>
      <c r="S1378">
        <v>0.1479941134332281</v>
      </c>
      <c r="T1378">
        <v>1.0739295383290008</v>
      </c>
      <c r="U1378">
        <v>2.2570107153644495E-2</v>
      </c>
      <c r="V1378">
        <v>0.20302406543477541</v>
      </c>
      <c r="W1378">
        <v>8.2861636605934569E-2</v>
      </c>
      <c r="X1378">
        <v>1.5131790915728844E-2</v>
      </c>
      <c r="Y1378">
        <v>3.9909830795922217E-3</v>
      </c>
    </row>
    <row r="1379" spans="1:25" x14ac:dyDescent="0.25">
      <c r="A1379" s="827"/>
      <c r="B1379" s="1066">
        <v>1129</v>
      </c>
      <c r="C1379" s="831">
        <v>1.0238263136355259</v>
      </c>
      <c r="D1379" s="831">
        <v>1.010541323844373</v>
      </c>
      <c r="E1379" s="831">
        <v>0.98817490904513527</v>
      </c>
      <c r="F1379" s="831">
        <v>0.98690505432043585</v>
      </c>
      <c r="G1379" s="831">
        <v>1.0084408379139924</v>
      </c>
      <c r="H1379" s="831">
        <v>1.0063692301739622</v>
      </c>
      <c r="I1379" s="831">
        <v>1.0157229376297163</v>
      </c>
      <c r="K1379">
        <v>1.7239119032344545</v>
      </c>
      <c r="L1379">
        <v>0</v>
      </c>
      <c r="M1379">
        <v>1.389622786185119E-3</v>
      </c>
      <c r="N1379">
        <v>0.13492806142257222</v>
      </c>
      <c r="O1379">
        <v>1.7338591319352663E-2</v>
      </c>
      <c r="P1379">
        <v>1.9590414634500539E-2</v>
      </c>
      <c r="Q1379">
        <v>2.0786611542597711E-3</v>
      </c>
      <c r="R1379">
        <v>1.3811119877394043E-3</v>
      </c>
      <c r="S1379">
        <v>0.15132166806945943</v>
      </c>
      <c r="T1379">
        <v>1.0724140474402553</v>
      </c>
      <c r="U1379">
        <v>2.2779769954814625E-2</v>
      </c>
      <c r="V1379">
        <v>0.20273485136669589</v>
      </c>
      <c r="W1379">
        <v>8.1310532899110402E-2</v>
      </c>
      <c r="X1379">
        <v>1.5664884224697213E-2</v>
      </c>
      <c r="Y1379">
        <v>3.7589315471822605E-3</v>
      </c>
    </row>
    <row r="1380" spans="1:25" x14ac:dyDescent="0.25">
      <c r="A1380" s="827"/>
      <c r="B1380" s="1066">
        <v>1130</v>
      </c>
      <c r="C1380" s="831">
        <v>1.0045596267135695</v>
      </c>
      <c r="D1380" s="831">
        <v>1.0135421687939576</v>
      </c>
      <c r="E1380" s="831">
        <v>0.98223326620123808</v>
      </c>
      <c r="F1380" s="831">
        <v>1.0337447140388873</v>
      </c>
      <c r="G1380" s="831">
        <v>0.9967487482146915</v>
      </c>
      <c r="H1380" s="831">
        <v>0.99227880139461966</v>
      </c>
      <c r="I1380" s="831">
        <v>1.008847210330817</v>
      </c>
      <c r="K1380">
        <v>1.7272826826429732</v>
      </c>
      <c r="L1380">
        <v>0</v>
      </c>
      <c r="M1380">
        <v>1.4120941465810063E-3</v>
      </c>
      <c r="N1380">
        <v>0.13458403981445133</v>
      </c>
      <c r="O1380">
        <v>1.764744736535015E-2</v>
      </c>
      <c r="P1380">
        <v>1.9547813756678929E-2</v>
      </c>
      <c r="Q1380">
        <v>2.1034951524369857E-3</v>
      </c>
      <c r="R1380">
        <v>1.4033208075725696E-3</v>
      </c>
      <c r="S1380">
        <v>0.15198201577011974</v>
      </c>
      <c r="T1380">
        <v>1.0729446112133676</v>
      </c>
      <c r="U1380">
        <v>2.3216668556154473E-2</v>
      </c>
      <c r="V1380">
        <v>0.20446672985062389</v>
      </c>
      <c r="W1380">
        <v>8.1437061268710545E-2</v>
      </c>
      <c r="X1380">
        <v>1.5542196600453884E-2</v>
      </c>
      <c r="Y1380">
        <v>3.8193766336326452E-3</v>
      </c>
    </row>
    <row r="1381" spans="1:25" x14ac:dyDescent="0.25">
      <c r="A1381" s="827"/>
      <c r="B1381" s="1066">
        <v>1131</v>
      </c>
      <c r="C1381" s="831">
        <v>0.99607677640973302</v>
      </c>
      <c r="D1381" s="831">
        <v>0.99112131235897127</v>
      </c>
      <c r="E1381" s="831">
        <v>0.97436996004580712</v>
      </c>
      <c r="F1381" s="831">
        <v>1.0065513859500035</v>
      </c>
      <c r="G1381" s="831">
        <v>0.99332923656678951</v>
      </c>
      <c r="H1381" s="831">
        <v>1.0443569477729078</v>
      </c>
      <c r="I1381" s="831">
        <v>1.0035447497644499</v>
      </c>
      <c r="K1381">
        <v>1.7520246865898061</v>
      </c>
      <c r="L1381">
        <v>0</v>
      </c>
      <c r="M1381">
        <v>1.5393009410924069E-3</v>
      </c>
      <c r="N1381">
        <v>0.14320295707563099</v>
      </c>
      <c r="O1381">
        <v>1.7978944275295467E-2</v>
      </c>
      <c r="P1381">
        <v>1.9559141542532368E-2</v>
      </c>
      <c r="Q1381">
        <v>2.1220427238502738E-3</v>
      </c>
      <c r="R1381">
        <v>1.5302306956732406E-3</v>
      </c>
      <c r="S1381">
        <v>0.1576742447308776</v>
      </c>
      <c r="T1381">
        <v>1.0736488116015841</v>
      </c>
      <c r="U1381">
        <v>2.3414387776780669E-2</v>
      </c>
      <c r="V1381">
        <v>0.20743245502296409</v>
      </c>
      <c r="W1381">
        <v>8.7127044020486266E-2</v>
      </c>
      <c r="X1381">
        <v>1.5708944552014902E-2</v>
      </c>
      <c r="Y1381">
        <v>4.1647835132093049E-3</v>
      </c>
    </row>
    <row r="1382" spans="1:25" x14ac:dyDescent="0.25">
      <c r="A1382" s="827"/>
      <c r="B1382" s="1066">
        <v>1132</v>
      </c>
      <c r="C1382" s="831">
        <v>0.99301358822934083</v>
      </c>
      <c r="D1382" s="831">
        <v>0.97179072731540694</v>
      </c>
      <c r="E1382" s="831">
        <v>1.0156377414535134</v>
      </c>
      <c r="F1382" s="831">
        <v>1.0001168711447233</v>
      </c>
      <c r="G1382" s="831">
        <v>0.98814187796124597</v>
      </c>
      <c r="H1382" s="831">
        <v>1.0312455391290276</v>
      </c>
      <c r="I1382" s="831">
        <v>0.9682591890179888</v>
      </c>
      <c r="K1382">
        <v>1.7551342314291933</v>
      </c>
      <c r="L1382">
        <v>0</v>
      </c>
      <c r="M1382">
        <v>1.4103917083696841E-3</v>
      </c>
      <c r="N1382">
        <v>0.14918283605378097</v>
      </c>
      <c r="O1382">
        <v>1.8196384422793036E-2</v>
      </c>
      <c r="P1382">
        <v>2.0088856987672481E-2</v>
      </c>
      <c r="Q1382">
        <v>2.2352830062920587E-3</v>
      </c>
      <c r="R1382">
        <v>1.4019890199260378E-3</v>
      </c>
      <c r="S1382">
        <v>0.15292786184575249</v>
      </c>
      <c r="T1382">
        <v>1.0699790266560385</v>
      </c>
      <c r="U1382">
        <v>2.3486615062226868E-2</v>
      </c>
      <c r="V1382">
        <v>0.2096242551622641</v>
      </c>
      <c r="W1382">
        <v>8.8229364711941233E-2</v>
      </c>
      <c r="X1382">
        <v>1.7376398262191169E-2</v>
      </c>
      <c r="Y1382">
        <v>3.8157519466824647E-3</v>
      </c>
    </row>
    <row r="1383" spans="1:25" x14ac:dyDescent="0.25">
      <c r="A1383" s="827"/>
      <c r="B1383" s="1066">
        <v>1133</v>
      </c>
      <c r="C1383" s="831">
        <v>1.0087096419969879</v>
      </c>
      <c r="D1383" s="831">
        <v>0.95872175683969663</v>
      </c>
      <c r="E1383" s="831">
        <v>0.97018860702789655</v>
      </c>
      <c r="F1383" s="831">
        <v>1.0331931383014881</v>
      </c>
      <c r="G1383" s="831">
        <v>1.0046103321059321</v>
      </c>
      <c r="H1383" s="831">
        <v>1.0140904031518336</v>
      </c>
      <c r="I1383" s="831">
        <v>0.9991140866582916</v>
      </c>
      <c r="K1383">
        <v>1.743887138273833</v>
      </c>
      <c r="L1383">
        <v>0</v>
      </c>
      <c r="M1383">
        <v>1.5115970923450784E-3</v>
      </c>
      <c r="N1383">
        <v>0.13878218415308591</v>
      </c>
      <c r="O1383">
        <v>1.8023901995787666E-2</v>
      </c>
      <c r="P1383">
        <v>1.9485096231086119E-2</v>
      </c>
      <c r="Q1383">
        <v>2.1124464999098484E-3</v>
      </c>
      <c r="R1383">
        <v>1.5024493937911922E-3</v>
      </c>
      <c r="S1383">
        <v>0.15498279554058533</v>
      </c>
      <c r="T1383">
        <v>1.074024218842826</v>
      </c>
      <c r="U1383">
        <v>2.3121150950961965E-2</v>
      </c>
      <c r="V1383">
        <v>0.20917600259049421</v>
      </c>
      <c r="W1383">
        <v>8.468405215953953E-2</v>
      </c>
      <c r="X1383">
        <v>1.5415265040520397E-2</v>
      </c>
      <c r="Y1383">
        <v>4.0891719675900723E-3</v>
      </c>
    </row>
    <row r="1384" spans="1:25" x14ac:dyDescent="0.25">
      <c r="A1384" s="827"/>
      <c r="B1384" s="1066">
        <v>1134</v>
      </c>
      <c r="C1384" s="831">
        <v>1.034118225334153</v>
      </c>
      <c r="D1384" s="831">
        <v>1.0054167835517123</v>
      </c>
      <c r="E1384" s="831">
        <v>0.96895032491155875</v>
      </c>
      <c r="F1384" s="831">
        <v>0.96352532369001975</v>
      </c>
      <c r="G1384" s="831">
        <v>0.98038148018479421</v>
      </c>
      <c r="H1384" s="831">
        <v>1.009531649436159</v>
      </c>
      <c r="I1384" s="831">
        <v>1.0162592745959502</v>
      </c>
      <c r="K1384">
        <v>1.7187509162577035</v>
      </c>
      <c r="L1384">
        <v>0</v>
      </c>
      <c r="M1384">
        <v>1.4402476952090901E-3</v>
      </c>
      <c r="N1384">
        <v>0.13171512107432085</v>
      </c>
      <c r="O1384">
        <v>1.7205571106273101E-2</v>
      </c>
      <c r="P1384">
        <v>1.9306169759704853E-2</v>
      </c>
      <c r="Q1384">
        <v>2.0219288304486561E-3</v>
      </c>
      <c r="R1384">
        <v>1.4314581002744548E-3</v>
      </c>
      <c r="S1384">
        <v>0.15043382381910556</v>
      </c>
      <c r="T1384">
        <v>1.074135519193552</v>
      </c>
      <c r="U1384">
        <v>2.2553057597226818E-2</v>
      </c>
      <c r="V1384">
        <v>0.2021483296122866</v>
      </c>
      <c r="W1384">
        <v>8.0441369298778251E-2</v>
      </c>
      <c r="X1384">
        <v>1.4902858492031454E-2</v>
      </c>
      <c r="Y1384">
        <v>3.8959570689111309E-3</v>
      </c>
    </row>
    <row r="1385" spans="1:25" x14ac:dyDescent="0.25">
      <c r="A1385" s="827"/>
      <c r="B1385" s="1066">
        <v>1135</v>
      </c>
      <c r="C1385" s="831">
        <v>0.99328078542744236</v>
      </c>
      <c r="D1385" s="831">
        <v>1.0091724924321952</v>
      </c>
      <c r="E1385" s="831">
        <v>1.0060598719287026</v>
      </c>
      <c r="F1385" s="831">
        <v>1.0153936908350107</v>
      </c>
      <c r="G1385" s="831">
        <v>0.99571670633812737</v>
      </c>
      <c r="H1385" s="831">
        <v>1.0066050735860046</v>
      </c>
      <c r="I1385" s="831">
        <v>0.9887820785477236</v>
      </c>
      <c r="K1385">
        <v>1.7387435015226376</v>
      </c>
      <c r="L1385">
        <v>0</v>
      </c>
      <c r="M1385">
        <v>1.3806031299855043E-3</v>
      </c>
      <c r="N1385">
        <v>0.14172463687574605</v>
      </c>
      <c r="O1385">
        <v>1.7882754064947725E-2</v>
      </c>
      <c r="P1385">
        <v>1.989635074982098E-2</v>
      </c>
      <c r="Q1385">
        <v>2.1826111925464403E-3</v>
      </c>
      <c r="R1385">
        <v>1.3721504824658957E-3</v>
      </c>
      <c r="S1385">
        <v>0.1519402559036748</v>
      </c>
      <c r="T1385">
        <v>1.0708250237139247</v>
      </c>
      <c r="U1385">
        <v>2.3480297052425859E-2</v>
      </c>
      <c r="V1385">
        <v>0.20606741473287482</v>
      </c>
      <c r="W1385">
        <v>8.436540314248471E-2</v>
      </c>
      <c r="X1385">
        <v>1.6652665457721295E-2</v>
      </c>
      <c r="Y1385">
        <v>3.7345412839871893E-3</v>
      </c>
    </row>
    <row r="1386" spans="1:25" x14ac:dyDescent="0.25">
      <c r="A1386" s="827"/>
      <c r="B1386" s="1066">
        <v>1136</v>
      </c>
      <c r="C1386" s="831">
        <v>1.004650605097446</v>
      </c>
      <c r="D1386" s="831">
        <v>1.0049834608815957</v>
      </c>
      <c r="E1386" s="831">
        <v>0.97634175035870185</v>
      </c>
      <c r="F1386" s="831">
        <v>1.0070616038461684</v>
      </c>
      <c r="G1386" s="831">
        <v>1.023559245879164</v>
      </c>
      <c r="H1386" s="831">
        <v>1.001693952176719</v>
      </c>
      <c r="I1386" s="831">
        <v>0.98285927022866271</v>
      </c>
      <c r="K1386">
        <v>1.727633779447409</v>
      </c>
      <c r="L1386">
        <v>0</v>
      </c>
      <c r="M1386">
        <v>1.4486420003663361E-3</v>
      </c>
      <c r="N1386">
        <v>0.13556446444967138</v>
      </c>
      <c r="O1386">
        <v>1.7713687771613931E-2</v>
      </c>
      <c r="P1386">
        <v>1.9440822197199521E-2</v>
      </c>
      <c r="Q1386">
        <v>2.0973288998413688E-3</v>
      </c>
      <c r="R1386">
        <v>1.4397323138870394E-3</v>
      </c>
      <c r="S1386">
        <v>0.14923470653557391</v>
      </c>
      <c r="T1386">
        <v>1.0734720093021746</v>
      </c>
      <c r="U1386">
        <v>2.3214566118776182E-2</v>
      </c>
      <c r="V1386">
        <v>0.20522629067731574</v>
      </c>
      <c r="W1386">
        <v>8.2366518643083031E-2</v>
      </c>
      <c r="X1386">
        <v>1.5393817787867971E-2</v>
      </c>
      <c r="Y1386">
        <v>3.918476750770802E-3</v>
      </c>
    </row>
    <row r="1387" spans="1:25" x14ac:dyDescent="0.25">
      <c r="A1387" s="827"/>
      <c r="B1387" s="1066">
        <v>1137</v>
      </c>
      <c r="C1387" s="831">
        <v>1.0016887683015372</v>
      </c>
      <c r="D1387" s="831">
        <v>0.97594148269596537</v>
      </c>
      <c r="E1387" s="831">
        <v>1.036416649726315</v>
      </c>
      <c r="F1387" s="831">
        <v>0.99235236647610581</v>
      </c>
      <c r="G1387" s="831">
        <v>1.0173943591814532</v>
      </c>
      <c r="H1387" s="831">
        <v>1.0230216632410143</v>
      </c>
      <c r="I1387" s="831">
        <v>0.98857196553085747</v>
      </c>
      <c r="K1387">
        <v>1.7525080929794308</v>
      </c>
      <c r="L1387">
        <v>0</v>
      </c>
      <c r="M1387">
        <v>1.324845657533987E-3</v>
      </c>
      <c r="N1387">
        <v>0.14946644794247246</v>
      </c>
      <c r="O1387">
        <v>1.8003892438747678E-2</v>
      </c>
      <c r="P1387">
        <v>2.036201533262812E-2</v>
      </c>
      <c r="Q1387">
        <v>2.2584444225557535E-3</v>
      </c>
      <c r="R1387">
        <v>1.3168863737565476E-3</v>
      </c>
      <c r="S1387">
        <v>0.15391990293750918</v>
      </c>
      <c r="T1387">
        <v>1.0681556066884041</v>
      </c>
      <c r="U1387">
        <v>2.3283207954751115E-2</v>
      </c>
      <c r="V1387">
        <v>0.20826319155515388</v>
      </c>
      <c r="W1387">
        <v>8.7171402240073095E-2</v>
      </c>
      <c r="X1387">
        <v>1.8047810153022759E-2</v>
      </c>
      <c r="Y1387">
        <v>3.584130597888883E-3</v>
      </c>
    </row>
    <row r="1388" spans="1:25" x14ac:dyDescent="0.25">
      <c r="A1388" s="827"/>
      <c r="B1388" s="1066">
        <v>1138</v>
      </c>
      <c r="C1388" s="831">
        <v>0.98164403893709118</v>
      </c>
      <c r="D1388" s="831">
        <v>0.98767158719364556</v>
      </c>
      <c r="E1388" s="831">
        <v>1.0054178278162011</v>
      </c>
      <c r="F1388" s="831">
        <v>1.0419708055436425</v>
      </c>
      <c r="G1388" s="831">
        <v>0.99538260406403001</v>
      </c>
      <c r="H1388" s="831">
        <v>0.9960021290060066</v>
      </c>
      <c r="I1388" s="831">
        <v>0.9789953857288114</v>
      </c>
      <c r="K1388">
        <v>1.7462971555985176</v>
      </c>
      <c r="L1388">
        <v>0</v>
      </c>
      <c r="M1388">
        <v>1.397681899968481E-3</v>
      </c>
      <c r="N1388">
        <v>0.14318383209584087</v>
      </c>
      <c r="O1388">
        <v>1.8272153496632595E-2</v>
      </c>
      <c r="P1388">
        <v>1.994874182333781E-2</v>
      </c>
      <c r="Q1388">
        <v>2.2247692393445374E-3</v>
      </c>
      <c r="R1388">
        <v>1.3890487661248347E-3</v>
      </c>
      <c r="S1388">
        <v>0.15282405219873416</v>
      </c>
      <c r="T1388">
        <v>1.0708818584345938</v>
      </c>
      <c r="U1388">
        <v>2.3758640579691664E-2</v>
      </c>
      <c r="V1388">
        <v>0.20936381309782601</v>
      </c>
      <c r="W1388">
        <v>8.5271331296134886E-2</v>
      </c>
      <c r="X1388">
        <v>1.679606362863378E-2</v>
      </c>
      <c r="Y1388">
        <v>3.7805328415891101E-3</v>
      </c>
    </row>
    <row r="1389" spans="1:25" x14ac:dyDescent="0.25">
      <c r="A1389" s="827"/>
      <c r="B1389" s="1066">
        <v>1139</v>
      </c>
      <c r="C1389" s="831">
        <v>1.0204292803643202</v>
      </c>
      <c r="D1389" s="831">
        <v>0.9747672763017291</v>
      </c>
      <c r="E1389" s="831">
        <v>1.0031462395996622</v>
      </c>
      <c r="F1389" s="831">
        <v>1.022711805023347</v>
      </c>
      <c r="G1389" s="831">
        <v>1.0182070970978336</v>
      </c>
      <c r="H1389" s="831">
        <v>0.99897970204210618</v>
      </c>
      <c r="I1389" s="831">
        <v>0.96227229168383677</v>
      </c>
      <c r="K1389">
        <v>1.7268021492422496</v>
      </c>
      <c r="L1389">
        <v>0</v>
      </c>
      <c r="M1389">
        <v>1.363153864720214E-3</v>
      </c>
      <c r="N1389">
        <v>0.13866703161398045</v>
      </c>
      <c r="O1389">
        <v>1.7682913751742586E-2</v>
      </c>
      <c r="P1389">
        <v>1.9764207192735334E-2</v>
      </c>
      <c r="Q1389">
        <v>2.1457880663286462E-3</v>
      </c>
      <c r="R1389">
        <v>1.3547681789312944E-3</v>
      </c>
      <c r="S1389">
        <v>0.1455008026929048</v>
      </c>
      <c r="T1389">
        <v>1.0710830679018415</v>
      </c>
      <c r="U1389">
        <v>2.2855604349158242E-2</v>
      </c>
      <c r="V1389">
        <v>0.20636017332740383</v>
      </c>
      <c r="W1389">
        <v>8.2709481207388816E-2</v>
      </c>
      <c r="X1389">
        <v>1.6354232440713361E-2</v>
      </c>
      <c r="Y1389">
        <v>3.6872323838408254E-3</v>
      </c>
    </row>
    <row r="1390" spans="1:25" x14ac:dyDescent="0.25">
      <c r="A1390" s="827"/>
      <c r="B1390" s="1066">
        <v>1140</v>
      </c>
      <c r="C1390" s="831">
        <v>0.96764482306869937</v>
      </c>
      <c r="D1390" s="831">
        <v>0.9959110674235927</v>
      </c>
      <c r="E1390" s="831">
        <v>1.021447259694392</v>
      </c>
      <c r="F1390" s="831">
        <v>0.98198255562859282</v>
      </c>
      <c r="G1390" s="831">
        <v>1.0324121278925307</v>
      </c>
      <c r="H1390" s="831">
        <v>1.0018784146867583</v>
      </c>
      <c r="I1390" s="831">
        <v>0.98001968298048492</v>
      </c>
      <c r="K1390">
        <v>1.7561498021733348</v>
      </c>
      <c r="L1390">
        <v>0</v>
      </c>
      <c r="M1390">
        <v>1.3736512407483948E-3</v>
      </c>
      <c r="N1390">
        <v>0.14791512493384892</v>
      </c>
      <c r="O1390">
        <v>1.8466810943511717E-2</v>
      </c>
      <c r="P1390">
        <v>2.0213702798513495E-2</v>
      </c>
      <c r="Q1390">
        <v>2.2862832894992289E-3</v>
      </c>
      <c r="R1390">
        <v>1.365210567467835E-3</v>
      </c>
      <c r="S1390">
        <v>0.15509045562523324</v>
      </c>
      <c r="T1390">
        <v>1.069467573297757</v>
      </c>
      <c r="U1390">
        <v>2.4102364155000878E-2</v>
      </c>
      <c r="V1390">
        <v>0.21016916646569206</v>
      </c>
      <c r="W1390">
        <v>8.7137010984763508E-2</v>
      </c>
      <c r="X1390">
        <v>1.7594097229689257E-2</v>
      </c>
      <c r="Y1390">
        <v>3.7156531231048329E-3</v>
      </c>
    </row>
    <row r="1391" spans="1:25" x14ac:dyDescent="0.25">
      <c r="A1391" s="827"/>
      <c r="B1391" s="1066">
        <v>1141</v>
      </c>
      <c r="C1391" s="831">
        <v>0.99589860507491845</v>
      </c>
      <c r="D1391" s="831">
        <v>0.98508905582269479</v>
      </c>
      <c r="E1391" s="831">
        <v>1.0356082219446749</v>
      </c>
      <c r="F1391" s="831">
        <v>0.99076335051132369</v>
      </c>
      <c r="G1391" s="831">
        <v>1.0224054358828185</v>
      </c>
      <c r="H1391" s="831">
        <v>1.002545672037733</v>
      </c>
      <c r="I1391" s="831">
        <v>0.98347222123604205</v>
      </c>
      <c r="K1391">
        <v>1.7457322722687745</v>
      </c>
      <c r="L1391">
        <v>0</v>
      </c>
      <c r="M1391">
        <v>1.3025914247204674E-3</v>
      </c>
      <c r="N1391">
        <v>0.14656881544744743</v>
      </c>
      <c r="O1391">
        <v>1.8032026216200304E-2</v>
      </c>
      <c r="P1391">
        <v>2.03221141336467E-2</v>
      </c>
      <c r="Q1391">
        <v>2.261919595062163E-3</v>
      </c>
      <c r="R1391">
        <v>1.2945998726002969E-3</v>
      </c>
      <c r="S1391">
        <v>0.15195734341305434</v>
      </c>
      <c r="T1391">
        <v>1.0682262427568876</v>
      </c>
      <c r="U1391">
        <v>2.3418576730056435E-2</v>
      </c>
      <c r="V1391">
        <v>0.208020696780852</v>
      </c>
      <c r="W1391">
        <v>8.552758210903158E-2</v>
      </c>
      <c r="X1391">
        <v>1.788147255017138E-2</v>
      </c>
      <c r="Y1391">
        <v>3.5234740884847026E-3</v>
      </c>
    </row>
    <row r="1392" spans="1:25" x14ac:dyDescent="0.25">
      <c r="A1392" s="827"/>
      <c r="B1392" s="1066">
        <v>1142</v>
      </c>
      <c r="C1392" s="831">
        <v>0.95891748057102677</v>
      </c>
      <c r="D1392" s="831">
        <v>0.99506055288642981</v>
      </c>
      <c r="E1392" s="831">
        <v>0.98202318417806889</v>
      </c>
      <c r="F1392" s="831">
        <v>1.0084385075511761</v>
      </c>
      <c r="G1392" s="831">
        <v>0.98253795575211766</v>
      </c>
      <c r="H1392" s="831">
        <v>1.0051787955638103</v>
      </c>
      <c r="I1392" s="831">
        <v>0.98302764095952411</v>
      </c>
      <c r="K1392">
        <v>1.75779894552757</v>
      </c>
      <c r="L1392">
        <v>0</v>
      </c>
      <c r="M1392">
        <v>1.5117283047649641E-3</v>
      </c>
      <c r="N1392">
        <v>0.14399860191931041</v>
      </c>
      <c r="O1392">
        <v>1.8642098853751572E-2</v>
      </c>
      <c r="P1392">
        <v>1.9722746061533705E-2</v>
      </c>
      <c r="Q1392">
        <v>2.2182379461692615E-3</v>
      </c>
      <c r="R1392">
        <v>1.5024703351292727E-3</v>
      </c>
      <c r="S1392">
        <v>0.15728147189186495</v>
      </c>
      <c r="T1392">
        <v>1.0729633949604274</v>
      </c>
      <c r="U1392">
        <v>2.4321725665502333E-2</v>
      </c>
      <c r="V1392">
        <v>0.2112665164355565</v>
      </c>
      <c r="W1392">
        <v>8.714651469960405E-2</v>
      </c>
      <c r="X1392">
        <v>1.6157666100476312E-2</v>
      </c>
      <c r="Y1392">
        <v>4.0892289630090175E-3</v>
      </c>
    </row>
    <row r="1393" spans="1:25" x14ac:dyDescent="0.25">
      <c r="A1393" s="827"/>
      <c r="B1393" s="1066">
        <v>1143</v>
      </c>
      <c r="C1393" s="831">
        <v>1.000066159393227</v>
      </c>
      <c r="D1393" s="831">
        <v>0.99075376819194938</v>
      </c>
      <c r="E1393" s="831">
        <v>0.97928329959997762</v>
      </c>
      <c r="F1393" s="831">
        <v>0.99328988067733381</v>
      </c>
      <c r="G1393" s="831">
        <v>1.0014889989112501</v>
      </c>
      <c r="H1393" s="831">
        <v>0.99055284195321347</v>
      </c>
      <c r="I1393" s="831">
        <v>1.0110918146918264</v>
      </c>
      <c r="K1393">
        <v>1.7353300208398559</v>
      </c>
      <c r="L1393">
        <v>0</v>
      </c>
      <c r="M1393">
        <v>1.4395008069351669E-3</v>
      </c>
      <c r="N1393">
        <v>0.13594104865218157</v>
      </c>
      <c r="O1393">
        <v>1.7910236153798598E-2</v>
      </c>
      <c r="P1393">
        <v>1.9575045649052471E-2</v>
      </c>
      <c r="Q1393">
        <v>2.1244701988679389E-3</v>
      </c>
      <c r="R1393">
        <v>1.4305581711895352E-3</v>
      </c>
      <c r="S1393">
        <v>0.1543292824830573</v>
      </c>
      <c r="T1393">
        <v>1.0732085240178597</v>
      </c>
      <c r="U1393">
        <v>2.3320984996086407E-2</v>
      </c>
      <c r="V1393">
        <v>0.20703346371393591</v>
      </c>
      <c r="W1393">
        <v>8.2426651280886928E-2</v>
      </c>
      <c r="X1393">
        <v>1.5575748571269619E-2</v>
      </c>
      <c r="Y1393">
        <v>3.8935077586035234E-3</v>
      </c>
    </row>
    <row r="1394" spans="1:25" x14ac:dyDescent="0.25">
      <c r="A1394" s="827"/>
      <c r="B1394" s="1066">
        <v>1144</v>
      </c>
      <c r="C1394" s="831">
        <v>1.0143244201089403</v>
      </c>
      <c r="D1394" s="831">
        <v>1.0106965098759608</v>
      </c>
      <c r="E1394" s="831">
        <v>1.0025787638897323</v>
      </c>
      <c r="F1394" s="831">
        <v>1.0005508961922223</v>
      </c>
      <c r="G1394" s="831">
        <v>1.0092606934266464</v>
      </c>
      <c r="H1394" s="831">
        <v>0.99702572177268745</v>
      </c>
      <c r="I1394" s="831">
        <v>1.0344681011678103</v>
      </c>
      <c r="K1394">
        <v>1.7306299961652665</v>
      </c>
      <c r="L1394">
        <v>0</v>
      </c>
      <c r="M1394">
        <v>1.3480344689870119E-3</v>
      </c>
      <c r="N1394">
        <v>0.1368829974358112</v>
      </c>
      <c r="O1394">
        <v>1.7499798422560896E-2</v>
      </c>
      <c r="P1394">
        <v>1.9850152419890042E-2</v>
      </c>
      <c r="Q1394">
        <v>2.128690049927E-3</v>
      </c>
      <c r="R1394">
        <v>1.3397009051693452E-3</v>
      </c>
      <c r="S1394">
        <v>0.15486732219641544</v>
      </c>
      <c r="T1394">
        <v>1.0711333633744573</v>
      </c>
      <c r="U1394">
        <v>2.2993164155308738E-2</v>
      </c>
      <c r="V1394">
        <v>0.20370151670868242</v>
      </c>
      <c r="W1394">
        <v>8.1677019281939128E-2</v>
      </c>
      <c r="X1394">
        <v>1.6258081452503747E-2</v>
      </c>
      <c r="Y1394">
        <v>3.6462242315862597E-3</v>
      </c>
    </row>
    <row r="1395" spans="1:25" x14ac:dyDescent="0.25">
      <c r="A1395" s="827"/>
      <c r="B1395" s="1066">
        <v>1145</v>
      </c>
      <c r="C1395" s="831">
        <v>1.0238298534663131</v>
      </c>
      <c r="D1395" s="831">
        <v>0.99775408630111173</v>
      </c>
      <c r="E1395" s="831">
        <v>1.0014808719832897</v>
      </c>
      <c r="F1395" s="831">
        <v>1.0203866504711994</v>
      </c>
      <c r="G1395" s="831">
        <v>1.029377602729471</v>
      </c>
      <c r="H1395" s="831">
        <v>0.98107568951045376</v>
      </c>
      <c r="I1395" s="831">
        <v>1.0384659086895449</v>
      </c>
      <c r="K1395">
        <v>1.7247293613380335</v>
      </c>
      <c r="L1395">
        <v>0</v>
      </c>
      <c r="M1395">
        <v>1.3248965466093542E-3</v>
      </c>
      <c r="N1395">
        <v>0.1340621713179343</v>
      </c>
      <c r="O1395">
        <v>1.7438785853865633E-2</v>
      </c>
      <c r="P1395">
        <v>1.9818625645787444E-2</v>
      </c>
      <c r="Q1395">
        <v>2.1166989291463573E-3</v>
      </c>
      <c r="R1395">
        <v>1.3165815781459947E-3</v>
      </c>
      <c r="S1395">
        <v>0.1536857089682673</v>
      </c>
      <c r="T1395">
        <v>1.0712307042503146</v>
      </c>
      <c r="U1395">
        <v>2.2779691195115699E-2</v>
      </c>
      <c r="V1395">
        <v>0.20387962625757486</v>
      </c>
      <c r="W1395">
        <v>8.0053884909426776E-2</v>
      </c>
      <c r="X1395">
        <v>1.6088477934351565E-2</v>
      </c>
      <c r="Y1395">
        <v>3.5833010447128043E-3</v>
      </c>
    </row>
    <row r="1396" spans="1:25" x14ac:dyDescent="0.25">
      <c r="A1396" s="827"/>
      <c r="B1396" s="1066">
        <v>1146</v>
      </c>
      <c r="C1396" s="831">
        <v>1.0140247336789228</v>
      </c>
      <c r="D1396" s="831">
        <v>0.97754458347246398</v>
      </c>
      <c r="E1396" s="831">
        <v>1.0016435274876387</v>
      </c>
      <c r="F1396" s="831">
        <v>0.98614039673002674</v>
      </c>
      <c r="G1396" s="831">
        <v>1.0026543192162716</v>
      </c>
      <c r="H1396" s="831">
        <v>1.0036204744607076</v>
      </c>
      <c r="I1396" s="831">
        <v>0.99438561834019812</v>
      </c>
      <c r="K1396">
        <v>1.7356151667336057</v>
      </c>
      <c r="L1396">
        <v>0</v>
      </c>
      <c r="M1396">
        <v>1.3807221923787644E-3</v>
      </c>
      <c r="N1396">
        <v>0.13980298196701157</v>
      </c>
      <c r="O1396">
        <v>1.7771614940879116E-2</v>
      </c>
      <c r="P1396">
        <v>1.983300848277797E-2</v>
      </c>
      <c r="Q1396">
        <v>2.1538098273683991E-3</v>
      </c>
      <c r="R1396">
        <v>1.3722657221190435E-3</v>
      </c>
      <c r="S1396">
        <v>0.1514571151541074</v>
      </c>
      <c r="T1396">
        <v>1.0712162800777596</v>
      </c>
      <c r="U1396">
        <v>2.2999959590421545E-2</v>
      </c>
      <c r="V1396">
        <v>0.2067791010658156</v>
      </c>
      <c r="W1396">
        <v>8.3472672050086419E-2</v>
      </c>
      <c r="X1396">
        <v>1.6402225119302293E-2</v>
      </c>
      <c r="Y1396">
        <v>3.7348549283343162E-3</v>
      </c>
    </row>
    <row r="1397" spans="1:25" x14ac:dyDescent="0.25">
      <c r="A1397" s="827"/>
      <c r="B1397" s="1066">
        <v>1147</v>
      </c>
      <c r="C1397" s="831">
        <v>1.0075303923088572</v>
      </c>
      <c r="D1397" s="831">
        <v>0.99600216247580209</v>
      </c>
      <c r="E1397" s="831">
        <v>1.0191509919536375</v>
      </c>
      <c r="F1397" s="831">
        <v>1.0081698825099044</v>
      </c>
      <c r="G1397" s="831">
        <v>0.98925888254772953</v>
      </c>
      <c r="H1397" s="831">
        <v>0.99400021222570478</v>
      </c>
      <c r="I1397" s="831">
        <v>0.97826978996175551</v>
      </c>
      <c r="K1397">
        <v>1.7307211874270785</v>
      </c>
      <c r="L1397">
        <v>0</v>
      </c>
      <c r="M1397">
        <v>1.3152080076715411E-3</v>
      </c>
      <c r="N1397">
        <v>0.14060841954074255</v>
      </c>
      <c r="O1397">
        <v>1.7735021666641339E-2</v>
      </c>
      <c r="P1397">
        <v>2.0011644256425213E-2</v>
      </c>
      <c r="Q1397">
        <v>2.1906947741916222E-3</v>
      </c>
      <c r="R1397">
        <v>1.3070623371890051E-3</v>
      </c>
      <c r="S1397">
        <v>0.14812908493829319</v>
      </c>
      <c r="T1397">
        <v>1.069669577364637</v>
      </c>
      <c r="U1397">
        <v>2.3148212774859598E-2</v>
      </c>
      <c r="V1397">
        <v>0.20574127848252013</v>
      </c>
      <c r="W1397">
        <v>8.2961040000063088E-2</v>
      </c>
      <c r="X1397">
        <v>1.6976966490342079E-2</v>
      </c>
      <c r="Y1397">
        <v>3.5573928088448183E-3</v>
      </c>
    </row>
    <row r="1398" spans="1:25" x14ac:dyDescent="0.25">
      <c r="A1398" s="827"/>
      <c r="B1398" s="1066">
        <v>1148</v>
      </c>
      <c r="C1398" s="831">
        <v>1.0238594998253052</v>
      </c>
      <c r="D1398" s="831">
        <v>1.0215466983627504</v>
      </c>
      <c r="E1398" s="831">
        <v>0.96134615205121732</v>
      </c>
      <c r="F1398" s="831">
        <v>1.0238571776515955</v>
      </c>
      <c r="G1398" s="831">
        <v>1.0017034598442813</v>
      </c>
      <c r="H1398" s="831">
        <v>1.0045143537406804</v>
      </c>
      <c r="I1398" s="831">
        <v>1.0188608208856715</v>
      </c>
      <c r="K1398">
        <v>1.7178580601149804</v>
      </c>
      <c r="L1398">
        <v>0</v>
      </c>
      <c r="M1398">
        <v>1.460148544638423E-3</v>
      </c>
      <c r="N1398">
        <v>0.13040007195120426</v>
      </c>
      <c r="O1398">
        <v>1.7253328844958199E-2</v>
      </c>
      <c r="P1398">
        <v>1.920765278935755E-2</v>
      </c>
      <c r="Q1398">
        <v>2.0144094364276904E-3</v>
      </c>
      <c r="R1398">
        <v>1.4511814526165308E-3</v>
      </c>
      <c r="S1398">
        <v>0.15097305793506191</v>
      </c>
      <c r="T1398">
        <v>1.0748202629311125</v>
      </c>
      <c r="U1398">
        <v>2.27790315978731E-2</v>
      </c>
      <c r="V1398">
        <v>0.20177369759112268</v>
      </c>
      <c r="W1398">
        <v>8.0063995856266446E-2</v>
      </c>
      <c r="X1398">
        <v>1.4631880741433323E-2</v>
      </c>
      <c r="Y1398">
        <v>3.9496375321849096E-3</v>
      </c>
    </row>
    <row r="1399" spans="1:25" x14ac:dyDescent="0.25">
      <c r="A1399" s="827"/>
      <c r="B1399" s="1066">
        <v>1149</v>
      </c>
      <c r="C1399" s="831">
        <v>1.0450253425069058</v>
      </c>
      <c r="D1399" s="831">
        <v>0.9942840322955282</v>
      </c>
      <c r="E1399" s="831">
        <v>0.99194266841088641</v>
      </c>
      <c r="F1399" s="831">
        <v>0.97775748735405299</v>
      </c>
      <c r="G1399" s="831">
        <v>1.025083713168732</v>
      </c>
      <c r="H1399" s="831">
        <v>1.0018491694227361</v>
      </c>
      <c r="I1399" s="831">
        <v>1.0053916840411055</v>
      </c>
      <c r="K1399">
        <v>1.7149529937863277</v>
      </c>
      <c r="L1399">
        <v>0</v>
      </c>
      <c r="M1399">
        <v>1.3545243384649201E-3</v>
      </c>
      <c r="N1399">
        <v>0.13306938612591884</v>
      </c>
      <c r="O1399">
        <v>1.7112083548157467E-2</v>
      </c>
      <c r="P1399">
        <v>1.9573021270782739E-2</v>
      </c>
      <c r="Q1399">
        <v>2.0566008313049546E-3</v>
      </c>
      <c r="R1399">
        <v>1.3462020628098438E-3</v>
      </c>
      <c r="S1399">
        <v>0.14742249179384395</v>
      </c>
      <c r="T1399">
        <v>1.0720782908380757</v>
      </c>
      <c r="U1399">
        <v>2.2317667284847721E-2</v>
      </c>
      <c r="V1399">
        <v>0.20204648994106128</v>
      </c>
      <c r="W1399">
        <v>7.9982547890979527E-2</v>
      </c>
      <c r="X1399">
        <v>1.5638818297433542E-2</v>
      </c>
      <c r="Y1399">
        <v>3.6639182395776576E-3</v>
      </c>
    </row>
    <row r="1400" spans="1:25" x14ac:dyDescent="0.25">
      <c r="A1400" s="827"/>
      <c r="B1400" s="1066">
        <v>1150</v>
      </c>
      <c r="C1400" s="831">
        <v>0.96847908734385801</v>
      </c>
      <c r="D1400" s="831">
        <v>1.0242239239855748</v>
      </c>
      <c r="E1400" s="831">
        <v>0.95123300110519315</v>
      </c>
      <c r="F1400" s="831">
        <v>1.0028417117506314</v>
      </c>
      <c r="G1400" s="831">
        <v>1.0194795207959966</v>
      </c>
      <c r="H1400" s="831">
        <v>1.0340394353919697</v>
      </c>
      <c r="I1400" s="831">
        <v>0.96412536320225983</v>
      </c>
      <c r="K1400">
        <v>1.7460136182693082</v>
      </c>
      <c r="L1400">
        <v>0</v>
      </c>
      <c r="M1400">
        <v>1.6210642648315783E-3</v>
      </c>
      <c r="N1400">
        <v>0.14029701755154345</v>
      </c>
      <c r="O1400">
        <v>1.8218369339500565E-2</v>
      </c>
      <c r="P1400">
        <v>1.9187012312210955E-2</v>
      </c>
      <c r="Q1400">
        <v>2.1054882670285733E-3</v>
      </c>
      <c r="R1400">
        <v>1.6113911719452588E-3</v>
      </c>
      <c r="S1400">
        <v>0.15295540409715375</v>
      </c>
      <c r="T1400">
        <v>1.0757342846660665</v>
      </c>
      <c r="U1400">
        <v>2.4081601970639695E-2</v>
      </c>
      <c r="V1400">
        <v>0.20743381897355903</v>
      </c>
      <c r="W1400">
        <v>8.6757460060382888E-2</v>
      </c>
      <c r="X1400">
        <v>1.4867158549030021E-2</v>
      </c>
      <c r="Y1400">
        <v>4.3856755750779249E-3</v>
      </c>
    </row>
    <row r="1401" spans="1:25" x14ac:dyDescent="0.25">
      <c r="A1401" s="827"/>
      <c r="B1401" s="1066">
        <v>1151</v>
      </c>
      <c r="C1401" s="831">
        <v>0.99627480694289172</v>
      </c>
      <c r="D1401" s="831">
        <v>1.0254985572977415</v>
      </c>
      <c r="E1401" s="831">
        <v>0.96869825997031056</v>
      </c>
      <c r="F1401" s="831">
        <v>1.0060023129272571</v>
      </c>
      <c r="G1401" s="831">
        <v>1.0375904656020445</v>
      </c>
      <c r="H1401" s="831">
        <v>0.96193960248200583</v>
      </c>
      <c r="I1401" s="831">
        <v>1.0143713520506321</v>
      </c>
      <c r="K1401">
        <v>1.718735173029772</v>
      </c>
      <c r="L1401">
        <v>0</v>
      </c>
      <c r="M1401">
        <v>1.4125580766300185E-3</v>
      </c>
      <c r="N1401">
        <v>0.12904077520475921</v>
      </c>
      <c r="O1401">
        <v>1.7700137590117911E-2</v>
      </c>
      <c r="P1401">
        <v>1.9352158184595653E-2</v>
      </c>
      <c r="Q1401">
        <v>2.0828586983254651E-3</v>
      </c>
      <c r="R1401">
        <v>1.4034964916509584E-3</v>
      </c>
      <c r="S1401">
        <v>0.15114611309819331</v>
      </c>
      <c r="T1401">
        <v>1.0741581825518811</v>
      </c>
      <c r="U1401">
        <v>2.3409733675660477E-2</v>
      </c>
      <c r="V1401">
        <v>0.2042872867735297</v>
      </c>
      <c r="W1401">
        <v>7.8821980417163526E-2</v>
      </c>
      <c r="X1401">
        <v>1.4925153632745575E-2</v>
      </c>
      <c r="Y1401">
        <v>3.8198547877797777E-3</v>
      </c>
    </row>
    <row r="1402" spans="1:25" x14ac:dyDescent="0.25">
      <c r="A1402" s="827"/>
      <c r="B1402" s="1066">
        <v>1152</v>
      </c>
      <c r="C1402" s="831">
        <v>0.98103862648107631</v>
      </c>
      <c r="D1402" s="831">
        <v>1.0020242706870603</v>
      </c>
      <c r="E1402" s="831">
        <v>0.99269120388217313</v>
      </c>
      <c r="F1402" s="831">
        <v>1.038709973044718</v>
      </c>
      <c r="G1402" s="831">
        <v>0.9659236274763634</v>
      </c>
      <c r="H1402" s="831">
        <v>1.0180262793098449</v>
      </c>
      <c r="I1402" s="831">
        <v>1.0221369284061053</v>
      </c>
      <c r="K1402">
        <v>1.7547045119251963</v>
      </c>
      <c r="L1402">
        <v>0</v>
      </c>
      <c r="M1402">
        <v>1.4587345525141255E-3</v>
      </c>
      <c r="N1402">
        <v>0.14365493560154971</v>
      </c>
      <c r="O1402">
        <v>1.8164263338154598E-2</v>
      </c>
      <c r="P1402">
        <v>1.9860091564348242E-2</v>
      </c>
      <c r="Q1402">
        <v>2.1860968782304062E-3</v>
      </c>
      <c r="R1402">
        <v>1.449908844755555E-3</v>
      </c>
      <c r="S1402">
        <v>0.16034896424296352</v>
      </c>
      <c r="T1402">
        <v>1.0720116502194077</v>
      </c>
      <c r="U1402">
        <v>2.3773302364209239E-2</v>
      </c>
      <c r="V1402">
        <v>0.20806884026339703</v>
      </c>
      <c r="W1402">
        <v>8.6300636529138663E-2</v>
      </c>
      <c r="X1402">
        <v>1.6398382718454462E-2</v>
      </c>
      <c r="Y1402">
        <v>3.9461739131024026E-3</v>
      </c>
    </row>
    <row r="1403" spans="1:25" x14ac:dyDescent="0.25">
      <c r="A1403" s="827"/>
      <c r="B1403" s="1066">
        <v>1153</v>
      </c>
      <c r="C1403" s="831">
        <v>1.0066633696432212</v>
      </c>
      <c r="D1403" s="831">
        <v>1.0175606403138575</v>
      </c>
      <c r="E1403" s="831">
        <v>1.040429247594395</v>
      </c>
      <c r="F1403" s="831">
        <v>1.0335376931834346</v>
      </c>
      <c r="G1403" s="831">
        <v>1.0156261280511365</v>
      </c>
      <c r="H1403" s="831">
        <v>1.0015002804497888</v>
      </c>
      <c r="I1403" s="831">
        <v>0.97541014185060859</v>
      </c>
      <c r="K1403">
        <v>1.7299273194406779</v>
      </c>
      <c r="L1403">
        <v>0</v>
      </c>
      <c r="M1403">
        <v>1.2556814084890506E-3</v>
      </c>
      <c r="N1403">
        <v>0.14341629979113213</v>
      </c>
      <c r="O1403">
        <v>1.7579088411700972E-2</v>
      </c>
      <c r="P1403">
        <v>2.0256236769724784E-2</v>
      </c>
      <c r="Q1403">
        <v>2.2214872360212233E-3</v>
      </c>
      <c r="R1403">
        <v>1.247949223859981E-3</v>
      </c>
      <c r="S1403">
        <v>0.14703388358650782</v>
      </c>
      <c r="T1403">
        <v>1.0678053748239997</v>
      </c>
      <c r="U1403">
        <v>2.316814995122855E-2</v>
      </c>
      <c r="V1403">
        <v>0.20389110837472579</v>
      </c>
      <c r="W1403">
        <v>8.3419548937223864E-2</v>
      </c>
      <c r="X1403">
        <v>1.7747367342046676E-2</v>
      </c>
      <c r="Y1403">
        <v>3.3965064009957857E-3</v>
      </c>
    </row>
    <row r="1404" spans="1:25" x14ac:dyDescent="0.25">
      <c r="A1404" s="827"/>
      <c r="B1404" s="1066">
        <v>1154</v>
      </c>
      <c r="C1404" s="831">
        <v>0.9645690903540689</v>
      </c>
      <c r="D1404" s="831">
        <v>1.0366174880637367</v>
      </c>
      <c r="E1404" s="831">
        <v>0.95453020531176447</v>
      </c>
      <c r="F1404" s="831">
        <v>1.0127213709793614</v>
      </c>
      <c r="G1404" s="831">
        <v>1.0261626897435756</v>
      </c>
      <c r="H1404" s="831">
        <v>0.9945565668706513</v>
      </c>
      <c r="I1404" s="831">
        <v>0.98851475801937061</v>
      </c>
      <c r="K1404">
        <v>1.7373032025428394</v>
      </c>
      <c r="L1404">
        <v>0</v>
      </c>
      <c r="M1404">
        <v>1.5463271344438904E-3</v>
      </c>
      <c r="N1404">
        <v>0.13518049765057052</v>
      </c>
      <c r="O1404">
        <v>1.8193179080855933E-2</v>
      </c>
      <c r="P1404">
        <v>1.9236289112276973E-2</v>
      </c>
      <c r="Q1404">
        <v>2.1117912427931064E-3</v>
      </c>
      <c r="R1404">
        <v>1.5367244438795767E-3</v>
      </c>
      <c r="S1404">
        <v>0.15381981960828361</v>
      </c>
      <c r="T1404">
        <v>1.0754358655399825</v>
      </c>
      <c r="U1404">
        <v>2.4179219644848957E-2</v>
      </c>
      <c r="V1404">
        <v>0.20676412109005715</v>
      </c>
      <c r="W1404">
        <v>8.339876865221206E-2</v>
      </c>
      <c r="X1404">
        <v>1.4810796256358635E-2</v>
      </c>
      <c r="Y1404">
        <v>4.1824573551634287E-3</v>
      </c>
    </row>
    <row r="1405" spans="1:25" x14ac:dyDescent="0.25">
      <c r="A1405" s="827"/>
      <c r="B1405" s="1066">
        <v>1155</v>
      </c>
      <c r="C1405" s="831">
        <v>0.96516118562678388</v>
      </c>
      <c r="D1405" s="831">
        <v>0.98085075142343614</v>
      </c>
      <c r="E1405" s="831">
        <v>1.0005033597533772</v>
      </c>
      <c r="F1405" s="831">
        <v>0.97568313805893814</v>
      </c>
      <c r="G1405" s="831">
        <v>0.99104652116724812</v>
      </c>
      <c r="H1405" s="831">
        <v>1.0190210156770181</v>
      </c>
      <c r="I1405" s="831">
        <v>1.0099230418576401</v>
      </c>
      <c r="K1405">
        <v>1.7695197322982765</v>
      </c>
      <c r="L1405">
        <v>0</v>
      </c>
      <c r="M1405">
        <v>1.4741663217416128E-3</v>
      </c>
      <c r="N1405">
        <v>0.14874964056364365</v>
      </c>
      <c r="O1405">
        <v>1.8642739665899289E-2</v>
      </c>
      <c r="P1405">
        <v>2.0055102736092519E-2</v>
      </c>
      <c r="Q1405">
        <v>2.2574300734719598E-3</v>
      </c>
      <c r="R1405">
        <v>1.4652715157496888E-3</v>
      </c>
      <c r="S1405">
        <v>0.16255136739199352</v>
      </c>
      <c r="T1405">
        <v>1.0713174103666716</v>
      </c>
      <c r="U1405">
        <v>2.4164386473081501E-2</v>
      </c>
      <c r="V1405">
        <v>0.21192076128666637</v>
      </c>
      <c r="W1405">
        <v>8.8883749516597138E-2</v>
      </c>
      <c r="X1405">
        <v>1.6998052990905885E-2</v>
      </c>
      <c r="Y1405">
        <v>3.9879860392453021E-3</v>
      </c>
    </row>
    <row r="1406" spans="1:25" x14ac:dyDescent="0.25">
      <c r="A1406" s="827"/>
      <c r="B1406" s="1066">
        <v>1156</v>
      </c>
      <c r="C1406" s="831">
        <v>1.025734635202902</v>
      </c>
      <c r="D1406" s="831">
        <v>1.0118409447316197</v>
      </c>
      <c r="E1406" s="831">
        <v>0.97636783581406805</v>
      </c>
      <c r="F1406" s="831">
        <v>1.0023416762279491</v>
      </c>
      <c r="G1406" s="831">
        <v>1.0274576623447889</v>
      </c>
      <c r="H1406" s="831">
        <v>1.0040828630376823</v>
      </c>
      <c r="I1406" s="831">
        <v>0.97863283676109702</v>
      </c>
      <c r="K1406">
        <v>1.7149242595564937</v>
      </c>
      <c r="L1406">
        <v>0</v>
      </c>
      <c r="M1406">
        <v>1.4178062371189141E-3</v>
      </c>
      <c r="N1406">
        <v>0.1326911306657238</v>
      </c>
      <c r="O1406">
        <v>1.7296274768810585E-2</v>
      </c>
      <c r="P1406">
        <v>1.9344421924470702E-2</v>
      </c>
      <c r="Q1406">
        <v>2.0490977976302541E-3</v>
      </c>
      <c r="R1406">
        <v>1.4091021493733932E-3</v>
      </c>
      <c r="S1406">
        <v>0.14529145631460055</v>
      </c>
      <c r="T1406">
        <v>1.0734696713050769</v>
      </c>
      <c r="U1406">
        <v>2.2737389474705352E-2</v>
      </c>
      <c r="V1406">
        <v>0.20243001090057605</v>
      </c>
      <c r="W1406">
        <v>8.061926996442724E-2</v>
      </c>
      <c r="X1406">
        <v>1.5169128988020789E-2</v>
      </c>
      <c r="Y1406">
        <v>3.8351115401956759E-3</v>
      </c>
    </row>
    <row r="1407" spans="1:25" x14ac:dyDescent="0.25">
      <c r="A1407" s="827"/>
      <c r="B1407" s="1066">
        <v>1157</v>
      </c>
      <c r="C1407" s="831">
        <v>0.99888024672508846</v>
      </c>
      <c r="D1407" s="831">
        <v>1.0042540978445595</v>
      </c>
      <c r="E1407" s="831">
        <v>1.0048109990055729</v>
      </c>
      <c r="F1407" s="831">
        <v>1.0327924564961988</v>
      </c>
      <c r="G1407" s="831">
        <v>0.97755681775654701</v>
      </c>
      <c r="H1407" s="831">
        <v>1.0016986465608702</v>
      </c>
      <c r="I1407" s="831">
        <v>0.97561147610632415</v>
      </c>
      <c r="K1407">
        <v>1.7332987236529422</v>
      </c>
      <c r="L1407">
        <v>0</v>
      </c>
      <c r="M1407">
        <v>1.3728019185663444E-3</v>
      </c>
      <c r="N1407">
        <v>0.14037365807088242</v>
      </c>
      <c r="O1407">
        <v>1.7821873384716753E-2</v>
      </c>
      <c r="P1407">
        <v>1.983569598570652E-2</v>
      </c>
      <c r="Q1407">
        <v>2.1715931626433748E-3</v>
      </c>
      <c r="R1407">
        <v>1.3643592144799183E-3</v>
      </c>
      <c r="S1407">
        <v>0.14903518786496267</v>
      </c>
      <c r="T1407">
        <v>1.070935590160689</v>
      </c>
      <c r="U1407">
        <v>2.3348672650968939E-2</v>
      </c>
      <c r="V1407">
        <v>0.20591194182537756</v>
      </c>
      <c r="W1407">
        <v>8.3632362211437536E-2</v>
      </c>
      <c r="X1407">
        <v>1.6527255018723829E-2</v>
      </c>
      <c r="Y1407">
        <v>3.7133360209201591E-3</v>
      </c>
    </row>
    <row r="1408" spans="1:25" x14ac:dyDescent="0.25">
      <c r="A1408" s="827"/>
      <c r="B1408" s="1066">
        <v>1158</v>
      </c>
      <c r="C1408" s="831">
        <v>0.98100586384684962</v>
      </c>
      <c r="D1408" s="831">
        <v>1.0043053931928649</v>
      </c>
      <c r="E1408" s="831">
        <v>1.0428790785453139</v>
      </c>
      <c r="F1408" s="831">
        <v>0.99780995110606985</v>
      </c>
      <c r="G1408" s="831">
        <v>0.96830710330732428</v>
      </c>
      <c r="H1408" s="831">
        <v>0.9950053244005016</v>
      </c>
      <c r="I1408" s="831">
        <v>0.97604217068247157</v>
      </c>
      <c r="K1408">
        <v>1.7461122727241494</v>
      </c>
      <c r="L1408">
        <v>0</v>
      </c>
      <c r="M1408">
        <v>1.2811059837206256E-3</v>
      </c>
      <c r="N1408">
        <v>0.14743116513461274</v>
      </c>
      <c r="O1408">
        <v>1.8146176579454772E-2</v>
      </c>
      <c r="P1408">
        <v>2.0414001675126085E-2</v>
      </c>
      <c r="Q1408">
        <v>2.2962211922107137E-3</v>
      </c>
      <c r="R1408">
        <v>1.2731741749494609E-3</v>
      </c>
      <c r="S1408">
        <v>0.15133731975615103</v>
      </c>
      <c r="T1408">
        <v>1.0675918467791135</v>
      </c>
      <c r="U1408">
        <v>2.377409632073739E-2</v>
      </c>
      <c r="V1408">
        <v>0.20786098642671164</v>
      </c>
      <c r="W1408">
        <v>8.5615298206805274E-2</v>
      </c>
      <c r="X1408">
        <v>1.8187932059537747E-2</v>
      </c>
      <c r="Y1408">
        <v>3.4651604024584573E-3</v>
      </c>
    </row>
    <row r="1409" spans="1:25" x14ac:dyDescent="0.25">
      <c r="A1409" s="827"/>
      <c r="B1409" s="1066">
        <v>1159</v>
      </c>
      <c r="C1409" s="831">
        <v>0.99866266890921107</v>
      </c>
      <c r="D1409" s="831">
        <v>0.98779547467883733</v>
      </c>
      <c r="E1409" s="831">
        <v>1.0274227899794022</v>
      </c>
      <c r="F1409" s="831">
        <v>0.99651037047404023</v>
      </c>
      <c r="G1409" s="831">
        <v>0.96384787999373822</v>
      </c>
      <c r="H1409" s="831">
        <v>1.0054280029569935</v>
      </c>
      <c r="I1409" s="831">
        <v>0.99434535786913181</v>
      </c>
      <c r="K1409">
        <v>1.744960093893184</v>
      </c>
      <c r="L1409">
        <v>0</v>
      </c>
      <c r="M1409">
        <v>1.3238337709257188E-3</v>
      </c>
      <c r="N1409">
        <v>0.14522453987745101</v>
      </c>
      <c r="O1409">
        <v>1.7959748180559502E-2</v>
      </c>
      <c r="P1409">
        <v>2.0220949822881251E-2</v>
      </c>
      <c r="Q1409">
        <v>2.2352159037064925E-3</v>
      </c>
      <c r="R1409">
        <v>1.3157333545043429E-3</v>
      </c>
      <c r="S1409">
        <v>0.15324458417693032</v>
      </c>
      <c r="T1409">
        <v>1.0689428388943532</v>
      </c>
      <c r="U1409">
        <v>2.335375960711257E-2</v>
      </c>
      <c r="V1409">
        <v>0.20746077972974905</v>
      </c>
      <c r="W1409">
        <v>8.5208774354875325E-2</v>
      </c>
      <c r="X1409">
        <v>1.7536011302409161E-2</v>
      </c>
      <c r="Y1409">
        <v>3.5809924595770768E-3</v>
      </c>
    </row>
    <row r="1410" spans="1:25" x14ac:dyDescent="0.25">
      <c r="A1410" s="827"/>
      <c r="B1410" s="1066">
        <v>1160</v>
      </c>
      <c r="C1410" s="831">
        <v>0.99597281019263217</v>
      </c>
      <c r="D1410" s="831">
        <v>1.0047451055436156</v>
      </c>
      <c r="E1410" s="831">
        <v>1.0052077832401407</v>
      </c>
      <c r="F1410" s="831">
        <v>0.98140572850922669</v>
      </c>
      <c r="G1410" s="831">
        <v>1.0097488329425981</v>
      </c>
      <c r="H1410" s="831">
        <v>0.98266446305868271</v>
      </c>
      <c r="I1410" s="831">
        <v>1.0047639377472621</v>
      </c>
      <c r="K1410">
        <v>1.7334636389667297</v>
      </c>
      <c r="L1410">
        <v>0</v>
      </c>
      <c r="M1410">
        <v>1.3492201100416305E-3</v>
      </c>
      <c r="N1410">
        <v>0.13811609469650724</v>
      </c>
      <c r="O1410">
        <v>1.7869943883988694E-2</v>
      </c>
      <c r="P1410">
        <v>1.9893515140626702E-2</v>
      </c>
      <c r="Q1410">
        <v>2.1784038456707506E-3</v>
      </c>
      <c r="R1410">
        <v>1.3407613718044004E-3</v>
      </c>
      <c r="S1410">
        <v>0.15252986751923525</v>
      </c>
      <c r="T1410">
        <v>1.0709004552810522</v>
      </c>
      <c r="U1410">
        <v>2.3416831925153012E-2</v>
      </c>
      <c r="V1410">
        <v>0.20617746645842427</v>
      </c>
      <c r="W1410">
        <v>8.2265082630410533E-2</v>
      </c>
      <c r="X1410">
        <v>1.6475325851713837E-2</v>
      </c>
      <c r="Y1410">
        <v>3.6491104721841478E-3</v>
      </c>
    </row>
    <row r="1411" spans="1:25" x14ac:dyDescent="0.25">
      <c r="A1411" s="827"/>
      <c r="B1411" s="1066">
        <v>1161</v>
      </c>
      <c r="C1411" s="831">
        <v>0.977402677027425</v>
      </c>
      <c r="D1411" s="831">
        <v>1.0122220615278685</v>
      </c>
      <c r="E1411" s="831">
        <v>0.98775083147332565</v>
      </c>
      <c r="F1411" s="831">
        <v>0.9831022060894814</v>
      </c>
      <c r="G1411" s="831">
        <v>0.97300820871506033</v>
      </c>
      <c r="H1411" s="831">
        <v>0.99272760826989204</v>
      </c>
      <c r="I1411" s="831">
        <v>1.0113086658319581</v>
      </c>
      <c r="K1411">
        <v>1.7437089663983509</v>
      </c>
      <c r="L1411">
        <v>0</v>
      </c>
      <c r="M1411">
        <v>1.4360959400207321E-3</v>
      </c>
      <c r="N1411">
        <v>0.13924453749731924</v>
      </c>
      <c r="O1411">
        <v>1.8148473183764304E-2</v>
      </c>
      <c r="P1411">
        <v>1.9736952212526901E-2</v>
      </c>
      <c r="Q1411">
        <v>2.1751159963962962E-3</v>
      </c>
      <c r="R1411">
        <v>1.4271784521628797E-3</v>
      </c>
      <c r="S1411">
        <v>0.15670367414643663</v>
      </c>
      <c r="T1411">
        <v>1.0724518717648308</v>
      </c>
      <c r="U1411">
        <v>2.3861739328598964E-2</v>
      </c>
      <c r="V1411">
        <v>0.20753248134532126</v>
      </c>
      <c r="W1411">
        <v>8.3936291836784846E-2</v>
      </c>
      <c r="X1411">
        <v>1.6042437296690158E-2</v>
      </c>
      <c r="Y1411">
        <v>3.884309277537044E-3</v>
      </c>
    </row>
    <row r="1412" spans="1:25" x14ac:dyDescent="0.25">
      <c r="A1412" s="827"/>
      <c r="B1412" s="1066">
        <v>1162</v>
      </c>
      <c r="C1412" s="831">
        <v>0.96837095627348913</v>
      </c>
      <c r="D1412" s="831">
        <v>0.97103132648302126</v>
      </c>
      <c r="E1412" s="831">
        <v>1.0037406464050875</v>
      </c>
      <c r="F1412" s="831">
        <v>0.99245722214478149</v>
      </c>
      <c r="G1412" s="831">
        <v>0.99504134084775131</v>
      </c>
      <c r="H1412" s="831">
        <v>1.0343906954007236</v>
      </c>
      <c r="I1412" s="831">
        <v>0.9989983068462589</v>
      </c>
      <c r="K1412">
        <v>1.7741368190650229</v>
      </c>
      <c r="L1412">
        <v>0</v>
      </c>
      <c r="M1412">
        <v>1.4880826841377798E-3</v>
      </c>
      <c r="N1412">
        <v>0.15168797865806904</v>
      </c>
      <c r="O1412">
        <v>1.8666068442175214E-2</v>
      </c>
      <c r="P1412">
        <v>2.0100399216548995E-2</v>
      </c>
      <c r="Q1412">
        <v>2.2657194274030125E-3</v>
      </c>
      <c r="R1412">
        <v>1.479244664398418E-3</v>
      </c>
      <c r="S1412">
        <v>0.16208682511111225</v>
      </c>
      <c r="T1412">
        <v>1.0710303985632028</v>
      </c>
      <c r="U1412">
        <v>2.408429099118542E-2</v>
      </c>
      <c r="V1412">
        <v>0.21252407901300963</v>
      </c>
      <c r="W1412">
        <v>9.0439266376248648E-2</v>
      </c>
      <c r="X1412">
        <v>1.7234614942184055E-2</v>
      </c>
      <c r="Y1412">
        <v>4.0260163436199306E-3</v>
      </c>
    </row>
    <row r="1413" spans="1:25" x14ac:dyDescent="0.25">
      <c r="A1413" s="827"/>
      <c r="B1413" s="1066">
        <v>1163</v>
      </c>
      <c r="C1413" s="831">
        <v>0.97575595419960559</v>
      </c>
      <c r="D1413" s="831">
        <v>1.0030542292026112</v>
      </c>
      <c r="E1413" s="831">
        <v>1.0047969222503337</v>
      </c>
      <c r="F1413" s="831">
        <v>1.0184895814714958</v>
      </c>
      <c r="G1413" s="831">
        <v>0.98472069639537319</v>
      </c>
      <c r="H1413" s="831">
        <v>0.99679879629023271</v>
      </c>
      <c r="I1413" s="831">
        <v>0.96864271432993987</v>
      </c>
      <c r="K1413">
        <v>1.7438356308619127</v>
      </c>
      <c r="L1413">
        <v>0</v>
      </c>
      <c r="M1413">
        <v>1.3992593269857719E-3</v>
      </c>
      <c r="N1413">
        <v>0.14306848875901934</v>
      </c>
      <c r="O1413">
        <v>1.8254109299201276E-2</v>
      </c>
      <c r="P1413">
        <v>1.9909130576096945E-2</v>
      </c>
      <c r="Q1413">
        <v>2.224012131572208E-3</v>
      </c>
      <c r="R1413">
        <v>1.390612450272256E-3</v>
      </c>
      <c r="S1413">
        <v>0.15120384245098575</v>
      </c>
      <c r="T1413">
        <v>1.070936836753694</v>
      </c>
      <c r="U1413">
        <v>2.3902009306655175E-2</v>
      </c>
      <c r="V1413">
        <v>0.20856534642935406</v>
      </c>
      <c r="W1413">
        <v>8.5238717144919721E-2</v>
      </c>
      <c r="X1413">
        <v>1.6756996212756909E-2</v>
      </c>
      <c r="Y1413">
        <v>3.7847886743700497E-3</v>
      </c>
    </row>
    <row r="1414" spans="1:25" x14ac:dyDescent="0.25">
      <c r="A1414" s="827"/>
      <c r="B1414" s="1066">
        <v>1164</v>
      </c>
      <c r="C1414" s="831">
        <v>1.0157523362116987</v>
      </c>
      <c r="D1414" s="831">
        <v>0.99877179266517568</v>
      </c>
      <c r="E1414" s="831">
        <v>0.98017487503678158</v>
      </c>
      <c r="F1414" s="831">
        <v>1.02361987245482</v>
      </c>
      <c r="G1414" s="831">
        <v>0.9663876144635315</v>
      </c>
      <c r="H1414" s="831">
        <v>1.00179426602258</v>
      </c>
      <c r="I1414" s="831">
        <v>1.0073974503570846</v>
      </c>
      <c r="K1414">
        <v>1.7276929458331201</v>
      </c>
      <c r="L1414">
        <v>0</v>
      </c>
      <c r="M1414">
        <v>1.4254632900922222E-3</v>
      </c>
      <c r="N1414">
        <v>0.13499879397600517</v>
      </c>
      <c r="O1414">
        <v>1.7569346612305817E-2</v>
      </c>
      <c r="P1414">
        <v>1.9514452655405884E-2</v>
      </c>
      <c r="Q1414">
        <v>2.0873068928293618E-3</v>
      </c>
      <c r="R1414">
        <v>1.4167014615199241E-3</v>
      </c>
      <c r="S1414">
        <v>0.15168573326861479</v>
      </c>
      <c r="T1414">
        <v>1.0731287265392637</v>
      </c>
      <c r="U1414">
        <v>2.2960841010994621E-2</v>
      </c>
      <c r="V1414">
        <v>0.20462355988655134</v>
      </c>
      <c r="W1414">
        <v>8.1804689284912094E-2</v>
      </c>
      <c r="X1414">
        <v>1.5472463172063109E-2</v>
      </c>
      <c r="Y1414">
        <v>3.855794362745957E-3</v>
      </c>
    </row>
    <row r="1415" spans="1:25" x14ac:dyDescent="0.25">
      <c r="A1415" s="827"/>
      <c r="B1415" s="1066">
        <v>1165</v>
      </c>
      <c r="C1415" s="831">
        <v>0.97805548962159872</v>
      </c>
      <c r="D1415" s="831">
        <v>0.999822837943663</v>
      </c>
      <c r="E1415" s="831">
        <v>1.022346893534352</v>
      </c>
      <c r="F1415" s="831">
        <v>1.0019961326475488</v>
      </c>
      <c r="G1415" s="831">
        <v>0.98544081468251554</v>
      </c>
      <c r="H1415" s="831">
        <v>0.98044529955994075</v>
      </c>
      <c r="I1415" s="831">
        <v>0.96919036631493694</v>
      </c>
      <c r="K1415">
        <v>1.7406400244450746</v>
      </c>
      <c r="L1415">
        <v>0</v>
      </c>
      <c r="M1415">
        <v>1.3250774446529378E-3</v>
      </c>
      <c r="N1415">
        <v>0.14306432340748129</v>
      </c>
      <c r="O1415">
        <v>1.8237824042170621E-2</v>
      </c>
      <c r="P1415">
        <v>2.0129736450806075E-2</v>
      </c>
      <c r="Q1415">
        <v>2.2606789436502789E-3</v>
      </c>
      <c r="R1415">
        <v>1.3167545887463527E-3</v>
      </c>
      <c r="S1415">
        <v>0.1499724789842854</v>
      </c>
      <c r="T1415">
        <v>1.0693884864296308</v>
      </c>
      <c r="U1415">
        <v>2.3845812579945218E-2</v>
      </c>
      <c r="V1415">
        <v>0.20861142949556594</v>
      </c>
      <c r="W1415">
        <v>8.4228317620824097E-2</v>
      </c>
      <c r="X1415">
        <v>1.7325487424085673E-2</v>
      </c>
      <c r="Y1415">
        <v>3.5837719225340504E-3</v>
      </c>
    </row>
    <row r="1416" spans="1:25" x14ac:dyDescent="0.25">
      <c r="A1416" s="827"/>
      <c r="B1416" s="1066">
        <v>1166</v>
      </c>
      <c r="C1416" s="831">
        <v>1.0048881873676554</v>
      </c>
      <c r="D1416" s="831">
        <v>1.0310029206745535</v>
      </c>
      <c r="E1416" s="831">
        <v>0.9661001449982547</v>
      </c>
      <c r="F1416" s="831">
        <v>0.99282910307732708</v>
      </c>
      <c r="G1416" s="831">
        <v>1.0175039203505696</v>
      </c>
      <c r="H1416" s="831">
        <v>1.0175920894792254</v>
      </c>
      <c r="I1416" s="831">
        <v>1.037516310690267</v>
      </c>
      <c r="K1416">
        <v>1.7325884997629415</v>
      </c>
      <c r="L1416">
        <v>0</v>
      </c>
      <c r="M1416">
        <v>1.4859669161858303E-3</v>
      </c>
      <c r="N1416">
        <v>0.13469859510139168</v>
      </c>
      <c r="O1416">
        <v>1.750606011050844E-2</v>
      </c>
      <c r="P1416">
        <v>1.9373383748774235E-2</v>
      </c>
      <c r="Q1416">
        <v>2.0554381701782575E-3</v>
      </c>
      <c r="R1416">
        <v>1.476951875581136E-3</v>
      </c>
      <c r="S1416">
        <v>0.1569994708208336</v>
      </c>
      <c r="T1416">
        <v>1.0743919198049461</v>
      </c>
      <c r="U1416">
        <v>2.3209077578469201E-2</v>
      </c>
      <c r="V1416">
        <v>0.20289940877300022</v>
      </c>
      <c r="W1416">
        <v>8.242773454810734E-2</v>
      </c>
      <c r="X1416">
        <v>1.5016650019057333E-2</v>
      </c>
      <c r="Y1416">
        <v>4.0197761282769161E-3</v>
      </c>
    </row>
    <row r="1417" spans="1:25" x14ac:dyDescent="0.25">
      <c r="A1417" s="827"/>
      <c r="B1417" s="1066">
        <v>1167</v>
      </c>
      <c r="C1417" s="831">
        <v>0.99604154500878639</v>
      </c>
      <c r="D1417" s="831">
        <v>0.98269597163934919</v>
      </c>
      <c r="E1417" s="831">
        <v>0.97584187120064858</v>
      </c>
      <c r="F1417" s="831">
        <v>0.97310262121856317</v>
      </c>
      <c r="G1417" s="831">
        <v>0.98005770460451436</v>
      </c>
      <c r="H1417" s="831">
        <v>1.0134819007087825</v>
      </c>
      <c r="I1417" s="831">
        <v>1.0172354933829659</v>
      </c>
      <c r="K1417">
        <v>1.7473571513420936</v>
      </c>
      <c r="L1417">
        <v>0</v>
      </c>
      <c r="M1417">
        <v>1.4950136763491842E-3</v>
      </c>
      <c r="N1417">
        <v>0.13969777045849269</v>
      </c>
      <c r="O1417">
        <v>1.8049351163808826E-2</v>
      </c>
      <c r="P1417">
        <v>1.959609839457789E-2</v>
      </c>
      <c r="Q1417">
        <v>2.1320479590704639E-3</v>
      </c>
      <c r="R1417">
        <v>1.4859423779204585E-3</v>
      </c>
      <c r="S1417">
        <v>0.15811882196989777</v>
      </c>
      <c r="T1417">
        <v>1.0735168175958598</v>
      </c>
      <c r="U1417">
        <v>2.3415215976857112E-2</v>
      </c>
      <c r="V1417">
        <v>0.20823588006509483</v>
      </c>
      <c r="W1417">
        <v>8.4907367586640206E-2</v>
      </c>
      <c r="X1417">
        <v>1.5652606158295983E-2</v>
      </c>
      <c r="Y1417">
        <v>4.0442453119262541E-3</v>
      </c>
    </row>
    <row r="1418" spans="1:25" x14ac:dyDescent="0.25">
      <c r="A1418" s="827"/>
      <c r="B1418" s="1066">
        <v>1168</v>
      </c>
      <c r="C1418" s="831">
        <v>0.98938041865356896</v>
      </c>
      <c r="D1418" s="831">
        <v>1.01982701284838</v>
      </c>
      <c r="E1418" s="831">
        <v>0.99777940464959136</v>
      </c>
      <c r="F1418" s="831">
        <v>0.97153546948130687</v>
      </c>
      <c r="G1418" s="831">
        <v>0.99501737058403439</v>
      </c>
      <c r="H1418" s="831">
        <v>0.97993484317071633</v>
      </c>
      <c r="I1418" s="831">
        <v>1.0423938902176673</v>
      </c>
      <c r="K1418">
        <v>1.7370817199068658</v>
      </c>
      <c r="L1418">
        <v>0</v>
      </c>
      <c r="M1418">
        <v>1.3665670117876283E-3</v>
      </c>
      <c r="N1418">
        <v>0.13669285426894048</v>
      </c>
      <c r="O1418">
        <v>1.7868191460346322E-2</v>
      </c>
      <c r="P1418">
        <v>1.9861974993266068E-2</v>
      </c>
      <c r="Q1418">
        <v>2.1646249205128291E-3</v>
      </c>
      <c r="R1418">
        <v>1.3579652878162639E-3</v>
      </c>
      <c r="S1418">
        <v>0.15811194512799673</v>
      </c>
      <c r="T1418">
        <v>1.0715592176370345</v>
      </c>
      <c r="U1418">
        <v>2.3572861821990008E-2</v>
      </c>
      <c r="V1418">
        <v>0.20552733874901299</v>
      </c>
      <c r="W1418">
        <v>8.1831817246143204E-2</v>
      </c>
      <c r="X1418">
        <v>1.6203561545292854E-2</v>
      </c>
      <c r="Y1418">
        <v>3.695933860299051E-3</v>
      </c>
    </row>
    <row r="1419" spans="1:25" x14ac:dyDescent="0.25">
      <c r="A1419" s="827"/>
      <c r="B1419" s="1066">
        <v>1169</v>
      </c>
      <c r="C1419" s="831">
        <v>0.98311588442785702</v>
      </c>
      <c r="D1419" s="831">
        <v>1.0257007565716909</v>
      </c>
      <c r="E1419" s="831">
        <v>0.98515037606404521</v>
      </c>
      <c r="F1419" s="831">
        <v>1.0038324151105</v>
      </c>
      <c r="G1419" s="831">
        <v>1.0190904198029254</v>
      </c>
      <c r="H1419" s="831">
        <v>0.98227035776698224</v>
      </c>
      <c r="I1419" s="831">
        <v>1.0050974565365125</v>
      </c>
      <c r="K1419">
        <v>1.7323922432579002</v>
      </c>
      <c r="L1419">
        <v>0</v>
      </c>
      <c r="M1419">
        <v>1.411994205921682E-3</v>
      </c>
      <c r="N1419">
        <v>0.13579341304851378</v>
      </c>
      <c r="O1419">
        <v>1.7935455411804684E-2</v>
      </c>
      <c r="P1419">
        <v>1.962762224154805E-2</v>
      </c>
      <c r="Q1419">
        <v>2.1462346819088223E-3</v>
      </c>
      <c r="R1419">
        <v>1.4031235768798222E-3</v>
      </c>
      <c r="S1419">
        <v>0.15323157942026347</v>
      </c>
      <c r="T1419">
        <v>1.0726839595811504</v>
      </c>
      <c r="U1419">
        <v>2.3723070970291721E-2</v>
      </c>
      <c r="V1419">
        <v>0.20568095305993567</v>
      </c>
      <c r="W1419">
        <v>8.200313055977107E-2</v>
      </c>
      <c r="X1419">
        <v>1.5756855075050223E-2</v>
      </c>
      <c r="Y1419">
        <v>3.8188398367040694E-3</v>
      </c>
    </row>
    <row r="1420" spans="1:25" x14ac:dyDescent="0.25">
      <c r="A1420" s="827"/>
      <c r="B1420" s="1066">
        <v>1170</v>
      </c>
      <c r="C1420" s="831">
        <v>0.98013355604234931</v>
      </c>
      <c r="D1420" s="831">
        <v>1.0068200415684567</v>
      </c>
      <c r="E1420" s="831">
        <v>0.98798236496946468</v>
      </c>
      <c r="F1420" s="831">
        <v>0.98155136427257206</v>
      </c>
      <c r="G1420" s="831">
        <v>0.98841744776230611</v>
      </c>
      <c r="H1420" s="831">
        <v>0.95621268264754966</v>
      </c>
      <c r="I1420" s="831">
        <v>0.9799611731794472</v>
      </c>
      <c r="K1420">
        <v>1.7274747585638033</v>
      </c>
      <c r="L1420">
        <v>0</v>
      </c>
      <c r="M1420">
        <v>1.3820860605288521E-3</v>
      </c>
      <c r="N1420">
        <v>0.13407274439060185</v>
      </c>
      <c r="O1420">
        <v>1.8141778221952364E-2</v>
      </c>
      <c r="P1420">
        <v>1.9639595053503395E-2</v>
      </c>
      <c r="Q1420">
        <v>2.1738741384345617E-3</v>
      </c>
      <c r="R1420">
        <v>1.373180087304324E-3</v>
      </c>
      <c r="S1420">
        <v>0.14914676351613271</v>
      </c>
      <c r="T1420">
        <v>1.0724312199913271</v>
      </c>
      <c r="U1420">
        <v>2.3795254998182584E-2</v>
      </c>
      <c r="V1420">
        <v>0.20772357631328167</v>
      </c>
      <c r="W1420">
        <v>8.0805834891141806E-2</v>
      </c>
      <c r="X1420">
        <v>1.5815679493521216E-2</v>
      </c>
      <c r="Y1420">
        <v>3.7373435289482478E-3</v>
      </c>
    </row>
    <row r="1421" spans="1:25" x14ac:dyDescent="0.25">
      <c r="A1421" s="827"/>
      <c r="B1421" s="1066">
        <v>1171</v>
      </c>
      <c r="C1421" s="831">
        <v>1.0219370403542003</v>
      </c>
      <c r="D1421" s="831">
        <v>0.97119258894875293</v>
      </c>
      <c r="E1421" s="831">
        <v>1.0231687950649333</v>
      </c>
      <c r="F1421" s="831">
        <v>1.0164163662004779</v>
      </c>
      <c r="G1421" s="831">
        <v>1.0308550516448354</v>
      </c>
      <c r="H1421" s="831">
        <v>1.0321459980123855</v>
      </c>
      <c r="I1421" s="831">
        <v>0.99764839085519974</v>
      </c>
      <c r="K1421">
        <v>1.7451873133906723</v>
      </c>
      <c r="L1421">
        <v>0</v>
      </c>
      <c r="M1421">
        <v>1.3504016682918103E-3</v>
      </c>
      <c r="N1421">
        <v>0.14621952674330119</v>
      </c>
      <c r="O1421">
        <v>1.7686328534502752E-2</v>
      </c>
      <c r="P1421">
        <v>2.0142895948697576E-2</v>
      </c>
      <c r="Q1421">
        <v>2.188847259538771E-3</v>
      </c>
      <c r="R1421">
        <v>1.3423638106575969E-3</v>
      </c>
      <c r="S1421">
        <v>0.15321326905861543</v>
      </c>
      <c r="T1421">
        <v>1.0693162598240389</v>
      </c>
      <c r="U1421">
        <v>2.2821883322890101E-2</v>
      </c>
      <c r="V1421">
        <v>0.20654281753657705</v>
      </c>
      <c r="W1421">
        <v>8.6038287008720946E-2</v>
      </c>
      <c r="X1421">
        <v>1.7371764228922806E-2</v>
      </c>
      <c r="Y1421">
        <v>3.6534717824987231E-3</v>
      </c>
    </row>
    <row r="1422" spans="1:25" x14ac:dyDescent="0.25">
      <c r="A1422" s="827"/>
      <c r="B1422" s="1066">
        <v>1172</v>
      </c>
      <c r="C1422" s="831">
        <v>1.003832662221144</v>
      </c>
      <c r="D1422" s="831">
        <v>1.0209654035001512</v>
      </c>
      <c r="E1422" s="831">
        <v>1.0102642800013648</v>
      </c>
      <c r="F1422" s="831">
        <v>1.0423156280836401</v>
      </c>
      <c r="G1422" s="831">
        <v>1.0234750076702075</v>
      </c>
      <c r="H1422" s="831">
        <v>0.98865537770368106</v>
      </c>
      <c r="I1422" s="831">
        <v>1.0326043163728447</v>
      </c>
      <c r="K1422">
        <v>1.7315993996376295</v>
      </c>
      <c r="L1422">
        <v>0</v>
      </c>
      <c r="M1422">
        <v>1.3229282058615467E-3</v>
      </c>
      <c r="N1422">
        <v>0.13757481768101104</v>
      </c>
      <c r="O1422">
        <v>1.7602065700859631E-2</v>
      </c>
      <c r="P1422">
        <v>1.9961183931651E-2</v>
      </c>
      <c r="Q1422">
        <v>2.1594496670338595E-3</v>
      </c>
      <c r="R1422">
        <v>1.3146738695008491E-3</v>
      </c>
      <c r="S1422">
        <v>0.15493877648150628</v>
      </c>
      <c r="T1422">
        <v>1.0704532282096881</v>
      </c>
      <c r="U1422">
        <v>2.3233481810303189E-2</v>
      </c>
      <c r="V1422">
        <v>0.20388797703420058</v>
      </c>
      <c r="W1422">
        <v>8.1661185456139707E-2</v>
      </c>
      <c r="X1422">
        <v>1.6557379110938159E-2</v>
      </c>
      <c r="Y1422">
        <v>3.5781088906567038E-3</v>
      </c>
    </row>
    <row r="1423" spans="1:25" x14ac:dyDescent="0.25">
      <c r="A1423" s="827"/>
      <c r="B1423" s="1066">
        <v>1173</v>
      </c>
      <c r="C1423" s="831">
        <v>0.98531027374771729</v>
      </c>
      <c r="D1423" s="831">
        <v>1.0147351919714263</v>
      </c>
      <c r="E1423" s="831">
        <v>0.99774204901116292</v>
      </c>
      <c r="F1423" s="831">
        <v>1.0253156423093337</v>
      </c>
      <c r="G1423" s="831">
        <v>1.0056458555553229</v>
      </c>
      <c r="H1423" s="831">
        <v>1.0267358760242316</v>
      </c>
      <c r="I1423" s="831">
        <v>1.0350574085895112</v>
      </c>
      <c r="K1423">
        <v>1.7541494272950431</v>
      </c>
      <c r="L1423">
        <v>0</v>
      </c>
      <c r="M1423">
        <v>1.4411145513169338E-3</v>
      </c>
      <c r="N1423">
        <v>0.14417479353848148</v>
      </c>
      <c r="O1423">
        <v>1.798264480047054E-2</v>
      </c>
      <c r="P1423">
        <v>1.9920990388998361E-2</v>
      </c>
      <c r="Q1423">
        <v>2.1775228484655676E-3</v>
      </c>
      <c r="R1423">
        <v>1.4324605680790512E-3</v>
      </c>
      <c r="S1423">
        <v>0.16148072577600325</v>
      </c>
      <c r="T1423">
        <v>1.0715625356675185</v>
      </c>
      <c r="U1423">
        <v>2.3670237203143939E-2</v>
      </c>
      <c r="V1423">
        <v>0.20643001162522376</v>
      </c>
      <c r="W1423">
        <v>8.6313124833328245E-2</v>
      </c>
      <c r="X1423">
        <v>1.6546809140837254E-2</v>
      </c>
      <c r="Y1423">
        <v>3.8986854558118195E-3</v>
      </c>
    </row>
    <row r="1424" spans="1:25" x14ac:dyDescent="0.25">
      <c r="A1424" s="827"/>
      <c r="B1424" s="1066">
        <v>1174</v>
      </c>
      <c r="C1424" s="831">
        <v>0.98142023352375973</v>
      </c>
      <c r="D1424" s="831">
        <v>0.99734224532801152</v>
      </c>
      <c r="E1424" s="831">
        <v>1.0327858826629244</v>
      </c>
      <c r="F1424" s="831">
        <v>1.0071961628876756</v>
      </c>
      <c r="G1424" s="831">
        <v>0.99235519689742202</v>
      </c>
      <c r="H1424" s="831">
        <v>1.0053464038585269</v>
      </c>
      <c r="I1424" s="831">
        <v>1.012307882272105</v>
      </c>
      <c r="K1424">
        <v>1.7555460285608913</v>
      </c>
      <c r="L1424">
        <v>0</v>
      </c>
      <c r="M1424">
        <v>1.3259980564265788E-3</v>
      </c>
      <c r="N1424">
        <v>0.14790310010247432</v>
      </c>
      <c r="O1424">
        <v>1.8195762773045486E-2</v>
      </c>
      <c r="P1424">
        <v>2.0381240335202711E-2</v>
      </c>
      <c r="Q1424">
        <v>2.2784314991910267E-3</v>
      </c>
      <c r="R1424">
        <v>1.3178773523451278E-3</v>
      </c>
      <c r="S1424">
        <v>0.15811445552576783</v>
      </c>
      <c r="T1424">
        <v>1.0684730380947698</v>
      </c>
      <c r="U1424">
        <v>2.3764058556816493E-2</v>
      </c>
      <c r="V1424">
        <v>0.20846798400330391</v>
      </c>
      <c r="W1424">
        <v>8.6469090352641359E-2</v>
      </c>
      <c r="X1424">
        <v>1.7920160306830375E-2</v>
      </c>
      <c r="Y1424">
        <v>3.5868277149309945E-3</v>
      </c>
    </row>
    <row r="1425" spans="1:25" x14ac:dyDescent="0.25">
      <c r="A1425" s="827"/>
      <c r="B1425" s="1066">
        <v>1175</v>
      </c>
      <c r="C1425" s="831">
        <v>0.99905353900816474</v>
      </c>
      <c r="D1425" s="831">
        <v>0.99476342892304259</v>
      </c>
      <c r="E1425" s="831">
        <v>1.0008635333509679</v>
      </c>
      <c r="F1425" s="831">
        <v>0.99309806940956924</v>
      </c>
      <c r="G1425" s="831">
        <v>0.95609473579009951</v>
      </c>
      <c r="H1425" s="831">
        <v>1.0016822356271355</v>
      </c>
      <c r="I1425" s="831">
        <v>1.0224704302406664</v>
      </c>
      <c r="K1425">
        <v>1.7426184549253074</v>
      </c>
      <c r="L1425">
        <v>0</v>
      </c>
      <c r="M1425">
        <v>1.3899632021341956E-3</v>
      </c>
      <c r="N1425">
        <v>0.14039467180685117</v>
      </c>
      <c r="O1425">
        <v>1.7895591770897716E-2</v>
      </c>
      <c r="P1425">
        <v>1.989970985172497E-2</v>
      </c>
      <c r="Q1425">
        <v>2.1702637087875221E-3</v>
      </c>
      <c r="R1425">
        <v>1.38142142842139E-3</v>
      </c>
      <c r="S1425">
        <v>0.15678201730955388</v>
      </c>
      <c r="T1425">
        <v>1.0712854584836469</v>
      </c>
      <c r="U1425">
        <v>2.3344622673032351E-2</v>
      </c>
      <c r="V1425">
        <v>0.20676874496852082</v>
      </c>
      <c r="W1425">
        <v>8.3870665469531716E-2</v>
      </c>
      <c r="X1425">
        <v>1.64554769137592E-2</v>
      </c>
      <c r="Y1425">
        <v>3.7597737427115317E-3</v>
      </c>
    </row>
    <row r="1426" spans="1:25" x14ac:dyDescent="0.25">
      <c r="A1426" s="827"/>
      <c r="B1426" s="1066">
        <v>1176</v>
      </c>
      <c r="C1426" s="831">
        <v>1.0234129818096034</v>
      </c>
      <c r="D1426" s="831">
        <v>1.0403710797317964</v>
      </c>
      <c r="E1426" s="831">
        <v>0.97708995862360271</v>
      </c>
      <c r="F1426" s="831">
        <v>0.99492019637951246</v>
      </c>
      <c r="G1426" s="831">
        <v>0.97547186586866208</v>
      </c>
      <c r="H1426" s="831">
        <v>0.99924282883211257</v>
      </c>
      <c r="I1426" s="831">
        <v>0.98379493373092808</v>
      </c>
      <c r="K1426">
        <v>1.7083216008439353</v>
      </c>
      <c r="L1426">
        <v>0</v>
      </c>
      <c r="M1426">
        <v>1.3944305858352207E-3</v>
      </c>
      <c r="N1426">
        <v>0.13079172277614334</v>
      </c>
      <c r="O1426">
        <v>1.711918626957137E-2</v>
      </c>
      <c r="P1426">
        <v>1.9313133666549576E-2</v>
      </c>
      <c r="Q1426">
        <v>2.0341784055907535E-3</v>
      </c>
      <c r="R1426">
        <v>1.3858092960944105E-3</v>
      </c>
      <c r="S1426">
        <v>0.14438564784412389</v>
      </c>
      <c r="T1426">
        <v>1.073404958749524</v>
      </c>
      <c r="U1426">
        <v>2.278897015461364E-2</v>
      </c>
      <c r="V1426">
        <v>0.20022255581322781</v>
      </c>
      <c r="W1426">
        <v>7.9425345456614033E-2</v>
      </c>
      <c r="X1426">
        <v>1.5072806925658188E-2</v>
      </c>
      <c r="Y1426">
        <v>3.7717160720573046E-3</v>
      </c>
    </row>
    <row r="1427" spans="1:25" x14ac:dyDescent="0.25">
      <c r="A1427" s="827"/>
      <c r="B1427" s="1066">
        <v>1177</v>
      </c>
      <c r="C1427" s="831">
        <v>0.99562356117221784</v>
      </c>
      <c r="D1427" s="831">
        <v>1.0259152101050453</v>
      </c>
      <c r="E1427" s="831">
        <v>1.0144678053387515</v>
      </c>
      <c r="F1427" s="831">
        <v>0.97158825997942599</v>
      </c>
      <c r="G1427" s="831">
        <v>1.0229564865691849</v>
      </c>
      <c r="H1427" s="831">
        <v>1.0017654960800548</v>
      </c>
      <c r="I1427" s="831">
        <v>0.95661807072643434</v>
      </c>
      <c r="K1427">
        <v>1.7275596665032404</v>
      </c>
      <c r="L1427">
        <v>0</v>
      </c>
      <c r="M1427">
        <v>1.3366692533136131E-3</v>
      </c>
      <c r="N1427">
        <v>0.14084311164030347</v>
      </c>
      <c r="O1427">
        <v>1.7708466457040561E-2</v>
      </c>
      <c r="P1427">
        <v>1.9894027185084664E-2</v>
      </c>
      <c r="Q1427">
        <v>2.1824936980617449E-3</v>
      </c>
      <c r="R1427">
        <v>1.3284351231505013E-3</v>
      </c>
      <c r="S1427">
        <v>0.14532529530696264</v>
      </c>
      <c r="T1427">
        <v>1.0700821790742232</v>
      </c>
      <c r="U1427">
        <v>2.3425046179947711E-2</v>
      </c>
      <c r="V1427">
        <v>0.20431593775077334</v>
      </c>
      <c r="W1427">
        <v>8.3363115621489833E-2</v>
      </c>
      <c r="X1427">
        <v>1.681266523281863E-2</v>
      </c>
      <c r="Y1427">
        <v>3.6155624866950108E-3</v>
      </c>
    </row>
    <row r="1428" spans="1:25" x14ac:dyDescent="0.25">
      <c r="A1428" s="827"/>
      <c r="B1428" s="1066">
        <v>1178</v>
      </c>
      <c r="C1428" s="831">
        <v>0.9984923633354067</v>
      </c>
      <c r="D1428" s="831">
        <v>0.99636361268782392</v>
      </c>
      <c r="E1428" s="831">
        <v>0.98354683237833929</v>
      </c>
      <c r="F1428" s="831">
        <v>0.95730958677164824</v>
      </c>
      <c r="G1428" s="831">
        <v>1.0019908730599265</v>
      </c>
      <c r="H1428" s="831">
        <v>1.0015458615187165</v>
      </c>
      <c r="I1428" s="831">
        <v>0.95469079851476968</v>
      </c>
      <c r="K1428">
        <v>1.7297096442668316</v>
      </c>
      <c r="L1428">
        <v>0</v>
      </c>
      <c r="M1428">
        <v>1.4410886691968603E-3</v>
      </c>
      <c r="N1428">
        <v>0.13791977134102171</v>
      </c>
      <c r="O1428">
        <v>1.7892611082886312E-2</v>
      </c>
      <c r="P1428">
        <v>1.95217118838617E-2</v>
      </c>
      <c r="Q1428">
        <v>2.132579660872247E-3</v>
      </c>
      <c r="R1428">
        <v>1.4322303444690831E-3</v>
      </c>
      <c r="S1428">
        <v>0.14636406077886396</v>
      </c>
      <c r="T1428">
        <v>1.0728272009263375</v>
      </c>
      <c r="U1428">
        <v>2.3357742887883087E-2</v>
      </c>
      <c r="V1428">
        <v>0.20668022656305235</v>
      </c>
      <c r="W1428">
        <v>8.3379640206816638E-2</v>
      </c>
      <c r="X1428">
        <v>1.5744898396925354E-2</v>
      </c>
      <c r="Y1428">
        <v>3.8980588630386785E-3</v>
      </c>
    </row>
    <row r="1429" spans="1:25" x14ac:dyDescent="0.25">
      <c r="A1429" s="827"/>
      <c r="B1429" s="1066">
        <v>1179</v>
      </c>
      <c r="C1429" s="831">
        <v>1.0012312439787874</v>
      </c>
      <c r="D1429" s="831">
        <v>0.99821567302758907</v>
      </c>
      <c r="E1429" s="831">
        <v>1.0204668881648453</v>
      </c>
      <c r="F1429" s="831">
        <v>1.0419306197304214</v>
      </c>
      <c r="G1429" s="831">
        <v>0.98257127685150558</v>
      </c>
      <c r="H1429" s="831">
        <v>1.0258005586569201</v>
      </c>
      <c r="I1429" s="831">
        <v>0.9690578604256983</v>
      </c>
      <c r="K1429">
        <v>1.7420653757360816</v>
      </c>
      <c r="L1429">
        <v>0</v>
      </c>
      <c r="M1429">
        <v>1.3606647714386147E-3</v>
      </c>
      <c r="N1429">
        <v>0.14609212191674642</v>
      </c>
      <c r="O1429">
        <v>1.7828657070829382E-2</v>
      </c>
      <c r="P1429">
        <v>2.0060129875171025E-2</v>
      </c>
      <c r="Q1429">
        <v>2.2055460582154976E-3</v>
      </c>
      <c r="R1429">
        <v>1.3524973353643826E-3</v>
      </c>
      <c r="S1429">
        <v>0.14973262392604017</v>
      </c>
      <c r="T1429">
        <v>1.0695537927396175</v>
      </c>
      <c r="U1429">
        <v>2.3293847488839777E-2</v>
      </c>
      <c r="V1429">
        <v>0.20621289196975987</v>
      </c>
      <c r="W1429">
        <v>8.6119991894420808E-2</v>
      </c>
      <c r="X1429">
        <v>1.7292888336278529E-2</v>
      </c>
      <c r="Y1429">
        <v>3.6810518962350713E-3</v>
      </c>
    </row>
    <row r="1430" spans="1:25" x14ac:dyDescent="0.25">
      <c r="A1430" s="827"/>
      <c r="B1430" s="1066">
        <v>1180</v>
      </c>
      <c r="C1430" s="831">
        <v>1.0331176328220633</v>
      </c>
      <c r="D1430" s="831">
        <v>0.99051113398046131</v>
      </c>
      <c r="E1430" s="831">
        <v>1.029262970846373</v>
      </c>
      <c r="F1430" s="831">
        <v>1.025602073129908</v>
      </c>
      <c r="G1430" s="831">
        <v>1.0267198855844208</v>
      </c>
      <c r="H1430" s="831">
        <v>1.0042533609853104</v>
      </c>
      <c r="I1430" s="831">
        <v>1.0057377034474648</v>
      </c>
      <c r="K1430">
        <v>1.7272904460008884</v>
      </c>
      <c r="L1430">
        <v>0</v>
      </c>
      <c r="M1430">
        <v>1.2716405698753109E-3</v>
      </c>
      <c r="N1430">
        <v>0.14029698196148493</v>
      </c>
      <c r="O1430">
        <v>1.7339178036234047E-2</v>
      </c>
      <c r="P1430">
        <v>2.0129752658143863E-2</v>
      </c>
      <c r="Q1430">
        <v>2.1624043790337737E-3</v>
      </c>
      <c r="R1430">
        <v>1.2638486648773343E-3</v>
      </c>
      <c r="S1430">
        <v>0.14957761129318872</v>
      </c>
      <c r="T1430">
        <v>1.0687815181751736</v>
      </c>
      <c r="U1430">
        <v>2.2574900628300577E-2</v>
      </c>
      <c r="V1430">
        <v>0.20358474534783491</v>
      </c>
      <c r="W1430">
        <v>8.2216025777024762E-2</v>
      </c>
      <c r="X1430">
        <v>1.7195340211270605E-2</v>
      </c>
      <c r="Y1430">
        <v>3.4397794381956981E-3</v>
      </c>
    </row>
    <row r="1431" spans="1:25" x14ac:dyDescent="0.25">
      <c r="A1431" s="827"/>
      <c r="B1431" s="1066">
        <v>1181</v>
      </c>
      <c r="C1431" s="831">
        <v>1.0154217392163045</v>
      </c>
      <c r="D1431" s="831">
        <v>0.9728621151176885</v>
      </c>
      <c r="E1431" s="831">
        <v>1.000619694604336</v>
      </c>
      <c r="F1431" s="831">
        <v>0.99238909345321002</v>
      </c>
      <c r="G1431" s="831">
        <v>0.97971197955441414</v>
      </c>
      <c r="H1431" s="831">
        <v>1.0155466536133628</v>
      </c>
      <c r="I1431" s="831">
        <v>1.0286644490482668</v>
      </c>
      <c r="K1431">
        <v>1.7450556213495581</v>
      </c>
      <c r="L1431">
        <v>0</v>
      </c>
      <c r="M1431">
        <v>1.4012693517139333E-3</v>
      </c>
      <c r="N1431">
        <v>0.1414428522367116</v>
      </c>
      <c r="O1431">
        <v>1.7785920822879216E-2</v>
      </c>
      <c r="P1431">
        <v>1.9907345097969195E-2</v>
      </c>
      <c r="Q1431">
        <v>2.1524690578604579E-3</v>
      </c>
      <c r="R1431">
        <v>1.3927911857719239E-3</v>
      </c>
      <c r="S1431">
        <v>0.15765401318034283</v>
      </c>
      <c r="T1431">
        <v>1.071307089481369</v>
      </c>
      <c r="U1431">
        <v>2.2968316510835522E-2</v>
      </c>
      <c r="V1431">
        <v>0.20707564011455501</v>
      </c>
      <c r="W1431">
        <v>8.4510931866635913E-2</v>
      </c>
      <c r="X1431">
        <v>1.6468802672160384E-2</v>
      </c>
      <c r="Y1431">
        <v>3.7907184741801823E-3</v>
      </c>
    </row>
    <row r="1432" spans="1:25" x14ac:dyDescent="0.25">
      <c r="A1432" s="827"/>
      <c r="B1432" s="1066">
        <v>1182</v>
      </c>
      <c r="C1432" s="831">
        <v>1.0140885723137583</v>
      </c>
      <c r="D1432" s="831">
        <v>1.0018829097829587</v>
      </c>
      <c r="E1432" s="831">
        <v>0.98881493914400598</v>
      </c>
      <c r="F1432" s="831">
        <v>1.0274048688003967</v>
      </c>
      <c r="G1432" s="831">
        <v>1.0139401413172842</v>
      </c>
      <c r="H1432" s="831">
        <v>1.0139047223022686</v>
      </c>
      <c r="I1432" s="831">
        <v>1.0076485638207249</v>
      </c>
      <c r="K1432">
        <v>1.7324457554502584</v>
      </c>
      <c r="L1432">
        <v>0</v>
      </c>
      <c r="M1432">
        <v>1.4170738024858575E-3</v>
      </c>
      <c r="N1432">
        <v>0.13787485704273983</v>
      </c>
      <c r="O1432">
        <v>1.7573398442900432E-2</v>
      </c>
      <c r="P1432">
        <v>1.964397218073426E-2</v>
      </c>
      <c r="Q1432">
        <v>2.1066942020079339E-3</v>
      </c>
      <c r="R1432">
        <v>1.4084653993176094E-3</v>
      </c>
      <c r="S1432">
        <v>0.15263947831651214</v>
      </c>
      <c r="T1432">
        <v>1.0723569746992183</v>
      </c>
      <c r="U1432">
        <v>2.299851170306574E-2</v>
      </c>
      <c r="V1432">
        <v>0.20451378174608154</v>
      </c>
      <c r="W1432">
        <v>8.3049662647201594E-2</v>
      </c>
      <c r="X1432">
        <v>1.586365435651382E-2</v>
      </c>
      <c r="Y1432">
        <v>3.833378516448431E-3</v>
      </c>
    </row>
    <row r="1433" spans="1:25" x14ac:dyDescent="0.25">
      <c r="A1433" s="827"/>
      <c r="B1433" s="1066">
        <v>1183</v>
      </c>
      <c r="C1433" s="831">
        <v>0.98213919142718564</v>
      </c>
      <c r="D1433" s="831">
        <v>0.96125426922034374</v>
      </c>
      <c r="E1433" s="831">
        <v>0.97810528683254572</v>
      </c>
      <c r="F1433" s="831">
        <v>0.97196023539146337</v>
      </c>
      <c r="G1433" s="831">
        <v>1.0171224187736487</v>
      </c>
      <c r="H1433" s="831">
        <v>1.0169481425983375</v>
      </c>
      <c r="I1433" s="831">
        <v>1.0415352988654376</v>
      </c>
      <c r="K1433">
        <v>1.7668287560883102</v>
      </c>
      <c r="L1433">
        <v>0</v>
      </c>
      <c r="M1433">
        <v>1.5293938210474011E-3</v>
      </c>
      <c r="N1433">
        <v>0.14392654718370934</v>
      </c>
      <c r="O1433">
        <v>1.8489299994939406E-2</v>
      </c>
      <c r="P1433">
        <v>1.9786434860821479E-2</v>
      </c>
      <c r="Q1433">
        <v>2.185039557122557E-3</v>
      </c>
      <c r="R1433">
        <v>1.5201624039091791E-3</v>
      </c>
      <c r="S1433">
        <v>0.1659729259664571</v>
      </c>
      <c r="T1433">
        <v>1.0733140039052633</v>
      </c>
      <c r="U1433">
        <v>2.3746662491303618E-2</v>
      </c>
      <c r="V1433">
        <v>0.21191107193545292</v>
      </c>
      <c r="W1433">
        <v>8.7340016627142206E-2</v>
      </c>
      <c r="X1433">
        <v>1.6028604041195302E-2</v>
      </c>
      <c r="Y1433">
        <v>4.1373809420390158E-3</v>
      </c>
    </row>
    <row r="1434" spans="1:25" x14ac:dyDescent="0.25">
      <c r="A1434" s="827"/>
      <c r="B1434" s="1066">
        <v>1184</v>
      </c>
      <c r="C1434" s="831">
        <v>1.0436979172287797</v>
      </c>
      <c r="D1434" s="831">
        <v>0.98640122515450268</v>
      </c>
      <c r="E1434" s="831">
        <v>1.0039928384279291</v>
      </c>
      <c r="F1434" s="831">
        <v>0.99852936744181287</v>
      </c>
      <c r="G1434" s="831">
        <v>0.98222972124332952</v>
      </c>
      <c r="H1434" s="831">
        <v>0.99084307524958315</v>
      </c>
      <c r="I1434" s="831">
        <v>1.0188552836363365</v>
      </c>
      <c r="K1434">
        <v>1.717876744558952</v>
      </c>
      <c r="L1434">
        <v>0</v>
      </c>
      <c r="M1434">
        <v>1.312470944844214E-3</v>
      </c>
      <c r="N1434">
        <v>0.13385570428690216</v>
      </c>
      <c r="O1434">
        <v>1.7195805733421159E-2</v>
      </c>
      <c r="P1434">
        <v>1.9773214787435236E-2</v>
      </c>
      <c r="Q1434">
        <v>2.0905048298416403E-3</v>
      </c>
      <c r="R1434">
        <v>1.304322788280847E-3</v>
      </c>
      <c r="S1434">
        <v>0.14930635289679262</v>
      </c>
      <c r="T1434">
        <v>1.0710080563050339</v>
      </c>
      <c r="U1434">
        <v>2.2346051968973019E-2</v>
      </c>
      <c r="V1434">
        <v>0.20288753593645356</v>
      </c>
      <c r="W1434">
        <v>7.9793590973293346E-2</v>
      </c>
      <c r="X1434">
        <v>1.6078138337557616E-2</v>
      </c>
      <c r="Y1434">
        <v>3.5499366598088656E-3</v>
      </c>
    </row>
    <row r="1435" spans="1:25" x14ac:dyDescent="0.25">
      <c r="A1435" s="827"/>
      <c r="B1435" s="1066">
        <v>1185</v>
      </c>
      <c r="C1435" s="831">
        <v>1.0359178411842926</v>
      </c>
      <c r="D1435" s="831">
        <v>0.98093993263673884</v>
      </c>
      <c r="E1435" s="831">
        <v>0.99206883980135352</v>
      </c>
      <c r="F1435" s="831">
        <v>0.99935062130025487</v>
      </c>
      <c r="G1435" s="831">
        <v>0.99623814536639443</v>
      </c>
      <c r="H1435" s="831">
        <v>1.022662507226904</v>
      </c>
      <c r="I1435" s="831">
        <v>1.0264639408809479</v>
      </c>
      <c r="K1435">
        <v>1.7325974260132939</v>
      </c>
      <c r="L1435">
        <v>0</v>
      </c>
      <c r="M1435">
        <v>1.4030140681191797E-3</v>
      </c>
      <c r="N1435">
        <v>0.13790547013039767</v>
      </c>
      <c r="O1435">
        <v>1.7368661217410059E-2</v>
      </c>
      <c r="P1435">
        <v>1.9698032903732492E-2</v>
      </c>
      <c r="Q1435">
        <v>2.085376923195693E-3</v>
      </c>
      <c r="R1435">
        <v>1.3945786604350535E-3</v>
      </c>
      <c r="S1435">
        <v>0.15418451165420061</v>
      </c>
      <c r="T1435">
        <v>1.0720670565716042</v>
      </c>
      <c r="U1435">
        <v>2.2513878003722929E-2</v>
      </c>
      <c r="V1435">
        <v>0.20417689760339858</v>
      </c>
      <c r="W1435">
        <v>8.2882123792824489E-2</v>
      </c>
      <c r="X1435">
        <v>1.5928269229517619E-2</v>
      </c>
      <c r="Y1435">
        <v>3.7955833909723573E-3</v>
      </c>
    </row>
    <row r="1436" spans="1:25" x14ac:dyDescent="0.25">
      <c r="A1436" s="827"/>
      <c r="B1436" s="1066">
        <v>1186</v>
      </c>
      <c r="C1436" s="831">
        <v>0.98555649402003098</v>
      </c>
      <c r="D1436" s="831">
        <v>0.98265088679176948</v>
      </c>
      <c r="E1436" s="831">
        <v>1.0096600148790256</v>
      </c>
      <c r="F1436" s="831">
        <v>0.98637744705981578</v>
      </c>
      <c r="G1436" s="831">
        <v>0.99932807847566862</v>
      </c>
      <c r="H1436" s="831">
        <v>1.0147487925442169</v>
      </c>
      <c r="I1436" s="831">
        <v>1.0158865059786528</v>
      </c>
      <c r="K1436">
        <v>1.7578635307163069</v>
      </c>
      <c r="L1436">
        <v>0</v>
      </c>
      <c r="M1436">
        <v>1.4089576549060081E-3</v>
      </c>
      <c r="N1436">
        <v>0.14627265190958719</v>
      </c>
      <c r="O1436">
        <v>1.8241752877987742E-2</v>
      </c>
      <c r="P1436">
        <v>2.010004791771575E-2</v>
      </c>
      <c r="Q1436">
        <v>2.229580336294096E-3</v>
      </c>
      <c r="R1436">
        <v>1.40041922444854E-3</v>
      </c>
      <c r="S1436">
        <v>0.15968662415160198</v>
      </c>
      <c r="T1436">
        <v>1.070506622207215</v>
      </c>
      <c r="U1436">
        <v>2.366432369916395E-2</v>
      </c>
      <c r="V1436">
        <v>0.20940693261485133</v>
      </c>
      <c r="W1436">
        <v>8.6859673207450513E-2</v>
      </c>
      <c r="X1436">
        <v>1.7092380744021508E-2</v>
      </c>
      <c r="Y1436">
        <v>3.8114794808756561E-3</v>
      </c>
    </row>
    <row r="1437" spans="1:25" x14ac:dyDescent="0.25">
      <c r="A1437" s="827"/>
      <c r="B1437" s="1066">
        <v>1187</v>
      </c>
      <c r="C1437" s="831">
        <v>1.0038272314986671</v>
      </c>
      <c r="D1437" s="831">
        <v>0.9979949278134822</v>
      </c>
      <c r="E1437" s="831">
        <v>0.96808489059554848</v>
      </c>
      <c r="F1437" s="831">
        <v>0.98169578007234348</v>
      </c>
      <c r="G1437" s="831">
        <v>1.0129247364012115</v>
      </c>
      <c r="H1437" s="831">
        <v>1.0055740819014942</v>
      </c>
      <c r="I1437" s="831">
        <v>1.0047046577891765</v>
      </c>
      <c r="K1437">
        <v>1.7335211584489052</v>
      </c>
      <c r="L1437">
        <v>0</v>
      </c>
      <c r="M1437">
        <v>1.4855448241500658E-3</v>
      </c>
      <c r="N1437">
        <v>0.13548876092154533</v>
      </c>
      <c r="O1437">
        <v>1.7784332496558961E-2</v>
      </c>
      <c r="P1437">
        <v>1.9393649511312987E-2</v>
      </c>
      <c r="Q1437">
        <v>2.0868264845125433E-3</v>
      </c>
      <c r="R1437">
        <v>1.4764485950306177E-3</v>
      </c>
      <c r="S1437">
        <v>0.15339872613752026</v>
      </c>
      <c r="T1437">
        <v>1.0742133410207524</v>
      </c>
      <c r="U1437">
        <v>2.3233607503836809E-2</v>
      </c>
      <c r="V1437">
        <v>0.20595418562123638</v>
      </c>
      <c r="W1437">
        <v>8.2796123882854553E-2</v>
      </c>
      <c r="X1437">
        <v>1.516229473337034E-2</v>
      </c>
      <c r="Y1437">
        <v>4.0184063645247953E-3</v>
      </c>
    </row>
    <row r="1438" spans="1:25" x14ac:dyDescent="0.25">
      <c r="A1438" s="827"/>
      <c r="B1438" s="1066">
        <v>1188</v>
      </c>
      <c r="C1438" s="831">
        <v>1.0039455197073883</v>
      </c>
      <c r="D1438" s="831">
        <v>1.0095204240681854</v>
      </c>
      <c r="E1438" s="831">
        <v>0.96932996675273986</v>
      </c>
      <c r="F1438" s="831">
        <v>0.98839830117267136</v>
      </c>
      <c r="G1438" s="831">
        <v>0.9654019045101786</v>
      </c>
      <c r="H1438" s="831">
        <v>0.99748949791948394</v>
      </c>
      <c r="I1438" s="831">
        <v>0.98647416657977871</v>
      </c>
      <c r="K1438">
        <v>1.7252709375220274</v>
      </c>
      <c r="L1438">
        <v>0</v>
      </c>
      <c r="M1438">
        <v>1.4619765530000952E-3</v>
      </c>
      <c r="N1438">
        <v>0.13385046701688985</v>
      </c>
      <c r="O1438">
        <v>1.7690029417511619E-2</v>
      </c>
      <c r="P1438">
        <v>1.9342010312538929E-2</v>
      </c>
      <c r="Q1438">
        <v>2.0803593517037893E-3</v>
      </c>
      <c r="R1438">
        <v>1.452943652384648E-3</v>
      </c>
      <c r="S1438">
        <v>0.14931366143381891</v>
      </c>
      <c r="T1438">
        <v>1.0741013897878355</v>
      </c>
      <c r="U1438">
        <v>2.3230870042729848E-2</v>
      </c>
      <c r="V1438">
        <v>0.20489051614070616</v>
      </c>
      <c r="W1438">
        <v>8.1723776429133491E-2</v>
      </c>
      <c r="X1438">
        <v>1.5102456830727978E-2</v>
      </c>
      <c r="Y1438">
        <v>3.9544336590447262E-3</v>
      </c>
    </row>
    <row r="1439" spans="1:25" x14ac:dyDescent="0.25">
      <c r="A1439" s="827"/>
      <c r="B1439" s="1066">
        <v>1189</v>
      </c>
      <c r="C1439" s="831">
        <v>1.0166144673954158</v>
      </c>
      <c r="D1439" s="831">
        <v>1.0030756116484418</v>
      </c>
      <c r="E1439" s="831">
        <v>0.98968371700750168</v>
      </c>
      <c r="F1439" s="831">
        <v>1.0068798861621016</v>
      </c>
      <c r="G1439" s="831">
        <v>1.0026195662736002</v>
      </c>
      <c r="H1439" s="831">
        <v>0.99721487344292969</v>
      </c>
      <c r="I1439" s="831">
        <v>0.99492652244474877</v>
      </c>
      <c r="K1439">
        <v>1.7239372819912884</v>
      </c>
      <c r="L1439">
        <v>0</v>
      </c>
      <c r="M1439">
        <v>1.3870007819808019E-3</v>
      </c>
      <c r="N1439">
        <v>0.13530049896223137</v>
      </c>
      <c r="O1439">
        <v>1.7520293567276357E-2</v>
      </c>
      <c r="P1439">
        <v>1.9601956274663296E-2</v>
      </c>
      <c r="Q1439">
        <v>2.1023787045634889E-3</v>
      </c>
      <c r="R1439">
        <v>1.3784332196469552E-3</v>
      </c>
      <c r="S1439">
        <v>0.14909268701764164</v>
      </c>
      <c r="T1439">
        <v>1.0722795287490281</v>
      </c>
      <c r="U1439">
        <v>2.294136926661678E-2</v>
      </c>
      <c r="V1439">
        <v>0.20414274580043684</v>
      </c>
      <c r="W1439">
        <v>8.1450185866052932E-2</v>
      </c>
      <c r="X1439">
        <v>1.576256452162101E-2</v>
      </c>
      <c r="Y1439">
        <v>3.7516408234902795E-3</v>
      </c>
    </row>
    <row r="1440" spans="1:25" x14ac:dyDescent="0.25">
      <c r="A1440" s="827"/>
      <c r="B1440" s="1066">
        <v>1190</v>
      </c>
      <c r="C1440" s="831">
        <v>0.98304367633425793</v>
      </c>
      <c r="D1440" s="831">
        <v>1.0265472060760175</v>
      </c>
      <c r="E1440" s="831">
        <v>0.99727431039090264</v>
      </c>
      <c r="F1440" s="831">
        <v>0.97232706291057935</v>
      </c>
      <c r="G1440" s="831">
        <v>1.0269059614809859</v>
      </c>
      <c r="H1440" s="831">
        <v>0.96619552487394966</v>
      </c>
      <c r="I1440" s="831">
        <v>1.0376138093505869</v>
      </c>
      <c r="K1440">
        <v>1.7337258493294783</v>
      </c>
      <c r="L1440">
        <v>0</v>
      </c>
      <c r="M1440">
        <v>1.353517532936373E-3</v>
      </c>
      <c r="N1440">
        <v>0.13516230587297731</v>
      </c>
      <c r="O1440">
        <v>1.793009225529358E-2</v>
      </c>
      <c r="P1440">
        <v>1.9842441183564118E-2</v>
      </c>
      <c r="Q1440">
        <v>2.1721747863534661E-3</v>
      </c>
      <c r="R1440">
        <v>1.3448722304432916E-3</v>
      </c>
      <c r="S1440">
        <v>0.15694281148439726</v>
      </c>
      <c r="T1440">
        <v>1.0716040859537792</v>
      </c>
      <c r="U1440">
        <v>2.3724813515175865E-2</v>
      </c>
      <c r="V1440">
        <v>0.20561632337445954</v>
      </c>
      <c r="W1440">
        <v>8.0943565395462394E-2</v>
      </c>
      <c r="X1440">
        <v>1.6135581936252388E-2</v>
      </c>
      <c r="Y1440">
        <v>3.6602988742550227E-3</v>
      </c>
    </row>
    <row r="1441" spans="1:25" x14ac:dyDescent="0.25">
      <c r="A1441" s="827"/>
      <c r="B1441" s="1066">
        <v>1191</v>
      </c>
      <c r="C1441" s="831">
        <v>1.0171277982480067</v>
      </c>
      <c r="D1441" s="831">
        <v>0.98563891056624298</v>
      </c>
      <c r="E1441" s="831">
        <v>1.0077656435752316</v>
      </c>
      <c r="F1441" s="831">
        <v>0.98612105872556766</v>
      </c>
      <c r="G1441" s="831">
        <v>1.0126597922788654</v>
      </c>
      <c r="H1441" s="831">
        <v>1.0279497171000089</v>
      </c>
      <c r="I1441" s="831">
        <v>1.0012207634654062</v>
      </c>
      <c r="K1441">
        <v>1.7409356334035628</v>
      </c>
      <c r="L1441">
        <v>0</v>
      </c>
      <c r="M1441">
        <v>1.3866103605753466E-3</v>
      </c>
      <c r="N1441">
        <v>0.14311827046311509</v>
      </c>
      <c r="O1441">
        <v>1.7651197119078206E-2</v>
      </c>
      <c r="P1441">
        <v>1.9924540642648765E-2</v>
      </c>
      <c r="Q1441">
        <v>2.1538563208283691E-3</v>
      </c>
      <c r="R1441">
        <v>1.3783131988341275E-3</v>
      </c>
      <c r="S1441">
        <v>0.15324264285856179</v>
      </c>
      <c r="T1441">
        <v>1.0706741018895287</v>
      </c>
      <c r="U1441">
        <v>2.2929791063105345E-2</v>
      </c>
      <c r="V1441">
        <v>0.20568501675175549</v>
      </c>
      <c r="W1441">
        <v>8.5096100724799964E-2</v>
      </c>
      <c r="X1441">
        <v>1.6717098565479482E-2</v>
      </c>
      <c r="Y1441">
        <v>3.7513141664026108E-3</v>
      </c>
    </row>
    <row r="1442" spans="1:25" x14ac:dyDescent="0.25">
      <c r="A1442" s="827"/>
      <c r="B1442" s="1066">
        <v>1192</v>
      </c>
      <c r="C1442" s="831">
        <v>0.99258676666397816</v>
      </c>
      <c r="D1442" s="831">
        <v>1.0172980359711685</v>
      </c>
      <c r="E1442" s="831">
        <v>1.0127006293084384</v>
      </c>
      <c r="F1442" s="831">
        <v>0.98772733648144873</v>
      </c>
      <c r="G1442" s="831">
        <v>0.99313104909825944</v>
      </c>
      <c r="H1442" s="831">
        <v>0.98607263222804242</v>
      </c>
      <c r="I1442" s="831">
        <v>0.97097790496931191</v>
      </c>
      <c r="K1442">
        <v>1.7286804244322016</v>
      </c>
      <c r="L1442">
        <v>0</v>
      </c>
      <c r="M1442">
        <v>1.3297390844378679E-3</v>
      </c>
      <c r="N1442">
        <v>0.13933229887464299</v>
      </c>
      <c r="O1442">
        <v>1.7830470652969617E-2</v>
      </c>
      <c r="P1442">
        <v>1.9914611210410924E-2</v>
      </c>
      <c r="Q1442">
        <v>2.192160146556803E-3</v>
      </c>
      <c r="R1442">
        <v>1.3214229345793564E-3</v>
      </c>
      <c r="S1442">
        <v>0.14738233742584217</v>
      </c>
      <c r="T1442">
        <v>1.0702380879190774</v>
      </c>
      <c r="U1442">
        <v>2.3496714525712156E-2</v>
      </c>
      <c r="V1442">
        <v>0.20540578725493092</v>
      </c>
      <c r="W1442">
        <v>8.2567724987985397E-2</v>
      </c>
      <c r="X1442">
        <v>1.6732069962959641E-2</v>
      </c>
      <c r="Y1442">
        <v>3.5964776209716966E-3</v>
      </c>
    </row>
    <row r="1443" spans="1:25" x14ac:dyDescent="0.25">
      <c r="A1443" s="827"/>
      <c r="B1443" s="1066">
        <v>1193</v>
      </c>
      <c r="C1443" s="831">
        <v>1.0030202873386425</v>
      </c>
      <c r="D1443" s="831">
        <v>0.9749390360323763</v>
      </c>
      <c r="E1443" s="831">
        <v>1.0094368354578513</v>
      </c>
      <c r="F1443" s="831">
        <v>1.0060100060153419</v>
      </c>
      <c r="G1443" s="831">
        <v>1.0010591483294939</v>
      </c>
      <c r="H1443" s="831">
        <v>1.0142997014438431</v>
      </c>
      <c r="I1443" s="831">
        <v>0.96838604994709565</v>
      </c>
      <c r="K1443">
        <v>1.7425401386475294</v>
      </c>
      <c r="L1443">
        <v>0</v>
      </c>
      <c r="M1443">
        <v>1.3894216449674398E-3</v>
      </c>
      <c r="N1443">
        <v>0.14414463017281862</v>
      </c>
      <c r="O1443">
        <v>1.7988388497142373E-2</v>
      </c>
      <c r="P1443">
        <v>1.9942225958460461E-2</v>
      </c>
      <c r="Q1443">
        <v>2.1966870926099112E-3</v>
      </c>
      <c r="R1443">
        <v>1.3810033439406212E-3</v>
      </c>
      <c r="S1443">
        <v>0.15002982804890413</v>
      </c>
      <c r="T1443">
        <v>1.0705263462503618</v>
      </c>
      <c r="U1443">
        <v>2.325229927321399E-2</v>
      </c>
      <c r="V1443">
        <v>0.20821440092964708</v>
      </c>
      <c r="W1443">
        <v>8.5608996134375601E-2</v>
      </c>
      <c r="X1443">
        <v>1.6886118736442895E-2</v>
      </c>
      <c r="Y1443">
        <v>3.7586358545763916E-3</v>
      </c>
    </row>
    <row r="1444" spans="1:25" x14ac:dyDescent="0.25">
      <c r="A1444" s="827"/>
      <c r="B1444" s="1066">
        <v>1194</v>
      </c>
      <c r="C1444" s="831">
        <v>0.99514436823269248</v>
      </c>
      <c r="D1444" s="831">
        <v>0.98250679600360435</v>
      </c>
      <c r="E1444" s="831">
        <v>0.99741925292796307</v>
      </c>
      <c r="F1444" s="831">
        <v>0.96490230732648707</v>
      </c>
      <c r="G1444" s="831">
        <v>1.0064772022330775</v>
      </c>
      <c r="H1444" s="831">
        <v>0.9861797388332787</v>
      </c>
      <c r="I1444" s="831">
        <v>1.0033860648107251</v>
      </c>
      <c r="K1444">
        <v>1.7399855868349554</v>
      </c>
      <c r="L1444">
        <v>0</v>
      </c>
      <c r="M1444">
        <v>1.3916217959427362E-3</v>
      </c>
      <c r="N1444">
        <v>0.13905131639998122</v>
      </c>
      <c r="O1444">
        <v>1.8067202426747059E-2</v>
      </c>
      <c r="P1444">
        <v>1.9839391931372474E-2</v>
      </c>
      <c r="Q1444">
        <v>2.1812678983907149E-3</v>
      </c>
      <c r="R1444">
        <v>1.382944217320384E-3</v>
      </c>
      <c r="S1444">
        <v>0.15412716753311664</v>
      </c>
      <c r="T1444">
        <v>1.0715912094958122</v>
      </c>
      <c r="U1444">
        <v>2.3436326067666317E-2</v>
      </c>
      <c r="V1444">
        <v>0.20835151328173659</v>
      </c>
      <c r="W1444">
        <v>8.3264272404020109E-2</v>
      </c>
      <c r="X1444">
        <v>1.6320678702626479E-2</v>
      </c>
      <c r="Y1444">
        <v>3.7639182721073677E-3</v>
      </c>
    </row>
    <row r="1445" spans="1:25" x14ac:dyDescent="0.25">
      <c r="A1445" s="827"/>
      <c r="B1445" s="1066">
        <v>1195</v>
      </c>
      <c r="C1445" s="831">
        <v>0.99502161790589105</v>
      </c>
      <c r="D1445" s="831">
        <v>1.0108927291822363</v>
      </c>
      <c r="E1445" s="831">
        <v>1.0112379591787133</v>
      </c>
      <c r="F1445" s="831">
        <v>0.98983895971084224</v>
      </c>
      <c r="G1445" s="831">
        <v>1.0289922550481581</v>
      </c>
      <c r="H1445" s="831">
        <v>0.97746315308999221</v>
      </c>
      <c r="I1445" s="831">
        <v>0.97927658943500573</v>
      </c>
      <c r="K1445">
        <v>1.7275245174537266</v>
      </c>
      <c r="L1445">
        <v>0</v>
      </c>
      <c r="M1445">
        <v>1.3227361428042282E-3</v>
      </c>
      <c r="N1445">
        <v>0.13796261062298354</v>
      </c>
      <c r="O1445">
        <v>1.7837717075906194E-2</v>
      </c>
      <c r="P1445">
        <v>1.990778604949776E-2</v>
      </c>
      <c r="Q1445">
        <v>2.1887251974458091E-3</v>
      </c>
      <c r="R1445">
        <v>1.3143951876609635E-3</v>
      </c>
      <c r="S1445">
        <v>0.14806141194523917</v>
      </c>
      <c r="T1445">
        <v>1.0703672211477469</v>
      </c>
      <c r="U1445">
        <v>2.3439217277899396E-2</v>
      </c>
      <c r="V1445">
        <v>0.20572120188922385</v>
      </c>
      <c r="W1445">
        <v>8.1837236998135207E-2</v>
      </c>
      <c r="X1445">
        <v>1.6632379794235555E-2</v>
      </c>
      <c r="Y1445">
        <v>3.5773504105559802E-3</v>
      </c>
    </row>
    <row r="1446" spans="1:25" x14ac:dyDescent="0.25">
      <c r="A1446" s="827"/>
      <c r="B1446" s="1066">
        <v>1196</v>
      </c>
      <c r="C1446" s="831">
        <v>0.9998834401885236</v>
      </c>
      <c r="D1446" s="831">
        <v>0.98891048132695003</v>
      </c>
      <c r="E1446" s="831">
        <v>0.98029478302529849</v>
      </c>
      <c r="F1446" s="831">
        <v>0.996169224585015</v>
      </c>
      <c r="G1446" s="831">
        <v>0.98881870858790588</v>
      </c>
      <c r="H1446" s="831">
        <v>0.98108101405508008</v>
      </c>
      <c r="I1446" s="831">
        <v>0.99443523747441531</v>
      </c>
      <c r="K1446">
        <v>1.7305877771768694</v>
      </c>
      <c r="L1446">
        <v>0</v>
      </c>
      <c r="M1446">
        <v>1.424172823925236E-3</v>
      </c>
      <c r="N1446">
        <v>0.13491005132641884</v>
      </c>
      <c r="O1446">
        <v>1.7928644128018083E-2</v>
      </c>
      <c r="P1446">
        <v>1.9550168309295603E-2</v>
      </c>
      <c r="Q1446">
        <v>2.1285147257465642E-3</v>
      </c>
      <c r="R1446">
        <v>1.4152413557754978E-3</v>
      </c>
      <c r="S1446">
        <v>0.15125246275523405</v>
      </c>
      <c r="T1446">
        <v>1.0731179968541691</v>
      </c>
      <c r="U1446">
        <v>2.3325246684659375E-2</v>
      </c>
      <c r="V1446">
        <v>0.20722691948145605</v>
      </c>
      <c r="W1446">
        <v>8.1744113733855747E-2</v>
      </c>
      <c r="X1446">
        <v>1.5560770209932484E-2</v>
      </c>
      <c r="Y1446">
        <v>3.8518204362333565E-3</v>
      </c>
    </row>
    <row r="1447" spans="1:25" x14ac:dyDescent="0.25">
      <c r="A1447" s="827"/>
      <c r="B1447" s="1066">
        <v>1197</v>
      </c>
      <c r="C1447" s="831">
        <v>0.99704955139546148</v>
      </c>
      <c r="D1447" s="831">
        <v>0.99642082482634264</v>
      </c>
      <c r="E1447" s="831">
        <v>0.97991639414622778</v>
      </c>
      <c r="F1447" s="831">
        <v>0.99539869606701725</v>
      </c>
      <c r="G1447" s="831">
        <v>1.0288184562551304</v>
      </c>
      <c r="H1447" s="831">
        <v>1.0198357290417976</v>
      </c>
      <c r="I1447" s="831">
        <v>1.0171455853188214</v>
      </c>
      <c r="K1447">
        <v>1.7453801017645822</v>
      </c>
      <c r="L1447">
        <v>0</v>
      </c>
      <c r="M1447">
        <v>1.4807361650284276E-3</v>
      </c>
      <c r="N1447">
        <v>0.14013602524344659</v>
      </c>
      <c r="O1447">
        <v>1.7918036915548833E-2</v>
      </c>
      <c r="P1447">
        <v>1.9624601373227482E-2</v>
      </c>
      <c r="Q1447">
        <v>2.1277618842257501E-3</v>
      </c>
      <c r="R1447">
        <v>1.4717973236672167E-3</v>
      </c>
      <c r="S1447">
        <v>0.15750257268836648</v>
      </c>
      <c r="T1447">
        <v>1.0731518579329942</v>
      </c>
      <c r="U1447">
        <v>2.3391543445018564E-2</v>
      </c>
      <c r="V1447">
        <v>0.20683153041937921</v>
      </c>
      <c r="W1447">
        <v>8.4932908640841465E-2</v>
      </c>
      <c r="X1447">
        <v>1.5766454925727567E-2</v>
      </c>
      <c r="Y1447">
        <v>4.0057471371648112E-3</v>
      </c>
    </row>
    <row r="1448" spans="1:25" x14ac:dyDescent="0.25">
      <c r="A1448" s="827"/>
      <c r="B1448" s="1066">
        <v>1198</v>
      </c>
      <c r="C1448" s="831">
        <v>1.0162755355918927</v>
      </c>
      <c r="D1448" s="831">
        <v>1.0038926061657414</v>
      </c>
      <c r="E1448" s="831">
        <v>1.0020230447261389</v>
      </c>
      <c r="F1448" s="831">
        <v>0.98643606114692362</v>
      </c>
      <c r="G1448" s="831">
        <v>1.006774104203338</v>
      </c>
      <c r="H1448" s="831">
        <v>1.0231679989307927</v>
      </c>
      <c r="I1448" s="831">
        <v>0.98601014461337344</v>
      </c>
      <c r="K1448">
        <v>1.731821957526815</v>
      </c>
      <c r="L1448">
        <v>0</v>
      </c>
      <c r="M1448">
        <v>1.3865693543052789E-3</v>
      </c>
      <c r="N1448">
        <v>0.14057556664507742</v>
      </c>
      <c r="O1448">
        <v>1.7519677116152786E-2</v>
      </c>
      <c r="P1448">
        <v>1.9774979402389991E-2</v>
      </c>
      <c r="Q1448">
        <v>2.1287450668758161E-3</v>
      </c>
      <c r="R1448">
        <v>1.3782211567952543E-3</v>
      </c>
      <c r="S1448">
        <v>0.14956032747823247</v>
      </c>
      <c r="T1448">
        <v>1.071182628647859</v>
      </c>
      <c r="U1448">
        <v>2.294902030158566E-2</v>
      </c>
      <c r="V1448">
        <v>0.20410462794285461</v>
      </c>
      <c r="W1448">
        <v>8.3912196601693259E-2</v>
      </c>
      <c r="X1448">
        <v>1.6371472863288185E-2</v>
      </c>
      <c r="Y1448">
        <v>3.7510636583144492E-3</v>
      </c>
    </row>
    <row r="1449" spans="1:25" x14ac:dyDescent="0.25">
      <c r="A1449" s="827"/>
      <c r="B1449" s="1066">
        <v>1199</v>
      </c>
      <c r="C1449" s="831">
        <v>1.0113538000061753</v>
      </c>
      <c r="D1449" s="831">
        <v>0.99764417347376544</v>
      </c>
      <c r="E1449" s="831">
        <v>1.0040219070056489</v>
      </c>
      <c r="F1449" s="831">
        <v>1.0277480572366493</v>
      </c>
      <c r="G1449" s="831">
        <v>1.0391607705218677</v>
      </c>
      <c r="H1449" s="831">
        <v>0.98092675168627885</v>
      </c>
      <c r="I1449" s="831">
        <v>0.98514426212337869</v>
      </c>
      <c r="K1449">
        <v>1.7234576146898091</v>
      </c>
      <c r="L1449">
        <v>0</v>
      </c>
      <c r="M1449">
        <v>1.3339432687932392E-3</v>
      </c>
      <c r="N1449">
        <v>0.13604852557627248</v>
      </c>
      <c r="O1449">
        <v>1.7654791812263662E-2</v>
      </c>
      <c r="P1449">
        <v>1.9791338311889794E-2</v>
      </c>
      <c r="Q1449">
        <v>2.1483701288852368E-3</v>
      </c>
      <c r="R1449">
        <v>1.3255703277888571E-3</v>
      </c>
      <c r="S1449">
        <v>0.14758931809412057</v>
      </c>
      <c r="T1449">
        <v>1.071005481208807</v>
      </c>
      <c r="U1449">
        <v>2.3060701307653933E-2</v>
      </c>
      <c r="V1449">
        <v>0.2051852377239832</v>
      </c>
      <c r="W1449">
        <v>8.1099159310515492E-2</v>
      </c>
      <c r="X1449">
        <v>1.6275298698321668E-2</v>
      </c>
      <c r="Y1449">
        <v>3.6077654581001539E-3</v>
      </c>
    </row>
    <row r="1450" spans="1:25" x14ac:dyDescent="0.25">
      <c r="A1450" s="827"/>
      <c r="B1450" s="1066">
        <v>1200</v>
      </c>
      <c r="C1450" s="831">
        <v>1.0119947954639152</v>
      </c>
      <c r="D1450" s="831">
        <v>0.9975818684660106</v>
      </c>
      <c r="E1450" s="831">
        <v>1.0138153115330302</v>
      </c>
      <c r="F1450" s="831">
        <v>1.0059521911772282</v>
      </c>
      <c r="G1450" s="831">
        <v>0.9906784397526659</v>
      </c>
      <c r="H1450" s="831">
        <v>0.98089088534940339</v>
      </c>
      <c r="I1450" s="831">
        <v>0.98367229672780065</v>
      </c>
      <c r="K1450">
        <v>1.7240774742151856</v>
      </c>
      <c r="L1450">
        <v>0</v>
      </c>
      <c r="M1450">
        <v>1.3058380223465937E-3</v>
      </c>
      <c r="N1450">
        <v>0.13729958122229985</v>
      </c>
      <c r="O1450">
        <v>1.7644108579412857E-2</v>
      </c>
      <c r="P1450">
        <v>1.9918090331776023E-2</v>
      </c>
      <c r="Q1450">
        <v>2.1681944676575108E-3</v>
      </c>
      <c r="R1450">
        <v>1.2976412353717466E-3</v>
      </c>
      <c r="S1450">
        <v>0.14727676382386951</v>
      </c>
      <c r="T1450">
        <v>1.0701397314825478</v>
      </c>
      <c r="U1450">
        <v>2.3046094706061934E-2</v>
      </c>
      <c r="V1450">
        <v>0.20512472334972029</v>
      </c>
      <c r="W1450">
        <v>8.1301682615681242E-2</v>
      </c>
      <c r="X1450">
        <v>1.6634948747769111E-2</v>
      </c>
      <c r="Y1450">
        <v>3.5317516753636188E-3</v>
      </c>
    </row>
    <row r="1451" spans="1:25" x14ac:dyDescent="0.25">
      <c r="A1451" s="827"/>
      <c r="B1451" s="1066">
        <v>1201</v>
      </c>
      <c r="C1451" s="831">
        <v>0.99654131922348266</v>
      </c>
      <c r="D1451" s="831">
        <v>1.0034650714471243</v>
      </c>
      <c r="E1451" s="831">
        <v>1.0174254324132073</v>
      </c>
      <c r="F1451" s="831">
        <v>0.98453910336866657</v>
      </c>
      <c r="G1451" s="831">
        <v>0.99472885679150846</v>
      </c>
      <c r="H1451" s="831">
        <v>0.96845621947459015</v>
      </c>
      <c r="I1451" s="831">
        <v>1.0006775341448011</v>
      </c>
      <c r="K1451">
        <v>1.7299576798929264</v>
      </c>
      <c r="L1451">
        <v>0</v>
      </c>
      <c r="M1451">
        <v>1.2958850889929834E-3</v>
      </c>
      <c r="N1451">
        <v>0.13777866595640062</v>
      </c>
      <c r="O1451">
        <v>1.7870060334990886E-2</v>
      </c>
      <c r="P1451">
        <v>2.0036794753488085E-2</v>
      </c>
      <c r="Q1451">
        <v>2.2049372996794385E-3</v>
      </c>
      <c r="R1451">
        <v>1.287642388394567E-3</v>
      </c>
      <c r="S1451">
        <v>0.15088054122439837</v>
      </c>
      <c r="T1451">
        <v>1.0698215073196</v>
      </c>
      <c r="U1451">
        <v>2.3403473040612476E-2</v>
      </c>
      <c r="V1451">
        <v>0.20623475598110735</v>
      </c>
      <c r="W1451">
        <v>8.1386264849593784E-2</v>
      </c>
      <c r="X1451">
        <v>1.6844383723642064E-2</v>
      </c>
      <c r="Y1451">
        <v>3.5045381100107572E-3</v>
      </c>
    </row>
    <row r="1452" spans="1:25" x14ac:dyDescent="0.25">
      <c r="A1452" s="827"/>
      <c r="B1452" s="1066">
        <v>1202</v>
      </c>
      <c r="C1452" s="831">
        <v>1.0344566629811585</v>
      </c>
      <c r="D1452" s="831">
        <v>1.0267855594793953</v>
      </c>
      <c r="E1452" s="831">
        <v>1.0100146433256805</v>
      </c>
      <c r="F1452" s="831">
        <v>1.023626148051382</v>
      </c>
      <c r="G1452" s="831">
        <v>1.0076987959776722</v>
      </c>
      <c r="H1452" s="831">
        <v>0.97499919816300196</v>
      </c>
      <c r="I1452" s="831">
        <v>1.023517796630562</v>
      </c>
      <c r="K1452">
        <v>1.7086648716830606</v>
      </c>
      <c r="L1452">
        <v>0</v>
      </c>
      <c r="M1452">
        <v>1.2634538284401872E-3</v>
      </c>
      <c r="N1452">
        <v>0.13127606384005949</v>
      </c>
      <c r="O1452">
        <v>1.7037171948428603E-2</v>
      </c>
      <c r="P1452">
        <v>1.9799344509543258E-2</v>
      </c>
      <c r="Q1452">
        <v>2.0905878853449559E-3</v>
      </c>
      <c r="R1452">
        <v>1.2554565071081416E-3</v>
      </c>
      <c r="S1452">
        <v>0.14772033881966326</v>
      </c>
      <c r="T1452">
        <v>1.0704752848998045</v>
      </c>
      <c r="U1452">
        <v>2.2545679034142341E-2</v>
      </c>
      <c r="V1452">
        <v>0.20026975525069501</v>
      </c>
      <c r="W1452">
        <v>7.7935610293587698E-2</v>
      </c>
      <c r="X1452">
        <v>1.6106093771902176E-2</v>
      </c>
      <c r="Y1452">
        <v>3.4169387512220199E-3</v>
      </c>
    </row>
    <row r="1453" spans="1:25" x14ac:dyDescent="0.25">
      <c r="A1453" s="827"/>
      <c r="B1453" s="1066">
        <v>1203</v>
      </c>
      <c r="C1453" s="831">
        <v>1.0170073813703044</v>
      </c>
      <c r="D1453" s="831">
        <v>1.038596516066659</v>
      </c>
      <c r="E1453" s="831">
        <v>0.97062458273781893</v>
      </c>
      <c r="F1453" s="831">
        <v>0.98617037371910554</v>
      </c>
      <c r="G1453" s="831">
        <v>0.99797908064340157</v>
      </c>
      <c r="H1453" s="831">
        <v>1.035489313667924</v>
      </c>
      <c r="I1453" s="831">
        <v>0.99966807119153545</v>
      </c>
      <c r="K1453">
        <v>1.7242203520880957</v>
      </c>
      <c r="L1453">
        <v>0</v>
      </c>
      <c r="M1453">
        <v>1.4750987911941015E-3</v>
      </c>
      <c r="N1453">
        <v>0.13562720732536357</v>
      </c>
      <c r="O1453">
        <v>1.7240277261629581E-2</v>
      </c>
      <c r="P1453">
        <v>1.9316533758649435E-2</v>
      </c>
      <c r="Q1453">
        <v>2.0348243760514792E-3</v>
      </c>
      <c r="R1453">
        <v>1.4662991958763385E-3</v>
      </c>
      <c r="S1453">
        <v>0.15025783164435871</v>
      </c>
      <c r="T1453">
        <v>1.073985045772146</v>
      </c>
      <c r="U1453">
        <v>2.29325060226E-2</v>
      </c>
      <c r="V1453">
        <v>0.201013007966513</v>
      </c>
      <c r="W1453">
        <v>8.2733702564907294E-2</v>
      </c>
      <c r="X1453">
        <v>1.5097431945418672E-2</v>
      </c>
      <c r="Y1453">
        <v>3.9907830457753812E-3</v>
      </c>
    </row>
    <row r="1454" spans="1:25" x14ac:dyDescent="0.25">
      <c r="A1454" s="827"/>
      <c r="B1454" s="1066">
        <v>1204</v>
      </c>
      <c r="C1454" s="831">
        <v>1.0025565492072492</v>
      </c>
      <c r="D1454" s="831">
        <v>0.965920813026938</v>
      </c>
      <c r="E1454" s="831">
        <v>0.98067243179034669</v>
      </c>
      <c r="F1454" s="831">
        <v>1.0115405297830737</v>
      </c>
      <c r="G1454" s="831">
        <v>0.97926456834912823</v>
      </c>
      <c r="H1454" s="831">
        <v>1.0124118190724052</v>
      </c>
      <c r="I1454" s="831">
        <v>1.0242768489674106</v>
      </c>
      <c r="K1454">
        <v>1.7499570976348116</v>
      </c>
      <c r="L1454">
        <v>0</v>
      </c>
      <c r="M1454">
        <v>1.4802864895629344E-3</v>
      </c>
      <c r="N1454">
        <v>0.14041979649336853</v>
      </c>
      <c r="O1454">
        <v>1.8072895688272531E-2</v>
      </c>
      <c r="P1454">
        <v>1.9687664419132452E-2</v>
      </c>
      <c r="Q1454">
        <v>2.1422787221114228E-3</v>
      </c>
      <c r="R1454">
        <v>1.4713078368337983E-3</v>
      </c>
      <c r="S1454">
        <v>0.15923786633215742</v>
      </c>
      <c r="T1454">
        <v>1.0730842073706681</v>
      </c>
      <c r="U1454">
        <v>2.3263054754113353E-2</v>
      </c>
      <c r="V1454">
        <v>0.20914241813431322</v>
      </c>
      <c r="W1454">
        <v>8.5060269527641258E-2</v>
      </c>
      <c r="X1454">
        <v>1.5851209930398406E-2</v>
      </c>
      <c r="Y1454">
        <v>4.004414915363538E-3</v>
      </c>
    </row>
    <row r="1455" spans="1:25" x14ac:dyDescent="0.25">
      <c r="A1455" s="827"/>
      <c r="B1455" s="1066">
        <v>1205</v>
      </c>
      <c r="C1455" s="831">
        <v>1.0007384397297336</v>
      </c>
      <c r="D1455" s="831">
        <v>0.99861654381619258</v>
      </c>
      <c r="E1455" s="831">
        <v>1.0136174652790384</v>
      </c>
      <c r="F1455" s="831">
        <v>0.99007912950125032</v>
      </c>
      <c r="G1455" s="831">
        <v>0.99928335706008409</v>
      </c>
      <c r="H1455" s="831">
        <v>1.0015745762764463</v>
      </c>
      <c r="I1455" s="831">
        <v>0.98226149778957272</v>
      </c>
      <c r="K1455">
        <v>1.7359328517121817</v>
      </c>
      <c r="L1455">
        <v>0</v>
      </c>
      <c r="M1455">
        <v>1.3483020111553664E-3</v>
      </c>
      <c r="N1455">
        <v>0.14169563122984868</v>
      </c>
      <c r="O1455">
        <v>1.7834192248249038E-2</v>
      </c>
      <c r="P1455">
        <v>1.9973328342471529E-2</v>
      </c>
      <c r="Q1455">
        <v>2.1913067659382816E-3</v>
      </c>
      <c r="R1455">
        <v>1.3400127534342699E-3</v>
      </c>
      <c r="S1455">
        <v>0.15011409826428571</v>
      </c>
      <c r="T1455">
        <v>1.0701571854497818</v>
      </c>
      <c r="U1455">
        <v>2.3305318325337665E-2</v>
      </c>
      <c r="V1455">
        <v>0.20622819025831127</v>
      </c>
      <c r="W1455">
        <v>8.3916046424781204E-2</v>
      </c>
      <c r="X1455">
        <v>1.6878770681134258E-2</v>
      </c>
      <c r="Y1455">
        <v>3.647072979762632E-3</v>
      </c>
    </row>
    <row r="1456" spans="1:25" x14ac:dyDescent="0.25">
      <c r="A1456" s="827"/>
      <c r="B1456" s="1066">
        <v>1206</v>
      </c>
      <c r="C1456" s="831">
        <v>1.0375334865352619</v>
      </c>
      <c r="D1456" s="831">
        <v>1.0020470898344069</v>
      </c>
      <c r="E1456" s="831">
        <v>1.020512671830087</v>
      </c>
      <c r="F1456" s="831">
        <v>1.0054335885997989</v>
      </c>
      <c r="G1456" s="831">
        <v>1.0297492769779804</v>
      </c>
      <c r="H1456" s="831">
        <v>1.0230322845528834</v>
      </c>
      <c r="I1456" s="831">
        <v>0.99733794894534822</v>
      </c>
      <c r="K1456">
        <v>1.7251854269948221</v>
      </c>
      <c r="L1456">
        <v>0</v>
      </c>
      <c r="M1456">
        <v>1.3071187605883947E-3</v>
      </c>
      <c r="N1456">
        <v>0.14036038573736531</v>
      </c>
      <c r="O1456">
        <v>1.7175021737620224E-2</v>
      </c>
      <c r="P1456">
        <v>1.997245254362854E-2</v>
      </c>
      <c r="Q1456">
        <v>2.1254501775032353E-3</v>
      </c>
      <c r="R1456">
        <v>1.29924904974684E-3</v>
      </c>
      <c r="S1456">
        <v>0.14828297258752199</v>
      </c>
      <c r="T1456">
        <v>1.0695497654534227</v>
      </c>
      <c r="U1456">
        <v>2.2478819431829989E-2</v>
      </c>
      <c r="V1456">
        <v>0.20210534823692908</v>
      </c>
      <c r="W1456">
        <v>8.273862968632141E-2</v>
      </c>
      <c r="X1456">
        <v>1.6868323497444045E-2</v>
      </c>
      <c r="Y1456">
        <v>3.5361276160767565E-3</v>
      </c>
    </row>
    <row r="1457" spans="1:25" x14ac:dyDescent="0.25">
      <c r="A1457" s="827"/>
      <c r="B1457" s="1066">
        <v>1207</v>
      </c>
      <c r="C1457" s="831">
        <v>1.0083218757658741</v>
      </c>
      <c r="D1457" s="831">
        <v>0.97170475557148539</v>
      </c>
      <c r="E1457" s="831">
        <v>1.0293710766432906</v>
      </c>
      <c r="F1457" s="831">
        <v>1.0075475800152924</v>
      </c>
      <c r="G1457" s="831">
        <v>1.0279567504505975</v>
      </c>
      <c r="H1457" s="831">
        <v>0.99643872501478592</v>
      </c>
      <c r="I1457" s="831">
        <v>1.006996294368431</v>
      </c>
      <c r="K1457">
        <v>1.7436262566973133</v>
      </c>
      <c r="L1457">
        <v>0</v>
      </c>
      <c r="M1457">
        <v>1.3037616111046593E-3</v>
      </c>
      <c r="N1457">
        <v>0.14388355087994861</v>
      </c>
      <c r="O1457">
        <v>1.7920848501728377E-2</v>
      </c>
      <c r="P1457">
        <v>2.026303106185209E-2</v>
      </c>
      <c r="Q1457">
        <v>2.2316394198204511E-3</v>
      </c>
      <c r="R1457">
        <v>1.2957229260948599E-3</v>
      </c>
      <c r="S1457">
        <v>0.15410913360958173</v>
      </c>
      <c r="T1457">
        <v>1.0687720450009717</v>
      </c>
      <c r="U1457">
        <v>2.3130042557678785E-2</v>
      </c>
      <c r="V1457">
        <v>0.2079508915159925</v>
      </c>
      <c r="W1457">
        <v>8.4311695211694945E-2</v>
      </c>
      <c r="X1457">
        <v>1.7534886953171062E-2</v>
      </c>
      <c r="Y1457">
        <v>3.5265306698824168E-3</v>
      </c>
    </row>
    <row r="1458" spans="1:25" x14ac:dyDescent="0.25">
      <c r="A1458" s="827"/>
      <c r="B1458" s="1066">
        <v>1208</v>
      </c>
      <c r="C1458" s="831">
        <v>1.0006687758201873</v>
      </c>
      <c r="D1458" s="831">
        <v>1.0050939759720461</v>
      </c>
      <c r="E1458" s="831">
        <v>1.035307185410655</v>
      </c>
      <c r="F1458" s="831">
        <v>1.0439585854554387</v>
      </c>
      <c r="G1458" s="831">
        <v>0.99078880144076387</v>
      </c>
      <c r="H1458" s="831">
        <v>1.0180581750790763</v>
      </c>
      <c r="I1458" s="831">
        <v>0.97699631015065325</v>
      </c>
      <c r="K1458">
        <v>1.7412820088073127</v>
      </c>
      <c r="L1458">
        <v>0</v>
      </c>
      <c r="M1458">
        <v>1.3053452763566542E-3</v>
      </c>
      <c r="N1458">
        <v>0.14675388184457983</v>
      </c>
      <c r="O1458">
        <v>1.7783288256625337E-2</v>
      </c>
      <c r="P1458">
        <v>2.0256761960006611E-2</v>
      </c>
      <c r="Q1458">
        <v>2.233744199474379E-3</v>
      </c>
      <c r="R1458">
        <v>1.2974458948741897E-3</v>
      </c>
      <c r="S1458">
        <v>0.15007229425506144</v>
      </c>
      <c r="T1458">
        <v>1.0682525520497679</v>
      </c>
      <c r="U1458">
        <v>2.3306940779867068E-2</v>
      </c>
      <c r="V1458">
        <v>0.20564093164534178</v>
      </c>
      <c r="W1458">
        <v>8.5652786085594457E-2</v>
      </c>
      <c r="X1458">
        <v>1.780550708955244E-2</v>
      </c>
      <c r="Y1458">
        <v>3.5312200229232478E-3</v>
      </c>
    </row>
    <row r="1459" spans="1:25" x14ac:dyDescent="0.25">
      <c r="A1459" s="827"/>
      <c r="B1459" s="1066">
        <v>1209</v>
      </c>
      <c r="C1459" s="831">
        <v>1.0192610017234862</v>
      </c>
      <c r="D1459" s="831">
        <v>0.96598793724839904</v>
      </c>
      <c r="E1459" s="831">
        <v>0.9933580637989885</v>
      </c>
      <c r="F1459" s="831">
        <v>0.99722111470441177</v>
      </c>
      <c r="G1459" s="831">
        <v>0.97239432152751415</v>
      </c>
      <c r="H1459" s="831">
        <v>1.0201276713978398</v>
      </c>
      <c r="I1459" s="831">
        <v>0.98321532459692307</v>
      </c>
      <c r="K1459">
        <v>1.7383312620087121</v>
      </c>
      <c r="L1459">
        <v>0</v>
      </c>
      <c r="M1459">
        <v>1.4284800253029583E-3</v>
      </c>
      <c r="N1459">
        <v>0.14097214674807082</v>
      </c>
      <c r="O1459">
        <v>1.7776140991336703E-2</v>
      </c>
      <c r="P1459">
        <v>1.9718534122037525E-2</v>
      </c>
      <c r="Q1459">
        <v>2.1343522725370476E-3</v>
      </c>
      <c r="R1459">
        <v>1.4198810885682183E-3</v>
      </c>
      <c r="S1459">
        <v>0.15088759256340945</v>
      </c>
      <c r="T1459">
        <v>1.0719522987972274</v>
      </c>
      <c r="U1459">
        <v>2.2881801480549864E-2</v>
      </c>
      <c r="V1459">
        <v>0.2073247380876746</v>
      </c>
      <c r="W1459">
        <v>8.4650129439318364E-2</v>
      </c>
      <c r="X1459">
        <v>1.6177678183875839E-2</v>
      </c>
      <c r="Y1459">
        <v>3.8644482594076381E-3</v>
      </c>
    </row>
    <row r="1460" spans="1:25" x14ac:dyDescent="0.25">
      <c r="A1460" s="827"/>
      <c r="B1460" s="1066">
        <v>1210</v>
      </c>
      <c r="C1460" s="831">
        <v>0.97693293698137784</v>
      </c>
      <c r="D1460" s="831">
        <v>0.98071198913573987</v>
      </c>
      <c r="E1460" s="831">
        <v>1.0455265816123545</v>
      </c>
      <c r="F1460" s="831">
        <v>1.0275147257940163</v>
      </c>
      <c r="G1460" s="831">
        <v>0.98847096390982714</v>
      </c>
      <c r="H1460" s="831">
        <v>0.98384243254228654</v>
      </c>
      <c r="I1460" s="831">
        <v>0.96972313942493216</v>
      </c>
      <c r="K1460">
        <v>1.7509173077432854</v>
      </c>
      <c r="L1460">
        <v>0</v>
      </c>
      <c r="M1460">
        <v>1.2785864213509671E-3</v>
      </c>
      <c r="N1460">
        <v>0.14834551169134091</v>
      </c>
      <c r="O1460">
        <v>1.8419283288629174E-2</v>
      </c>
      <c r="P1460">
        <v>2.049406216950346E-2</v>
      </c>
      <c r="Q1460">
        <v>2.3322739982020828E-3</v>
      </c>
      <c r="R1460">
        <v>1.2705959459984293E-3</v>
      </c>
      <c r="S1460">
        <v>0.15168044644027506</v>
      </c>
      <c r="T1460">
        <v>1.067361346002855</v>
      </c>
      <c r="U1460">
        <v>2.3873212802474862E-2</v>
      </c>
      <c r="V1460">
        <v>0.21057152027483278</v>
      </c>
      <c r="W1460">
        <v>8.5995062222059604E-2</v>
      </c>
      <c r="X1460">
        <v>1.8394436015295963E-2</v>
      </c>
      <c r="Y1460">
        <v>3.4581433131666956E-3</v>
      </c>
    </row>
    <row r="1461" spans="1:25" x14ac:dyDescent="0.25">
      <c r="A1461" s="827"/>
      <c r="B1461" s="1066">
        <v>1211</v>
      </c>
      <c r="C1461" s="831">
        <v>0.98714623770370014</v>
      </c>
      <c r="D1461" s="831">
        <v>1.001056759797383</v>
      </c>
      <c r="E1461" s="831">
        <v>1.0058338279897245</v>
      </c>
      <c r="F1461" s="831">
        <v>1.0151242653411892</v>
      </c>
      <c r="G1461" s="831">
        <v>1.0010128827924205</v>
      </c>
      <c r="H1461" s="831">
        <v>0.98409384083500762</v>
      </c>
      <c r="I1461" s="831">
        <v>1.0056884260865726</v>
      </c>
      <c r="K1461">
        <v>1.7399959728646277</v>
      </c>
      <c r="L1461">
        <v>0</v>
      </c>
      <c r="M1461">
        <v>1.3637332017049425E-3</v>
      </c>
      <c r="N1461">
        <v>0.1398753620363013</v>
      </c>
      <c r="O1461">
        <v>1.8059777845519077E-2</v>
      </c>
      <c r="P1461">
        <v>1.9948046760256206E-2</v>
      </c>
      <c r="Q1461">
        <v>2.2022638404629634E-3</v>
      </c>
      <c r="R1461">
        <v>1.3551984476369381E-3</v>
      </c>
      <c r="S1461">
        <v>0.15437491041357165</v>
      </c>
      <c r="T1461">
        <v>1.0708450316903333</v>
      </c>
      <c r="U1461">
        <v>2.3626213632294304E-2</v>
      </c>
      <c r="V1461">
        <v>0.20748184621613516</v>
      </c>
      <c r="W1461">
        <v>8.3277398614675938E-2</v>
      </c>
      <c r="X1461">
        <v>1.6625253135725139E-2</v>
      </c>
      <c r="Y1461">
        <v>3.6884034334195453E-3</v>
      </c>
    </row>
    <row r="1462" spans="1:25" x14ac:dyDescent="0.25">
      <c r="A1462" s="827"/>
      <c r="B1462" s="1066">
        <v>1212</v>
      </c>
      <c r="C1462" s="831">
        <v>0.999843147258759</v>
      </c>
      <c r="D1462" s="831">
        <v>0.99508576536606097</v>
      </c>
      <c r="E1462" s="831">
        <v>1.0364039766766624</v>
      </c>
      <c r="F1462" s="831">
        <v>0.98518494104453158</v>
      </c>
      <c r="G1462" s="831">
        <v>0.97698426569802133</v>
      </c>
      <c r="H1462" s="831">
        <v>1.0121970058573933</v>
      </c>
      <c r="I1462" s="831">
        <v>1.0099740096343992</v>
      </c>
      <c r="K1462">
        <v>1.7480096369842464</v>
      </c>
      <c r="L1462">
        <v>0</v>
      </c>
      <c r="M1462">
        <v>1.3017698749778395E-3</v>
      </c>
      <c r="N1462">
        <v>0.14684638512441189</v>
      </c>
      <c r="O1462">
        <v>1.7878833527158449E-2</v>
      </c>
      <c r="P1462">
        <v>2.0361813288612376E-2</v>
      </c>
      <c r="Q1462">
        <v>2.2463309192268417E-3</v>
      </c>
      <c r="R1462">
        <v>1.2938529707092721E-3</v>
      </c>
      <c r="S1462">
        <v>0.15548690304189092</v>
      </c>
      <c r="T1462">
        <v>1.0681567137998078</v>
      </c>
      <c r="U1462">
        <v>2.3326186674625791E-2</v>
      </c>
      <c r="V1462">
        <v>0.20665099525146069</v>
      </c>
      <c r="W1462">
        <v>8.5644060660672372E-2</v>
      </c>
      <c r="X1462">
        <v>1.7897890332893886E-2</v>
      </c>
      <c r="Y1462">
        <v>3.5214412677534745E-3</v>
      </c>
    </row>
    <row r="1463" spans="1:25" x14ac:dyDescent="0.25">
      <c r="A1463" s="827"/>
      <c r="B1463" s="1066">
        <v>1213</v>
      </c>
      <c r="C1463" s="831">
        <v>1.0170840244477433</v>
      </c>
      <c r="D1463" s="831">
        <v>1.0223341094524452</v>
      </c>
      <c r="E1463" s="831">
        <v>1.0228678957077786</v>
      </c>
      <c r="F1463" s="831">
        <v>0.99341483955532872</v>
      </c>
      <c r="G1463" s="831">
        <v>0.99816378741699108</v>
      </c>
      <c r="H1463" s="831">
        <v>0.96659696196158718</v>
      </c>
      <c r="I1463" s="831">
        <v>1.0022675233242566</v>
      </c>
      <c r="K1463">
        <v>1.7144344381970023</v>
      </c>
      <c r="L1463">
        <v>0</v>
      </c>
      <c r="M1463">
        <v>1.2422878840875043E-3</v>
      </c>
      <c r="N1463">
        <v>0.13432929833895266</v>
      </c>
      <c r="O1463">
        <v>1.7362219535034043E-2</v>
      </c>
      <c r="P1463">
        <v>1.9993761103373135E-2</v>
      </c>
      <c r="Q1463">
        <v>2.1571670993439035E-3</v>
      </c>
      <c r="R1463">
        <v>1.2343589555200091E-3</v>
      </c>
      <c r="S1463">
        <v>0.14680026589044839</v>
      </c>
      <c r="T1463">
        <v>1.0693426991196993</v>
      </c>
      <c r="U1463">
        <v>2.2930777927582618E-2</v>
      </c>
      <c r="V1463">
        <v>0.2023951956092411</v>
      </c>
      <c r="W1463">
        <v>7.9057872357664746E-2</v>
      </c>
      <c r="X1463">
        <v>1.6713591973622204E-2</v>
      </c>
      <c r="Y1463">
        <v>3.3595181706051361E-3</v>
      </c>
    </row>
    <row r="1464" spans="1:25" x14ac:dyDescent="0.25">
      <c r="A1464" s="827"/>
      <c r="B1464" s="1066">
        <v>1214</v>
      </c>
      <c r="C1464" s="831">
        <v>1.0208218207725772</v>
      </c>
      <c r="D1464" s="831">
        <v>0.98586910211211509</v>
      </c>
      <c r="E1464" s="831">
        <v>0.98736803839532572</v>
      </c>
      <c r="F1464" s="831">
        <v>1.0101789515456696</v>
      </c>
      <c r="G1464" s="831">
        <v>0.98090545068543289</v>
      </c>
      <c r="H1464" s="831">
        <v>0.96172860963210205</v>
      </c>
      <c r="I1464" s="831">
        <v>1.0160983529763887</v>
      </c>
      <c r="K1464">
        <v>1.7186521695725838</v>
      </c>
      <c r="L1464">
        <v>0</v>
      </c>
      <c r="M1464">
        <v>1.3491590759053802E-3</v>
      </c>
      <c r="N1464">
        <v>0.13063475361447716</v>
      </c>
      <c r="O1464">
        <v>1.7585459806841904E-2</v>
      </c>
      <c r="P1464">
        <v>1.959929979799397E-2</v>
      </c>
      <c r="Q1464">
        <v>2.1022683291722112E-3</v>
      </c>
      <c r="R1464">
        <v>1.3405299672905077E-3</v>
      </c>
      <c r="S1464">
        <v>0.15017950727407878</v>
      </c>
      <c r="T1464">
        <v>1.0724860196564272</v>
      </c>
      <c r="U1464">
        <v>2.284681559868329E-2</v>
      </c>
      <c r="V1464">
        <v>0.20527726555303377</v>
      </c>
      <c r="W1464">
        <v>7.8767142071649046E-2</v>
      </c>
      <c r="X1464">
        <v>1.5533786313461495E-2</v>
      </c>
      <c r="Y1464">
        <v>3.6484806653798098E-3</v>
      </c>
    </row>
    <row r="1465" spans="1:25" x14ac:dyDescent="0.25">
      <c r="A1465" s="827"/>
      <c r="B1465" s="1066">
        <v>1215</v>
      </c>
      <c r="C1465" s="831">
        <v>1.0024289321680599</v>
      </c>
      <c r="D1465" s="831">
        <v>0.99175592804801904</v>
      </c>
      <c r="E1465" s="831">
        <v>1.0099951773203526</v>
      </c>
      <c r="F1465" s="831">
        <v>1.0013626571962251</v>
      </c>
      <c r="G1465" s="831">
        <v>1.0227413195387081</v>
      </c>
      <c r="H1465" s="831">
        <v>0.97492756447793338</v>
      </c>
      <c r="I1465" s="831">
        <v>0.98598725924453778</v>
      </c>
      <c r="K1465">
        <v>1.7288161392604573</v>
      </c>
      <c r="L1465">
        <v>0</v>
      </c>
      <c r="M1465">
        <v>1.324395122632928E-3</v>
      </c>
      <c r="N1465">
        <v>0.13760209099704931</v>
      </c>
      <c r="O1465">
        <v>1.7859831642046201E-2</v>
      </c>
      <c r="P1465">
        <v>1.9914398592955795E-2</v>
      </c>
      <c r="Q1465">
        <v>2.1852948337340223E-3</v>
      </c>
      <c r="R1465">
        <v>1.316035004048908E-3</v>
      </c>
      <c r="S1465">
        <v>0.14897220892456012</v>
      </c>
      <c r="T1465">
        <v>1.0704770049210053</v>
      </c>
      <c r="U1465">
        <v>2.3266016322834072E-2</v>
      </c>
      <c r="V1465">
        <v>0.20668445551998968</v>
      </c>
      <c r="W1465">
        <v>8.1692309113900685E-2</v>
      </c>
      <c r="X1465">
        <v>1.6589075060765637E-2</v>
      </c>
      <c r="Y1465">
        <v>3.5818134501986367E-3</v>
      </c>
    </row>
    <row r="1466" spans="1:25" x14ac:dyDescent="0.25">
      <c r="A1466" s="827"/>
      <c r="B1466" s="1066">
        <v>1216</v>
      </c>
      <c r="C1466" s="831">
        <v>1.0434037897716011</v>
      </c>
      <c r="D1466" s="831">
        <v>1.0232039538353133</v>
      </c>
      <c r="E1466" s="831">
        <v>0.9697759600160154</v>
      </c>
      <c r="F1466" s="831">
        <v>1.0017310346686805</v>
      </c>
      <c r="G1466" s="831">
        <v>1.0102654536694193</v>
      </c>
      <c r="H1466" s="831">
        <v>0.97311059493317409</v>
      </c>
      <c r="I1466" s="831">
        <v>1.0289392007809572</v>
      </c>
      <c r="K1466">
        <v>1.7010162764350003</v>
      </c>
      <c r="L1466">
        <v>0</v>
      </c>
      <c r="M1466">
        <v>1.3627164877488085E-3</v>
      </c>
      <c r="N1466">
        <v>0.12491606526958264</v>
      </c>
      <c r="O1466">
        <v>1.6917757742519003E-2</v>
      </c>
      <c r="P1466">
        <v>1.9240391166237481E-2</v>
      </c>
      <c r="Q1466">
        <v>1.9926260855025347E-3</v>
      </c>
      <c r="R1466">
        <v>1.354076547817542E-3</v>
      </c>
      <c r="S1466">
        <v>0.14730995748418907</v>
      </c>
      <c r="T1466">
        <v>1.0740613023571948</v>
      </c>
      <c r="U1466">
        <v>2.2352351148167117E-2</v>
      </c>
      <c r="V1466">
        <v>0.19969886967479089</v>
      </c>
      <c r="W1466">
        <v>7.6245012506940227E-2</v>
      </c>
      <c r="X1466">
        <v>1.4605232947862657E-2</v>
      </c>
      <c r="Y1466">
        <v>3.6853499919453254E-3</v>
      </c>
    </row>
    <row r="1467" spans="1:25" x14ac:dyDescent="0.25">
      <c r="A1467" s="827"/>
      <c r="B1467" s="1066">
        <v>1217</v>
      </c>
      <c r="C1467" s="831">
        <v>0.97968137803368394</v>
      </c>
      <c r="D1467" s="831">
        <v>1.0390463976638846</v>
      </c>
      <c r="E1467" s="831">
        <v>0.98267793632335976</v>
      </c>
      <c r="F1467" s="831">
        <v>0.99739739092944346</v>
      </c>
      <c r="G1467" s="831">
        <v>1.0249201216926445</v>
      </c>
      <c r="H1467" s="831">
        <v>0.9697188908283263</v>
      </c>
      <c r="I1467" s="831">
        <v>1.0181807547840416</v>
      </c>
      <c r="K1467">
        <v>1.7286848038198355</v>
      </c>
      <c r="L1467">
        <v>0</v>
      </c>
      <c r="M1467">
        <v>1.3979524300173996E-3</v>
      </c>
      <c r="N1467">
        <v>0.13339979694449011</v>
      </c>
      <c r="O1467">
        <v>1.7893639523179534E-2</v>
      </c>
      <c r="P1467">
        <v>1.9594830346775879E-2</v>
      </c>
      <c r="Q1467">
        <v>2.138094827782799E-3</v>
      </c>
      <c r="R1467">
        <v>1.3890471256826277E-3</v>
      </c>
      <c r="S1467">
        <v>0.15401995080300343</v>
      </c>
      <c r="T1467">
        <v>1.0729048580673297</v>
      </c>
      <c r="U1467">
        <v>2.3806237845526622E-2</v>
      </c>
      <c r="V1467">
        <v>0.20487969677848147</v>
      </c>
      <c r="W1467">
        <v>8.0695613864194285E-2</v>
      </c>
      <c r="X1467">
        <v>1.5580461746560661E-2</v>
      </c>
      <c r="Y1467">
        <v>3.7805283768461958E-3</v>
      </c>
    </row>
    <row r="1468" spans="1:25" x14ac:dyDescent="0.25">
      <c r="A1468" s="827"/>
      <c r="B1468" s="1066">
        <v>1218</v>
      </c>
      <c r="C1468" s="831">
        <v>0.99383231792023485</v>
      </c>
      <c r="D1468" s="831">
        <v>0.98194720111914735</v>
      </c>
      <c r="E1468" s="831">
        <v>0.9878757300458848</v>
      </c>
      <c r="F1468" s="831">
        <v>0.98429985240903972</v>
      </c>
      <c r="G1468" s="831">
        <v>0.98327096678846349</v>
      </c>
      <c r="H1468" s="831">
        <v>1.0163246059770361</v>
      </c>
      <c r="I1468" s="831">
        <v>1.0114249867210223</v>
      </c>
      <c r="K1468">
        <v>1.7502921633632413</v>
      </c>
      <c r="L1468">
        <v>0</v>
      </c>
      <c r="M1468">
        <v>1.4655519504631379E-3</v>
      </c>
      <c r="N1468">
        <v>0.14217865348457689</v>
      </c>
      <c r="O1468">
        <v>1.8095733762316411E-2</v>
      </c>
      <c r="P1468">
        <v>1.9762278264559521E-2</v>
      </c>
      <c r="Q1468">
        <v>2.1636680963175417E-3</v>
      </c>
      <c r="R1468">
        <v>1.4566848457329795E-3</v>
      </c>
      <c r="S1468">
        <v>0.15782452383367782</v>
      </c>
      <c r="T1468">
        <v>1.0724407311086557</v>
      </c>
      <c r="U1468">
        <v>2.3467266537588134E-2</v>
      </c>
      <c r="V1468">
        <v>0.20855230322765217</v>
      </c>
      <c r="W1468">
        <v>8.5697583520077975E-2</v>
      </c>
      <c r="X1468">
        <v>1.6153672678494942E-2</v>
      </c>
      <c r="Y1468">
        <v>3.9646159540548303E-3</v>
      </c>
    </row>
    <row r="1469" spans="1:25" x14ac:dyDescent="0.25">
      <c r="A1469" s="827"/>
      <c r="B1469" s="1066">
        <v>1219</v>
      </c>
      <c r="C1469" s="831">
        <v>1.0011010434169014</v>
      </c>
      <c r="D1469" s="831">
        <v>0.99019832375200467</v>
      </c>
      <c r="E1469" s="831">
        <v>0.98487773751505114</v>
      </c>
      <c r="F1469" s="831">
        <v>0.98531162237797498</v>
      </c>
      <c r="G1469" s="831">
        <v>0.99555225596254904</v>
      </c>
      <c r="H1469" s="831">
        <v>0.96915395688134587</v>
      </c>
      <c r="I1469" s="831">
        <v>1.0244593009683911</v>
      </c>
      <c r="K1469">
        <v>1.7311038464852482</v>
      </c>
      <c r="L1469">
        <v>0</v>
      </c>
      <c r="M1469">
        <v>1.3908679093425907E-3</v>
      </c>
      <c r="N1469">
        <v>0.13363914132521504</v>
      </c>
      <c r="O1469">
        <v>1.7896272019182171E-2</v>
      </c>
      <c r="P1469">
        <v>1.9654905974472118E-2</v>
      </c>
      <c r="Q1469">
        <v>2.1348062086103659E-3</v>
      </c>
      <c r="R1469">
        <v>1.3820370198851365E-3</v>
      </c>
      <c r="S1469">
        <v>0.15466537237372269</v>
      </c>
      <c r="T1469">
        <v>1.0727083070121546</v>
      </c>
      <c r="U1469">
        <v>2.3296877025220181E-2</v>
      </c>
      <c r="V1469">
        <v>0.20697090563092035</v>
      </c>
      <c r="W1469">
        <v>8.0717420871584594E-2</v>
      </c>
      <c r="X1469">
        <v>1.5667219753876485E-2</v>
      </c>
      <c r="Y1469">
        <v>3.7614491797461785E-3</v>
      </c>
    </row>
    <row r="1470" spans="1:25" x14ac:dyDescent="0.25">
      <c r="A1470" s="827"/>
      <c r="B1470" s="1066">
        <v>1220</v>
      </c>
      <c r="C1470" s="831">
        <v>0.98795103519602945</v>
      </c>
      <c r="D1470" s="831">
        <v>0.97166578762909228</v>
      </c>
      <c r="E1470" s="831">
        <v>1.0035102142739871</v>
      </c>
      <c r="F1470" s="831">
        <v>1.0017226297349322</v>
      </c>
      <c r="G1470" s="831">
        <v>1.010026946416517</v>
      </c>
      <c r="H1470" s="831">
        <v>1.0285134310885686</v>
      </c>
      <c r="I1470" s="831">
        <v>0.99586436143503143</v>
      </c>
      <c r="K1470">
        <v>1.7600070220077968</v>
      </c>
      <c r="L1470">
        <v>0</v>
      </c>
      <c r="M1470">
        <v>1.4505771751446156E-3</v>
      </c>
      <c r="N1470">
        <v>0.14775381724643905</v>
      </c>
      <c r="O1470">
        <v>1.829069690981357E-2</v>
      </c>
      <c r="P1470">
        <v>2.0001733627391573E-2</v>
      </c>
      <c r="Q1470">
        <v>2.2197637266295708E-3</v>
      </c>
      <c r="R1470">
        <v>1.4419122093819192E-3</v>
      </c>
      <c r="S1470">
        <v>0.15790202707526474</v>
      </c>
      <c r="T1470">
        <v>1.0710508151640019</v>
      </c>
      <c r="U1470">
        <v>2.3606967417849303E-2</v>
      </c>
      <c r="V1470">
        <v>0.2102070678836383</v>
      </c>
      <c r="W1470">
        <v>8.8107500108930259E-2</v>
      </c>
      <c r="X1470">
        <v>1.6950888105895325E-2</v>
      </c>
      <c r="Y1470">
        <v>3.924409707705509E-3</v>
      </c>
    </row>
    <row r="1471" spans="1:25" x14ac:dyDescent="0.25">
      <c r="A1471" s="827"/>
      <c r="B1471" s="1066">
        <v>1221</v>
      </c>
      <c r="C1471" s="831">
        <v>1.0098337726856828</v>
      </c>
      <c r="D1471" s="831">
        <v>1.0389959663807133</v>
      </c>
      <c r="E1471" s="831">
        <v>0.99929789383517975</v>
      </c>
      <c r="F1471" s="831">
        <v>1.0206694519467339</v>
      </c>
      <c r="G1471" s="831">
        <v>0.99057650418652943</v>
      </c>
      <c r="H1471" s="831">
        <v>1.0154011984909446</v>
      </c>
      <c r="I1471" s="831">
        <v>1.014082132056523</v>
      </c>
      <c r="K1471">
        <v>1.7276310224378653</v>
      </c>
      <c r="L1471">
        <v>0</v>
      </c>
      <c r="M1471">
        <v>1.3713537567771451E-3</v>
      </c>
      <c r="N1471">
        <v>0.1378505166672056</v>
      </c>
      <c r="O1471">
        <v>1.7359737404196485E-2</v>
      </c>
      <c r="P1471">
        <v>1.9741525554235875E-2</v>
      </c>
      <c r="Q1471">
        <v>2.1094121253264577E-3</v>
      </c>
      <c r="R1471">
        <v>1.3630109463569587E-3</v>
      </c>
      <c r="S1471">
        <v>0.15205939730412976</v>
      </c>
      <c r="T1471">
        <v>1.0714243858231369</v>
      </c>
      <c r="U1471">
        <v>2.3095412858173934E-2</v>
      </c>
      <c r="V1471">
        <v>0.20170876097344459</v>
      </c>
      <c r="W1471">
        <v>8.2439069964086814E-2</v>
      </c>
      <c r="X1471">
        <v>1.6141480094800244E-2</v>
      </c>
      <c r="Y1471">
        <v>3.7096664795459315E-3</v>
      </c>
    </row>
    <row r="1472" spans="1:25" x14ac:dyDescent="0.25">
      <c r="A1472" s="827"/>
      <c r="B1472" s="1066">
        <v>1222</v>
      </c>
      <c r="C1472" s="831">
        <v>0.97404234424102676</v>
      </c>
      <c r="D1472" s="831">
        <v>0.9849113475454796</v>
      </c>
      <c r="E1472" s="831">
        <v>0.982036304334445</v>
      </c>
      <c r="F1472" s="831">
        <v>1.0164588883286658</v>
      </c>
      <c r="G1472" s="831">
        <v>0.99031499915113608</v>
      </c>
      <c r="H1472" s="831">
        <v>0.98721033130177571</v>
      </c>
      <c r="I1472" s="831">
        <v>0.97066112552640493</v>
      </c>
      <c r="K1472">
        <v>1.7443180270083944</v>
      </c>
      <c r="L1472">
        <v>0</v>
      </c>
      <c r="M1472">
        <v>1.4684138059032424E-3</v>
      </c>
      <c r="N1472">
        <v>0.13986347610366612</v>
      </c>
      <c r="O1472">
        <v>1.8438151176745202E-2</v>
      </c>
      <c r="P1472">
        <v>1.9639650963275659E-2</v>
      </c>
      <c r="Q1472">
        <v>2.1921463745190155E-3</v>
      </c>
      <c r="R1472">
        <v>1.4592651051876155E-3</v>
      </c>
      <c r="S1472">
        <v>0.15225007377138505</v>
      </c>
      <c r="T1472">
        <v>1.0729622218191011</v>
      </c>
      <c r="U1472">
        <v>2.3944059553669669E-2</v>
      </c>
      <c r="V1472">
        <v>0.21049098102687813</v>
      </c>
      <c r="W1472">
        <v>8.4643208390286315E-2</v>
      </c>
      <c r="X1472">
        <v>1.5931567959876401E-2</v>
      </c>
      <c r="Y1472">
        <v>3.9716385697080494E-3</v>
      </c>
    </row>
    <row r="1473" spans="1:25" x14ac:dyDescent="0.25">
      <c r="A1473" s="827"/>
      <c r="B1473" s="1066">
        <v>1223</v>
      </c>
      <c r="C1473" s="831">
        <v>0.97325359274011591</v>
      </c>
      <c r="D1473" s="831">
        <v>0.99345101427655391</v>
      </c>
      <c r="E1473" s="831">
        <v>1.0367973287021439</v>
      </c>
      <c r="F1473" s="831">
        <v>1.0055471199565742</v>
      </c>
      <c r="G1473" s="831">
        <v>0.9726526177577467</v>
      </c>
      <c r="H1473" s="831">
        <v>0.99020993213247321</v>
      </c>
      <c r="I1473" s="831">
        <v>1.0071218649701528</v>
      </c>
      <c r="K1473">
        <v>1.7562267566921064</v>
      </c>
      <c r="L1473">
        <v>0</v>
      </c>
      <c r="M1473">
        <v>1.3081690170507654E-3</v>
      </c>
      <c r="N1473">
        <v>0.14772850172103941</v>
      </c>
      <c r="O1473">
        <v>1.8380981632780201E-2</v>
      </c>
      <c r="P1473">
        <v>2.0451403507356549E-2</v>
      </c>
      <c r="Q1473">
        <v>2.3100045350276295E-3</v>
      </c>
      <c r="R1473">
        <v>1.3000376333468717E-3</v>
      </c>
      <c r="S1473">
        <v>0.15775448080291921</v>
      </c>
      <c r="T1473">
        <v>1.0681223536027844</v>
      </c>
      <c r="U1473">
        <v>2.3963464478605701E-2</v>
      </c>
      <c r="V1473">
        <v>0.20975739703221957</v>
      </c>
      <c r="W1473">
        <v>8.6135926356602971E-2</v>
      </c>
      <c r="X1473">
        <v>1.8092100525795636E-2</v>
      </c>
      <c r="Y1473">
        <v>3.5382738806795286E-3</v>
      </c>
    </row>
    <row r="1474" spans="1:25" x14ac:dyDescent="0.25">
      <c r="A1474" s="827"/>
      <c r="B1474" s="1066">
        <v>1224</v>
      </c>
      <c r="C1474" s="831">
        <v>0.96336401131841853</v>
      </c>
      <c r="D1474" s="831">
        <v>1.0315139438090641</v>
      </c>
      <c r="E1474" s="831">
        <v>1.0108215087533294</v>
      </c>
      <c r="F1474" s="831">
        <v>1.0093820896612706</v>
      </c>
      <c r="G1474" s="831">
        <v>1.0295039956807102</v>
      </c>
      <c r="H1474" s="831">
        <v>1.0160587224982602</v>
      </c>
      <c r="I1474" s="831">
        <v>1.0062705915520576</v>
      </c>
      <c r="K1474">
        <v>1.7560144813128753</v>
      </c>
      <c r="L1474">
        <v>0</v>
      </c>
      <c r="M1474">
        <v>1.4085001097890347E-3</v>
      </c>
      <c r="N1474">
        <v>0.14675172138284909</v>
      </c>
      <c r="O1474">
        <v>1.8256545681883372E-2</v>
      </c>
      <c r="P1474">
        <v>2.0081470928529931E-2</v>
      </c>
      <c r="Q1474">
        <v>2.2428530625004084E-3</v>
      </c>
      <c r="R1474">
        <v>1.3999418080751563E-3</v>
      </c>
      <c r="S1474">
        <v>0.15868873273101</v>
      </c>
      <c r="T1474">
        <v>1.0704040026723056</v>
      </c>
      <c r="U1474">
        <v>2.4209465606240516E-2</v>
      </c>
      <c r="V1474">
        <v>0.20735654125935779</v>
      </c>
      <c r="W1474">
        <v>8.7075417192560484E-2</v>
      </c>
      <c r="X1474">
        <v>1.714610898646534E-2</v>
      </c>
      <c r="Y1474">
        <v>3.8101801108875711E-3</v>
      </c>
    </row>
    <row r="1475" spans="1:25" x14ac:dyDescent="0.25">
      <c r="A1475" s="827"/>
      <c r="B1475" s="1066">
        <v>1225</v>
      </c>
      <c r="C1475" s="831">
        <v>0.98230379483756602</v>
      </c>
      <c r="D1475" s="831">
        <v>1.0412958976064484</v>
      </c>
      <c r="E1475" s="831">
        <v>1.0339914515318351</v>
      </c>
      <c r="F1475" s="831">
        <v>0.98853960461280854</v>
      </c>
      <c r="G1475" s="831">
        <v>0.98925946482973204</v>
      </c>
      <c r="H1475" s="831">
        <v>0.97530754438015366</v>
      </c>
      <c r="I1475" s="831">
        <v>1.0027456166297744</v>
      </c>
      <c r="K1475">
        <v>1.7322066367185569</v>
      </c>
      <c r="L1475">
        <v>0</v>
      </c>
      <c r="M1475">
        <v>1.2572276179956003E-3</v>
      </c>
      <c r="N1475">
        <v>0.14072819912350076</v>
      </c>
      <c r="O1475">
        <v>1.7828476874954587E-2</v>
      </c>
      <c r="P1475">
        <v>2.024852129143816E-2</v>
      </c>
      <c r="Q1475">
        <v>2.2429347851856004E-3</v>
      </c>
      <c r="R1475">
        <v>1.2492632836483923E-3</v>
      </c>
      <c r="S1475">
        <v>0.15154729909425391</v>
      </c>
      <c r="T1475">
        <v>1.0683675818892198</v>
      </c>
      <c r="U1475">
        <v>2.3742683292962124E-2</v>
      </c>
      <c r="V1475">
        <v>0.2044041829800092</v>
      </c>
      <c r="W1475">
        <v>8.2208119028472595E-2</v>
      </c>
      <c r="X1475">
        <v>1.749651985434723E-2</v>
      </c>
      <c r="Y1475">
        <v>3.400082838560148E-3</v>
      </c>
    </row>
    <row r="1476" spans="1:25" x14ac:dyDescent="0.25">
      <c r="A1476" s="827"/>
      <c r="B1476" s="1066">
        <v>1226</v>
      </c>
      <c r="C1476" s="831">
        <v>0.99757108332039179</v>
      </c>
      <c r="D1476" s="831">
        <v>0.98650994317712237</v>
      </c>
      <c r="E1476" s="831">
        <v>1.0170456872999851</v>
      </c>
      <c r="F1476" s="831">
        <v>0.97882391968211468</v>
      </c>
      <c r="G1476" s="831">
        <v>0.98276076517923683</v>
      </c>
      <c r="H1476" s="831">
        <v>1.0161794779379698</v>
      </c>
      <c r="I1476" s="831">
        <v>0.98570427438314101</v>
      </c>
      <c r="K1476">
        <v>1.7465768347765092</v>
      </c>
      <c r="L1476">
        <v>0</v>
      </c>
      <c r="M1476">
        <v>1.3699577233949212E-3</v>
      </c>
      <c r="N1476">
        <v>0.1455272897132481</v>
      </c>
      <c r="O1476">
        <v>1.7990025526673451E-2</v>
      </c>
      <c r="P1476">
        <v>2.0079975109163328E-2</v>
      </c>
      <c r="Q1476">
        <v>2.2157946216706387E-3</v>
      </c>
      <c r="R1476">
        <v>1.3616646555415634E-3</v>
      </c>
      <c r="S1476">
        <v>0.15292880877380899</v>
      </c>
      <c r="T1476">
        <v>1.0698549577903389</v>
      </c>
      <c r="U1476">
        <v>2.337931430477588E-2</v>
      </c>
      <c r="V1476">
        <v>0.20770601268271538</v>
      </c>
      <c r="W1476">
        <v>8.598547253759864E-2</v>
      </c>
      <c r="X1476">
        <v>1.7211474464616454E-2</v>
      </c>
      <c r="Y1476">
        <v>3.706002319751074E-3</v>
      </c>
    </row>
    <row r="1477" spans="1:25" x14ac:dyDescent="0.25">
      <c r="A1477" s="827"/>
      <c r="B1477" s="1066">
        <v>1227</v>
      </c>
      <c r="C1477" s="831">
        <v>1.0017213223024086</v>
      </c>
      <c r="D1477" s="831">
        <v>0.99588594782322171</v>
      </c>
      <c r="E1477" s="831">
        <v>1.0104539019120466</v>
      </c>
      <c r="F1477" s="831">
        <v>0.99600468190158631</v>
      </c>
      <c r="G1477" s="831">
        <v>0.99994746191417161</v>
      </c>
      <c r="H1477" s="831">
        <v>1.0088390657856805</v>
      </c>
      <c r="I1477" s="831">
        <v>1.0087546962192337</v>
      </c>
      <c r="K1477">
        <v>1.7421209690752248</v>
      </c>
      <c r="L1477">
        <v>0</v>
      </c>
      <c r="M1477">
        <v>1.3675285053732702E-3</v>
      </c>
      <c r="N1477">
        <v>0.1423164171244389</v>
      </c>
      <c r="O1477">
        <v>1.7838811923065172E-2</v>
      </c>
      <c r="P1477">
        <v>1.9995501313934478E-2</v>
      </c>
      <c r="Q1477">
        <v>2.1844703877570118E-3</v>
      </c>
      <c r="R1477">
        <v>1.3591834498757392E-3</v>
      </c>
      <c r="S1477">
        <v>0.1547130356099318</v>
      </c>
      <c r="T1477">
        <v>1.0704364757091478</v>
      </c>
      <c r="U1477">
        <v>2.3282451295633257E-2</v>
      </c>
      <c r="V1477">
        <v>0.20637304912888424</v>
      </c>
      <c r="W1477">
        <v>8.4464806796702943E-2</v>
      </c>
      <c r="X1477">
        <v>1.6825045545368813E-2</v>
      </c>
      <c r="Y1477">
        <v>3.6992492958579284E-3</v>
      </c>
    </row>
    <row r="1478" spans="1:25" x14ac:dyDescent="0.25">
      <c r="A1478" s="827"/>
      <c r="B1478" s="1066">
        <v>1228</v>
      </c>
      <c r="C1478" s="831">
        <v>1.0062981509236053</v>
      </c>
      <c r="D1478" s="831">
        <v>0.98168056358433065</v>
      </c>
      <c r="E1478" s="831">
        <v>1.0150936057685576</v>
      </c>
      <c r="F1478" s="831">
        <v>1.0009264671642075</v>
      </c>
      <c r="G1478" s="831">
        <v>1.0011136420039264</v>
      </c>
      <c r="H1478" s="831">
        <v>0.99945058362399564</v>
      </c>
      <c r="I1478" s="831">
        <v>1.0129314315692539</v>
      </c>
      <c r="K1478">
        <v>1.7419262962110547</v>
      </c>
      <c r="L1478">
        <v>0</v>
      </c>
      <c r="M1478">
        <v>1.3442224470767755E-3</v>
      </c>
      <c r="N1478">
        <v>0.14191582699443162</v>
      </c>
      <c r="O1478">
        <v>1.7873770573235956E-2</v>
      </c>
      <c r="P1478">
        <v>2.0071019261853718E-2</v>
      </c>
      <c r="Q1478">
        <v>2.1963070913299915E-3</v>
      </c>
      <c r="R1478">
        <v>1.3359523011043761E-3</v>
      </c>
      <c r="S1478">
        <v>0.15488965990993553</v>
      </c>
      <c r="T1478">
        <v>1.0700269962599969</v>
      </c>
      <c r="U1478">
        <v>2.317655843538733E-2</v>
      </c>
      <c r="V1478">
        <v>0.20721503293570917</v>
      </c>
      <c r="W1478">
        <v>8.3962449472421583E-2</v>
      </c>
      <c r="X1478">
        <v>1.6970923655677178E-2</v>
      </c>
      <c r="Y1478">
        <v>3.6360217670484128E-3</v>
      </c>
    </row>
    <row r="1479" spans="1:25" x14ac:dyDescent="0.25">
      <c r="A1479" s="827"/>
      <c r="B1479" s="1066">
        <v>1229</v>
      </c>
      <c r="C1479" s="831">
        <v>1.0076941113447757</v>
      </c>
      <c r="D1479" s="831">
        <v>1.0270931116467907</v>
      </c>
      <c r="E1479" s="831">
        <v>1.0103753729564926</v>
      </c>
      <c r="F1479" s="831">
        <v>0.97683089445380067</v>
      </c>
      <c r="G1479" s="831">
        <v>0.9787371742176747</v>
      </c>
      <c r="H1479" s="831">
        <v>1.0183325243817181</v>
      </c>
      <c r="I1479" s="831">
        <v>1.0328920572259461</v>
      </c>
      <c r="K1479">
        <v>1.7370302863225451</v>
      </c>
      <c r="L1479">
        <v>0</v>
      </c>
      <c r="M1479">
        <v>1.3534406247126055E-3</v>
      </c>
      <c r="N1479">
        <v>0.14082185132822927</v>
      </c>
      <c r="O1479">
        <v>1.7487283715202993E-2</v>
      </c>
      <c r="P1479">
        <v>1.9965375750194646E-2</v>
      </c>
      <c r="Q1479">
        <v>2.1466457468753745E-3</v>
      </c>
      <c r="R1479">
        <v>1.3452380637016747E-3</v>
      </c>
      <c r="S1479">
        <v>0.15616373380915591</v>
      </c>
      <c r="T1479">
        <v>1.0704434133308824</v>
      </c>
      <c r="U1479">
        <v>2.314445190830685E-2</v>
      </c>
      <c r="V1479">
        <v>0.20294741154588999</v>
      </c>
      <c r="W1479">
        <v>8.3582240346341583E-2</v>
      </c>
      <c r="X1479">
        <v>1.6674786850688971E-2</v>
      </c>
      <c r="Y1479">
        <v>3.6612945517874411E-3</v>
      </c>
    </row>
    <row r="1480" spans="1:25" x14ac:dyDescent="0.25">
      <c r="A1480" s="827"/>
      <c r="B1480" s="1066">
        <v>1230</v>
      </c>
      <c r="C1480" s="831">
        <v>1.0001394879937333</v>
      </c>
      <c r="D1480" s="831">
        <v>0.97036639597163299</v>
      </c>
      <c r="E1480" s="831">
        <v>1.0201733194662361</v>
      </c>
      <c r="F1480" s="831">
        <v>0.97834406945038688</v>
      </c>
      <c r="G1480" s="831">
        <v>1.0133529713794258</v>
      </c>
      <c r="H1480" s="831">
        <v>0.96554018920580931</v>
      </c>
      <c r="I1480" s="831">
        <v>1.0206180981611845</v>
      </c>
      <c r="K1480">
        <v>1.7397109732804064</v>
      </c>
      <c r="L1480">
        <v>0</v>
      </c>
      <c r="M1480">
        <v>1.2994880144013587E-3</v>
      </c>
      <c r="N1480">
        <v>0.13934604296814301</v>
      </c>
      <c r="O1480">
        <v>1.8078785974818889E-2</v>
      </c>
      <c r="P1480">
        <v>2.0171445499418333E-2</v>
      </c>
      <c r="Q1480">
        <v>2.2306125545419847E-3</v>
      </c>
      <c r="R1480">
        <v>1.2912202172941718E-3</v>
      </c>
      <c r="S1480">
        <v>0.15526748674565807</v>
      </c>
      <c r="T1480">
        <v>1.069579617923297</v>
      </c>
      <c r="U1480">
        <v>2.3319275139398684E-2</v>
      </c>
      <c r="V1480">
        <v>0.20897398151991547</v>
      </c>
      <c r="W1480">
        <v>8.2159509086384516E-2</v>
      </c>
      <c r="X1480">
        <v>1.7078207885090471E-2</v>
      </c>
      <c r="Y1480">
        <v>3.5142757808445009E-3</v>
      </c>
    </row>
    <row r="1481" spans="1:25" x14ac:dyDescent="0.25">
      <c r="A1481" s="827"/>
      <c r="B1481" s="1066">
        <v>1231</v>
      </c>
      <c r="C1481" s="831">
        <v>1.0038869762247162</v>
      </c>
      <c r="D1481" s="831">
        <v>0.95410336292262998</v>
      </c>
      <c r="E1481" s="831">
        <v>0.98893450164184904</v>
      </c>
      <c r="F1481" s="831">
        <v>0.97445352551700215</v>
      </c>
      <c r="G1481" s="831">
        <v>1.0011639539474542</v>
      </c>
      <c r="H1481" s="831">
        <v>0.98421938908045159</v>
      </c>
      <c r="I1481" s="831">
        <v>0.9947447164025518</v>
      </c>
      <c r="K1481">
        <v>1.74032751399229</v>
      </c>
      <c r="L1481">
        <v>0</v>
      </c>
      <c r="M1481">
        <v>1.4203541405710398E-3</v>
      </c>
      <c r="N1481">
        <v>0.13822349064617767</v>
      </c>
      <c r="O1481">
        <v>1.8150355732027772E-2</v>
      </c>
      <c r="P1481">
        <v>1.9732743343693491E-2</v>
      </c>
      <c r="Q1481">
        <v>2.167318988732435E-3</v>
      </c>
      <c r="R1481">
        <v>1.4115013078928442E-3</v>
      </c>
      <c r="S1481">
        <v>0.15318867170672157</v>
      </c>
      <c r="T1481">
        <v>1.0723463147861603</v>
      </c>
      <c r="U1481">
        <v>2.3232224792885975E-2</v>
      </c>
      <c r="V1481">
        <v>0.21016921073546402</v>
      </c>
      <c r="W1481">
        <v>8.3252799621153742E-2</v>
      </c>
      <c r="X1481">
        <v>1.6031595213147596E-2</v>
      </c>
      <c r="Y1481">
        <v>3.8416412588032278E-3</v>
      </c>
    </row>
    <row r="1482" spans="1:25" x14ac:dyDescent="0.25">
      <c r="A1482" s="827"/>
      <c r="B1482" s="1066">
        <v>1232</v>
      </c>
      <c r="C1482" s="831">
        <v>1.0322405886324439</v>
      </c>
      <c r="D1482" s="831">
        <v>1.0051460271708956</v>
      </c>
      <c r="E1482" s="831">
        <v>1.0282898677635721</v>
      </c>
      <c r="F1482" s="831">
        <v>0.98190765719254647</v>
      </c>
      <c r="G1482" s="831">
        <v>0.99772340176017127</v>
      </c>
      <c r="H1482" s="831">
        <v>0.9903949781531648</v>
      </c>
      <c r="I1482" s="831">
        <v>1.0128593548289841</v>
      </c>
      <c r="K1482">
        <v>1.7205488082123086</v>
      </c>
      <c r="L1482">
        <v>0</v>
      </c>
      <c r="M1482">
        <v>1.2494227549306122E-3</v>
      </c>
      <c r="N1482">
        <v>0.13741705815405295</v>
      </c>
      <c r="O1482">
        <v>1.7238969592398047E-2</v>
      </c>
      <c r="P1482">
        <v>2.0090121398422464E-2</v>
      </c>
      <c r="Q1482">
        <v>2.1504252622661008E-3</v>
      </c>
      <c r="R1482">
        <v>1.2416505706330761E-3</v>
      </c>
      <c r="S1482">
        <v>0.14887521826793035</v>
      </c>
      <c r="T1482">
        <v>1.068866809922931</v>
      </c>
      <c r="U1482">
        <v>2.2594081413909377E-2</v>
      </c>
      <c r="V1482">
        <v>0.20236095686657735</v>
      </c>
      <c r="W1482">
        <v>8.0580923016342149E-2</v>
      </c>
      <c r="X1482">
        <v>1.7002652958511808E-2</v>
      </c>
      <c r="Y1482">
        <v>3.3793635432626278E-3</v>
      </c>
    </row>
    <row r="1483" spans="1:25" x14ac:dyDescent="0.25">
      <c r="A1483" s="827"/>
      <c r="B1483" s="1066">
        <v>1233</v>
      </c>
      <c r="C1483" s="831">
        <v>0.97376055659068128</v>
      </c>
      <c r="D1483" s="831">
        <v>1.0142377725473211</v>
      </c>
      <c r="E1483" s="831">
        <v>0.97997827699861251</v>
      </c>
      <c r="F1483" s="831">
        <v>0.97982980882870829</v>
      </c>
      <c r="G1483" s="831">
        <v>1.0125107377982001</v>
      </c>
      <c r="H1483" s="831">
        <v>0.99305232973137059</v>
      </c>
      <c r="I1483" s="831">
        <v>0.97212130668349728</v>
      </c>
      <c r="K1483">
        <v>1.7381508724649601</v>
      </c>
      <c r="L1483">
        <v>0</v>
      </c>
      <c r="M1483">
        <v>1.4643581716179777E-3</v>
      </c>
      <c r="N1483">
        <v>0.13858879362709131</v>
      </c>
      <c r="O1483">
        <v>1.8199970765714592E-2</v>
      </c>
      <c r="P1483">
        <v>1.9559216501075088E-2</v>
      </c>
      <c r="Q1483">
        <v>2.1645109151757786E-3</v>
      </c>
      <c r="R1483">
        <v>1.4552666987176744E-3</v>
      </c>
      <c r="S1483">
        <v>0.15109347216919677</v>
      </c>
      <c r="T1483">
        <v>1.0731463198226119</v>
      </c>
      <c r="U1483">
        <v>2.3950988505798305E-2</v>
      </c>
      <c r="V1483">
        <v>0.20775457317482418</v>
      </c>
      <c r="W1483">
        <v>8.3991563800819624E-2</v>
      </c>
      <c r="X1483">
        <v>1.5749798430182062E-2</v>
      </c>
      <c r="Y1483">
        <v>3.9607562253712071E-3</v>
      </c>
    </row>
    <row r="1484" spans="1:25" x14ac:dyDescent="0.25">
      <c r="A1484" s="827"/>
      <c r="B1484" s="1066">
        <v>1234</v>
      </c>
      <c r="C1484" s="831">
        <v>1.0138180719318672</v>
      </c>
      <c r="D1484" s="831">
        <v>0.97069387247592565</v>
      </c>
      <c r="E1484" s="831">
        <v>1.0157359295063506</v>
      </c>
      <c r="F1484" s="831">
        <v>0.99730350120061662</v>
      </c>
      <c r="G1484" s="831">
        <v>1.0129653109523258</v>
      </c>
      <c r="H1484" s="831">
        <v>0.98775309904418906</v>
      </c>
      <c r="I1484" s="831">
        <v>1.0371140533899843</v>
      </c>
      <c r="K1484">
        <v>1.7411313506477362</v>
      </c>
      <c r="L1484">
        <v>0</v>
      </c>
      <c r="M1484">
        <v>1.3235912538650441E-3</v>
      </c>
      <c r="N1484">
        <v>0.14000744880556615</v>
      </c>
      <c r="O1484">
        <v>1.7832128982634355E-2</v>
      </c>
      <c r="P1484">
        <v>2.0113636373766747E-2</v>
      </c>
      <c r="Q1484">
        <v>2.1905454671978359E-3</v>
      </c>
      <c r="R1484">
        <v>1.3153592511539495E-3</v>
      </c>
      <c r="S1484">
        <v>0.1572798073534071</v>
      </c>
      <c r="T1484">
        <v>1.0699703718432545</v>
      </c>
      <c r="U1484">
        <v>2.3004648017233762E-2</v>
      </c>
      <c r="V1484">
        <v>0.20745239410902247</v>
      </c>
      <c r="W1484">
        <v>8.2797376201226222E-2</v>
      </c>
      <c r="X1484">
        <v>1.6911251223557081E-2</v>
      </c>
      <c r="Y1484">
        <v>3.5799742735804431E-3</v>
      </c>
    </row>
    <row r="1485" spans="1:25" x14ac:dyDescent="0.25">
      <c r="A1485" s="827"/>
      <c r="B1485" s="1066">
        <v>1235</v>
      </c>
      <c r="C1485" s="831">
        <v>0.99462325166872145</v>
      </c>
      <c r="D1485" s="831">
        <v>1.0001297600473356</v>
      </c>
      <c r="E1485" s="831">
        <v>1.0222161361869051</v>
      </c>
      <c r="F1485" s="831">
        <v>0.99319064226293718</v>
      </c>
      <c r="G1485" s="831">
        <v>0.99178142430378036</v>
      </c>
      <c r="H1485" s="831">
        <v>0.99944618896490789</v>
      </c>
      <c r="I1485" s="831">
        <v>1.0083512667791767</v>
      </c>
      <c r="K1485">
        <v>1.7433924669232645</v>
      </c>
      <c r="L1485">
        <v>0</v>
      </c>
      <c r="M1485">
        <v>1.3284398064714812E-3</v>
      </c>
      <c r="N1485">
        <v>0.14338631424436263</v>
      </c>
      <c r="O1485">
        <v>1.7931537523117345E-2</v>
      </c>
      <c r="P1485">
        <v>2.0163588446171922E-2</v>
      </c>
      <c r="Q1485">
        <v>2.2224804034052131E-3</v>
      </c>
      <c r="R1485">
        <v>1.3202542575773868E-3</v>
      </c>
      <c r="S1485">
        <v>0.15479637976083219</v>
      </c>
      <c r="T1485">
        <v>1.0693999794114901</v>
      </c>
      <c r="U1485">
        <v>2.344860514689753E-2</v>
      </c>
      <c r="V1485">
        <v>0.2067521130681943</v>
      </c>
      <c r="W1485">
        <v>8.442532483654927E-2</v>
      </c>
      <c r="X1485">
        <v>1.7281032763712862E-2</v>
      </c>
      <c r="Y1485">
        <v>3.5932968674266047E-3</v>
      </c>
    </row>
    <row r="1486" spans="1:25" x14ac:dyDescent="0.25">
      <c r="A1486" s="827"/>
      <c r="B1486" s="1066">
        <v>1236</v>
      </c>
      <c r="C1486" s="831">
        <v>1.0141162182114718</v>
      </c>
      <c r="D1486" s="831">
        <v>0.99744579754804541</v>
      </c>
      <c r="E1486" s="831">
        <v>1.004490887609458</v>
      </c>
      <c r="F1486" s="831">
        <v>1.0122218113742285</v>
      </c>
      <c r="G1486" s="831">
        <v>0.99150180715126068</v>
      </c>
      <c r="H1486" s="831">
        <v>0.99452894209368103</v>
      </c>
      <c r="I1486" s="831">
        <v>0.98649571364345712</v>
      </c>
      <c r="K1486">
        <v>1.7264425890739954</v>
      </c>
      <c r="L1486">
        <v>0</v>
      </c>
      <c r="M1486">
        <v>1.3475455963494185E-3</v>
      </c>
      <c r="N1486">
        <v>0.13764833672800211</v>
      </c>
      <c r="O1486">
        <v>1.7608287273216928E-2</v>
      </c>
      <c r="P1486">
        <v>1.9803536503506407E-2</v>
      </c>
      <c r="Q1486">
        <v>2.1436840659714322E-3</v>
      </c>
      <c r="R1486">
        <v>1.339203095726021E-3</v>
      </c>
      <c r="S1486">
        <v>0.1483523309909677</v>
      </c>
      <c r="T1486">
        <v>1.0709639400658864</v>
      </c>
      <c r="U1486">
        <v>2.2997884738926225E-2</v>
      </c>
      <c r="V1486">
        <v>0.20491332484670638</v>
      </c>
      <c r="W1486">
        <v>8.2026566078065619E-2</v>
      </c>
      <c r="X1486">
        <v>1.6348170924983481E-2</v>
      </c>
      <c r="Y1486">
        <v>3.6448693583843702E-3</v>
      </c>
    </row>
    <row r="1487" spans="1:25" x14ac:dyDescent="0.25">
      <c r="A1487" s="827"/>
      <c r="B1487" s="1066">
        <v>1237</v>
      </c>
      <c r="C1487" s="831">
        <v>0.99345366453968387</v>
      </c>
      <c r="D1487" s="831">
        <v>1.0197589954023416</v>
      </c>
      <c r="E1487" s="831">
        <v>1.0299635918105932</v>
      </c>
      <c r="F1487" s="831">
        <v>1.0393002743384641</v>
      </c>
      <c r="G1487" s="831">
        <v>0.96063306195761444</v>
      </c>
      <c r="H1487" s="831">
        <v>1.0108006842192259</v>
      </c>
      <c r="I1487" s="831">
        <v>0.98900313812665108</v>
      </c>
      <c r="K1487">
        <v>1.7401869960273748</v>
      </c>
      <c r="L1487">
        <v>0</v>
      </c>
      <c r="M1487">
        <v>1.3116869154631578E-3</v>
      </c>
      <c r="N1487">
        <v>0.14503397491471293</v>
      </c>
      <c r="O1487">
        <v>1.779546671445878E-2</v>
      </c>
      <c r="P1487">
        <v>2.0200855167020446E-2</v>
      </c>
      <c r="Q1487">
        <v>2.2261371647754693E-3</v>
      </c>
      <c r="R1487">
        <v>1.3036827862150195E-3</v>
      </c>
      <c r="S1487">
        <v>0.15158902024266593</v>
      </c>
      <c r="T1487">
        <v>1.0687201315209913</v>
      </c>
      <c r="U1487">
        <v>2.3476211051181389E-2</v>
      </c>
      <c r="V1487">
        <v>0.20509461021412873</v>
      </c>
      <c r="W1487">
        <v>8.4952066187816505E-2</v>
      </c>
      <c r="X1487">
        <v>1.7558332193709027E-2</v>
      </c>
      <c r="Y1487">
        <v>3.5481947851623082E-3</v>
      </c>
    </row>
    <row r="1488" spans="1:25" x14ac:dyDescent="0.25">
      <c r="A1488" s="827"/>
      <c r="B1488" s="1066">
        <v>1238</v>
      </c>
      <c r="C1488" s="831">
        <v>0.99486881301358043</v>
      </c>
      <c r="D1488" s="831">
        <v>1.0289626685258473</v>
      </c>
      <c r="E1488" s="831">
        <v>1.012548395831437</v>
      </c>
      <c r="F1488" s="831">
        <v>1.0128719294494224</v>
      </c>
      <c r="G1488" s="831">
        <v>1.0142498322868607</v>
      </c>
      <c r="H1488" s="831">
        <v>1.0022073853772713</v>
      </c>
      <c r="I1488" s="831">
        <v>0.99143290999993539</v>
      </c>
      <c r="K1488">
        <v>1.7324493042563585</v>
      </c>
      <c r="L1488">
        <v>0</v>
      </c>
      <c r="M1488">
        <v>1.3419086803888149E-3</v>
      </c>
      <c r="N1488">
        <v>0.14055437414305605</v>
      </c>
      <c r="O1488">
        <v>1.769818238289014E-2</v>
      </c>
      <c r="P1488">
        <v>1.9938213694913855E-2</v>
      </c>
      <c r="Q1488">
        <v>2.1775749762874713E-3</v>
      </c>
      <c r="R1488">
        <v>1.3336439509202169E-3</v>
      </c>
      <c r="S1488">
        <v>0.15057476837032674</v>
      </c>
      <c r="T1488">
        <v>1.070251524223365</v>
      </c>
      <c r="U1488">
        <v>2.3442817377756917E-2</v>
      </c>
      <c r="V1488">
        <v>0.20412960322057674</v>
      </c>
      <c r="W1488">
        <v>8.3300522054681553E-2</v>
      </c>
      <c r="X1488">
        <v>1.6760249343178983E-2</v>
      </c>
      <c r="Y1488">
        <v>3.6297391987945653E-3</v>
      </c>
    </row>
    <row r="1489" spans="1:25" x14ac:dyDescent="0.25">
      <c r="A1489" s="827"/>
      <c r="B1489" s="1066">
        <v>1239</v>
      </c>
      <c r="C1489" s="831">
        <v>1.0232553713699382</v>
      </c>
      <c r="D1489" s="831">
        <v>1.0310824839835535</v>
      </c>
      <c r="E1489" s="831">
        <v>0.97417664567488826</v>
      </c>
      <c r="F1489" s="831">
        <v>0.95938044779109277</v>
      </c>
      <c r="G1489" s="831">
        <v>0.98331130394944977</v>
      </c>
      <c r="H1489" s="831">
        <v>1.0219352430023567</v>
      </c>
      <c r="I1489" s="831">
        <v>0.98969595115597264</v>
      </c>
      <c r="K1489">
        <v>1.7178643233507636</v>
      </c>
      <c r="L1489">
        <v>0</v>
      </c>
      <c r="M1489">
        <v>1.4408722406252224E-3</v>
      </c>
      <c r="N1489">
        <v>0.13394524831477492</v>
      </c>
      <c r="O1489">
        <v>1.7191231840596236E-2</v>
      </c>
      <c r="P1489">
        <v>1.9324386146423022E-2</v>
      </c>
      <c r="Q1489">
        <v>2.0352157039967328E-3</v>
      </c>
      <c r="R1489">
        <v>1.4321678764478343E-3</v>
      </c>
      <c r="S1489">
        <v>0.14736768324558039</v>
      </c>
      <c r="T1489">
        <v>1.0736661531565257</v>
      </c>
      <c r="U1489">
        <v>2.2792480304382752E-2</v>
      </c>
      <c r="V1489">
        <v>0.20102042690191968</v>
      </c>
      <c r="W1489">
        <v>8.1505477526452319E-2</v>
      </c>
      <c r="X1489">
        <v>1.5126835728611438E-2</v>
      </c>
      <c r="Y1489">
        <v>3.8978888456774165E-3</v>
      </c>
    </row>
    <row r="1490" spans="1:25" x14ac:dyDescent="0.25">
      <c r="A1490" s="827"/>
      <c r="B1490" s="1066">
        <v>1240</v>
      </c>
      <c r="C1490" s="831">
        <v>1.0040003153001715</v>
      </c>
      <c r="D1490" s="831">
        <v>1.0215350750944434</v>
      </c>
      <c r="E1490" s="831">
        <v>1.0066631865796212</v>
      </c>
      <c r="F1490" s="831">
        <v>0.96117161000651219</v>
      </c>
      <c r="G1490" s="831">
        <v>1.0189159635192522</v>
      </c>
      <c r="H1490" s="831">
        <v>1.0241530277556339</v>
      </c>
      <c r="I1490" s="831">
        <v>0.99778296680724665</v>
      </c>
      <c r="K1490">
        <v>1.7363907224771462</v>
      </c>
      <c r="L1490">
        <v>0</v>
      </c>
      <c r="M1490">
        <v>1.3802957715571542E-3</v>
      </c>
      <c r="N1490">
        <v>0.14197330193134811</v>
      </c>
      <c r="O1490">
        <v>1.759469114566101E-2</v>
      </c>
      <c r="P1490">
        <v>1.9873312726358446E-2</v>
      </c>
      <c r="Q1490">
        <v>2.1508792823305618E-3</v>
      </c>
      <c r="R1490">
        <v>1.3719816256880736E-3</v>
      </c>
      <c r="S1490">
        <v>0.1521626068659083</v>
      </c>
      <c r="T1490">
        <v>1.0707716315802405</v>
      </c>
      <c r="U1490">
        <v>2.3229602165344223E-2</v>
      </c>
      <c r="V1490">
        <v>0.2038198278721724</v>
      </c>
      <c r="W1490">
        <v>8.4478701128408953E-2</v>
      </c>
      <c r="X1490">
        <v>1.6610400213742327E-2</v>
      </c>
      <c r="Y1490">
        <v>3.7340817115015783E-3</v>
      </c>
    </row>
    <row r="1491" spans="1:25" x14ac:dyDescent="0.25">
      <c r="A1491" s="827"/>
      <c r="B1491" s="1066">
        <v>1241</v>
      </c>
      <c r="C1491" s="831">
        <v>1.0171657326287944</v>
      </c>
      <c r="D1491" s="831">
        <v>1.0040628399197153</v>
      </c>
      <c r="E1491" s="831">
        <v>0.9640851383032365</v>
      </c>
      <c r="F1491" s="831">
        <v>0.99378460439076122</v>
      </c>
      <c r="G1491" s="831">
        <v>1.0326311070554171</v>
      </c>
      <c r="H1491" s="831">
        <v>0.97050250888275802</v>
      </c>
      <c r="I1491" s="831">
        <v>0.98537033781645222</v>
      </c>
      <c r="K1491">
        <v>1.7111062732656697</v>
      </c>
      <c r="L1491">
        <v>0</v>
      </c>
      <c r="M1491">
        <v>1.4229287198167164E-3</v>
      </c>
      <c r="N1491">
        <v>0.12814001048940141</v>
      </c>
      <c r="O1491">
        <v>1.7503000619169436E-2</v>
      </c>
      <c r="P1491">
        <v>1.9206091933575749E-2</v>
      </c>
      <c r="Q1491">
        <v>2.0464335868899297E-3</v>
      </c>
      <c r="R1491">
        <v>1.4138965824114366E-3</v>
      </c>
      <c r="S1491">
        <v>0.14566616210420968</v>
      </c>
      <c r="T1491">
        <v>1.0745733722107726</v>
      </c>
      <c r="U1491">
        <v>2.2928935914924821E-2</v>
      </c>
      <c r="V1491">
        <v>0.20399841566218188</v>
      </c>
      <c r="W1491">
        <v>7.852513338136112E-2</v>
      </c>
      <c r="X1491">
        <v>1.4679589094147329E-2</v>
      </c>
      <c r="Y1491">
        <v>3.8481604064408027E-3</v>
      </c>
    </row>
    <row r="1492" spans="1:25" x14ac:dyDescent="0.25">
      <c r="A1492" s="827"/>
      <c r="B1492" s="1066">
        <v>1242</v>
      </c>
      <c r="C1492" s="831">
        <v>0.99060357264395038</v>
      </c>
      <c r="D1492" s="831">
        <v>1.0181167421623767</v>
      </c>
      <c r="E1492" s="831">
        <v>1.0235999507445301</v>
      </c>
      <c r="F1492" s="831">
        <v>1.0003419503584579</v>
      </c>
      <c r="G1492" s="831">
        <v>0.95728715508442896</v>
      </c>
      <c r="H1492" s="831">
        <v>0.99576705051478864</v>
      </c>
      <c r="I1492" s="831">
        <v>0.99919242307907707</v>
      </c>
      <c r="K1492">
        <v>1.7382944006757541</v>
      </c>
      <c r="L1492">
        <v>0</v>
      </c>
      <c r="M1492">
        <v>1.3144074128329508E-3</v>
      </c>
      <c r="N1492">
        <v>0.14247823306739923</v>
      </c>
      <c r="O1492">
        <v>1.7859671656233329E-2</v>
      </c>
      <c r="P1492">
        <v>2.0136619023749698E-2</v>
      </c>
      <c r="Q1492">
        <v>2.2198412386185925E-3</v>
      </c>
      <c r="R1492">
        <v>1.3062666477186998E-3</v>
      </c>
      <c r="S1492">
        <v>0.15261426365811639</v>
      </c>
      <c r="T1492">
        <v>1.0692783812031217</v>
      </c>
      <c r="U1492">
        <v>2.3543755082625729E-2</v>
      </c>
      <c r="V1492">
        <v>0.20554864640930895</v>
      </c>
      <c r="W1492">
        <v>8.3812510008482999E-2</v>
      </c>
      <c r="X1492">
        <v>1.7255392888804216E-2</v>
      </c>
      <c r="Y1492">
        <v>3.5552272044056098E-3</v>
      </c>
    </row>
    <row r="1493" spans="1:25" x14ac:dyDescent="0.25">
      <c r="A1493" s="827"/>
      <c r="B1493" s="1066">
        <v>1243</v>
      </c>
      <c r="C1493" s="831">
        <v>0.95274308201289948</v>
      </c>
      <c r="D1493" s="831">
        <v>1.0192933541605882</v>
      </c>
      <c r="E1493" s="831">
        <v>0.99212449887924581</v>
      </c>
      <c r="F1493" s="831">
        <v>1.0076354224135322</v>
      </c>
      <c r="G1493" s="831">
        <v>1.036194142973921</v>
      </c>
      <c r="H1493" s="831">
        <v>1.0280452994790792</v>
      </c>
      <c r="I1493" s="831">
        <v>0.98122766358520608</v>
      </c>
      <c r="K1493">
        <v>1.7628949120737734</v>
      </c>
      <c r="L1493">
        <v>0</v>
      </c>
      <c r="M1493">
        <v>1.5069679030640694E-3</v>
      </c>
      <c r="N1493">
        <v>0.14815089965767594</v>
      </c>
      <c r="O1493">
        <v>1.8559695100822452E-2</v>
      </c>
      <c r="P1493">
        <v>1.9853633096220253E-2</v>
      </c>
      <c r="Q1493">
        <v>2.2355218769507909E-3</v>
      </c>
      <c r="R1493">
        <v>1.4979267215019614E-3</v>
      </c>
      <c r="S1493">
        <v>0.15811735839209634</v>
      </c>
      <c r="T1493">
        <v>1.072062100893036</v>
      </c>
      <c r="U1493">
        <v>2.4479346361695645E-2</v>
      </c>
      <c r="V1493">
        <v>0.2096911581667712</v>
      </c>
      <c r="W1493">
        <v>8.9036286767391781E-2</v>
      </c>
      <c r="X1493">
        <v>1.6641090198157699E-2</v>
      </c>
      <c r="Y1493">
        <v>4.0768627445173043E-3</v>
      </c>
    </row>
    <row r="1494" spans="1:25" x14ac:dyDescent="0.25">
      <c r="A1494" s="827"/>
      <c r="B1494" s="1066">
        <v>1244</v>
      </c>
      <c r="C1494" s="831">
        <v>1.000038619530571</v>
      </c>
      <c r="D1494" s="831">
        <v>0.95689281058403541</v>
      </c>
      <c r="E1494" s="831">
        <v>0.98447643338974866</v>
      </c>
      <c r="F1494" s="831">
        <v>0.98557137884090773</v>
      </c>
      <c r="G1494" s="831">
        <v>1.012401265955839</v>
      </c>
      <c r="H1494" s="831">
        <v>0.97732402607208435</v>
      </c>
      <c r="I1494" s="831">
        <v>1.0158252879100418</v>
      </c>
      <c r="K1494">
        <v>1.7422382699753294</v>
      </c>
      <c r="L1494">
        <v>0</v>
      </c>
      <c r="M1494">
        <v>1.4272611957321052E-3</v>
      </c>
      <c r="N1494">
        <v>0.13697439203655035</v>
      </c>
      <c r="O1494">
        <v>1.8195993882450835E-2</v>
      </c>
      <c r="P1494">
        <v>1.9717388424385297E-2</v>
      </c>
      <c r="Q1494">
        <v>2.1635124771082342E-3</v>
      </c>
      <c r="R1494">
        <v>1.4183003659234395E-3</v>
      </c>
      <c r="S1494">
        <v>0.15633295991561386</v>
      </c>
      <c r="T1494">
        <v>1.0727441497476942</v>
      </c>
      <c r="U1494">
        <v>2.3321627228007465E-2</v>
      </c>
      <c r="V1494">
        <v>0.21031693545177962</v>
      </c>
      <c r="W1494">
        <v>8.2754862132342871E-2</v>
      </c>
      <c r="X1494">
        <v>1.5865263455751184E-2</v>
      </c>
      <c r="Y1494">
        <v>3.86014605345363E-3</v>
      </c>
    </row>
    <row r="1495" spans="1:25" x14ac:dyDescent="0.25">
      <c r="A1495" s="827"/>
      <c r="B1495" s="1066">
        <v>1245</v>
      </c>
      <c r="C1495" s="831">
        <v>1.0349705975080317</v>
      </c>
      <c r="D1495" s="831">
        <v>1.0200435847095544</v>
      </c>
      <c r="E1495" s="831">
        <v>1.0104526979789887</v>
      </c>
      <c r="F1495" s="831">
        <v>1.0189232101352641</v>
      </c>
      <c r="G1495" s="831">
        <v>0.97899589224525385</v>
      </c>
      <c r="H1495" s="831">
        <v>0.973494629043547</v>
      </c>
      <c r="I1495" s="831">
        <v>1.0287228362745655</v>
      </c>
      <c r="K1495">
        <v>1.7104867054844382</v>
      </c>
      <c r="L1495">
        <v>0</v>
      </c>
      <c r="M1495">
        <v>1.2634634702777998E-3</v>
      </c>
      <c r="N1495">
        <v>0.1314551113928461</v>
      </c>
      <c r="O1495">
        <v>1.7079463381057584E-2</v>
      </c>
      <c r="P1495">
        <v>1.98256922047708E-2</v>
      </c>
      <c r="Q1495">
        <v>2.0955770842636589E-3</v>
      </c>
      <c r="R1495">
        <v>1.2554579726448674E-3</v>
      </c>
      <c r="S1495">
        <v>0.14869631717424445</v>
      </c>
      <c r="T1495">
        <v>1.0704365820685675</v>
      </c>
      <c r="U1495">
        <v>2.2534483544226692E-2</v>
      </c>
      <c r="V1495">
        <v>0.20079286380393369</v>
      </c>
      <c r="W1495">
        <v>7.801868463856193E-2</v>
      </c>
      <c r="X1495">
        <v>1.6142992949666535E-2</v>
      </c>
      <c r="Y1495">
        <v>3.416942739929874E-3</v>
      </c>
    </row>
    <row r="1496" spans="1:25" x14ac:dyDescent="0.25">
      <c r="A1496" s="827"/>
      <c r="B1496" s="1066">
        <v>1246</v>
      </c>
      <c r="C1496" s="831">
        <v>1.0125850033164361</v>
      </c>
      <c r="D1496" s="831">
        <v>1.0003186465025145</v>
      </c>
      <c r="E1496" s="831">
        <v>1.0000315208495958</v>
      </c>
      <c r="F1496" s="831">
        <v>1.0187902606432722</v>
      </c>
      <c r="G1496" s="831">
        <v>1.0216322196313194</v>
      </c>
      <c r="H1496" s="831">
        <v>1.0007578634264762</v>
      </c>
      <c r="I1496" s="831">
        <v>0.98075822119655609</v>
      </c>
      <c r="K1496">
        <v>1.7269359860524995</v>
      </c>
      <c r="L1496">
        <v>0</v>
      </c>
      <c r="M1496">
        <v>1.3690711055275348E-3</v>
      </c>
      <c r="N1496">
        <v>0.13792579606221911</v>
      </c>
      <c r="O1496">
        <v>1.7611952175874454E-2</v>
      </c>
      <c r="P1496">
        <v>1.9737128518141092E-2</v>
      </c>
      <c r="Q1496">
        <v>2.1350563226162338E-3</v>
      </c>
      <c r="R1496">
        <v>1.3606461228473749E-3</v>
      </c>
      <c r="S1496">
        <v>0.1479693276955352</v>
      </c>
      <c r="T1496">
        <v>1.0713592757621635</v>
      </c>
      <c r="U1496">
        <v>2.3032661773497342E-2</v>
      </c>
      <c r="V1496">
        <v>0.20481206778087285</v>
      </c>
      <c r="W1496">
        <v>8.2442685008978722E-2</v>
      </c>
      <c r="X1496">
        <v>1.6215229725765331E-2</v>
      </c>
      <c r="Y1496">
        <v>3.7032302095167066E-3</v>
      </c>
    </row>
    <row r="1497" spans="1:25" x14ac:dyDescent="0.25">
      <c r="A1497" s="827"/>
      <c r="B1497" s="1066">
        <v>1247</v>
      </c>
      <c r="C1497" s="831">
        <v>0.96456570967658972</v>
      </c>
      <c r="D1497" s="831">
        <v>0.97021316586127315</v>
      </c>
      <c r="E1497" s="831">
        <v>0.96941340544315846</v>
      </c>
      <c r="F1497" s="831">
        <v>0.9563576236776945</v>
      </c>
      <c r="G1497" s="831">
        <v>0.99719094532346619</v>
      </c>
      <c r="H1497" s="831">
        <v>1.0159756887564528</v>
      </c>
      <c r="I1497" s="831">
        <v>1.0198325517017572</v>
      </c>
      <c r="K1497">
        <v>1.7695027703081356</v>
      </c>
      <c r="L1497">
        <v>0</v>
      </c>
      <c r="M1497">
        <v>1.5777251257990529E-3</v>
      </c>
      <c r="N1497">
        <v>0.14450456036824041</v>
      </c>
      <c r="O1497">
        <v>1.874688852244831E-2</v>
      </c>
      <c r="P1497">
        <v>1.9670704085228256E-2</v>
      </c>
      <c r="Q1497">
        <v>2.1976288971204965E-3</v>
      </c>
      <c r="R1497">
        <v>1.5681855242381617E-3</v>
      </c>
      <c r="S1497">
        <v>0.16476138598089954</v>
      </c>
      <c r="T1497">
        <v>1.0740938894604315</v>
      </c>
      <c r="U1497">
        <v>2.4179304389872022E-2</v>
      </c>
      <c r="V1497">
        <v>0.21305579196009555</v>
      </c>
      <c r="W1497">
        <v>8.8223596102233057E-2</v>
      </c>
      <c r="X1497">
        <v>1.5810476098369351E-2</v>
      </c>
      <c r="Y1497">
        <v>4.2680840447571452E-3</v>
      </c>
    </row>
    <row r="1498" spans="1:25" x14ac:dyDescent="0.25">
      <c r="A1498" s="827"/>
      <c r="B1498" s="1066">
        <v>1248</v>
      </c>
      <c r="C1498" s="831">
        <v>1.0008895200970007</v>
      </c>
      <c r="D1498" s="831">
        <v>1.0011736306027141</v>
      </c>
      <c r="E1498" s="831">
        <v>1.0031004129192675</v>
      </c>
      <c r="F1498" s="831">
        <v>0.99728034974018342</v>
      </c>
      <c r="G1498" s="831">
        <v>0.99409374688000873</v>
      </c>
      <c r="H1498" s="831">
        <v>1.0235756834828849</v>
      </c>
      <c r="I1498" s="831">
        <v>0.98970528562312143</v>
      </c>
      <c r="K1498">
        <v>1.7417246705275629</v>
      </c>
      <c r="L1498">
        <v>0</v>
      </c>
      <c r="M1498">
        <v>1.4069768964610667E-3</v>
      </c>
      <c r="N1498">
        <v>0.14312392471182672</v>
      </c>
      <c r="O1498">
        <v>1.7810856073456203E-2</v>
      </c>
      <c r="P1498">
        <v>1.9861957679891649E-2</v>
      </c>
      <c r="Q1498">
        <v>2.1659856812973398E-3</v>
      </c>
      <c r="R1498">
        <v>1.3985110722774781E-3</v>
      </c>
      <c r="S1498">
        <v>0.15262928701269532</v>
      </c>
      <c r="T1498">
        <v>1.0710871290772304</v>
      </c>
      <c r="U1498">
        <v>2.330180047848129E-2</v>
      </c>
      <c r="V1498">
        <v>0.20597651172433445</v>
      </c>
      <c r="W1498">
        <v>8.5370515326639945E-2</v>
      </c>
      <c r="X1498">
        <v>1.6598882466202843E-2</v>
      </c>
      <c r="Y1498">
        <v>3.8062861196882197E-3</v>
      </c>
    </row>
    <row r="1499" spans="1:25" x14ac:dyDescent="0.25">
      <c r="A1499" s="827"/>
      <c r="B1499" s="1066">
        <v>1249</v>
      </c>
      <c r="C1499" s="831">
        <v>1.0016224933119746</v>
      </c>
      <c r="D1499" s="831">
        <v>0.99761539467682159</v>
      </c>
      <c r="E1499" s="831">
        <v>1.0240406550844936</v>
      </c>
      <c r="F1499" s="831">
        <v>0.98318184779868845</v>
      </c>
      <c r="G1499" s="831">
        <v>0.97408029210204816</v>
      </c>
      <c r="H1499" s="831">
        <v>1.027801062561901</v>
      </c>
      <c r="I1499" s="831">
        <v>1.0109447087715631</v>
      </c>
      <c r="K1499">
        <v>1.7497087844234063</v>
      </c>
      <c r="L1499">
        <v>0</v>
      </c>
      <c r="M1499">
        <v>1.3529015249539721E-3</v>
      </c>
      <c r="N1499">
        <v>0.14688173122993353</v>
      </c>
      <c r="O1499">
        <v>1.7826550705167712E-2</v>
      </c>
      <c r="P1499">
        <v>2.0199988500142638E-2</v>
      </c>
      <c r="Q1499">
        <v>2.21301545409548E-3</v>
      </c>
      <c r="R1499">
        <v>1.3447968919825155E-3</v>
      </c>
      <c r="S1499">
        <v>0.15632784934355909</v>
      </c>
      <c r="T1499">
        <v>1.0692396709790111</v>
      </c>
      <c r="U1499">
        <v>2.3284748549510594E-2</v>
      </c>
      <c r="V1499">
        <v>0.20622753260490037</v>
      </c>
      <c r="W1499">
        <v>8.6377235753487436E-2</v>
      </c>
      <c r="X1499">
        <v>1.7478472108768819E-2</v>
      </c>
      <c r="Y1499">
        <v>3.6600938278001085E-3</v>
      </c>
    </row>
    <row r="1500" spans="1:25" x14ac:dyDescent="0.25">
      <c r="A1500" s="827"/>
      <c r="B1500" s="1066">
        <v>1250</v>
      </c>
      <c r="C1500" s="831">
        <v>1.0327358851123258</v>
      </c>
      <c r="D1500" s="831">
        <v>0.97676770538556767</v>
      </c>
      <c r="E1500" s="831">
        <v>1.0014389470570255</v>
      </c>
      <c r="F1500" s="831">
        <v>1.0377484003020458</v>
      </c>
      <c r="G1500" s="831">
        <v>1.0256463205313104</v>
      </c>
      <c r="H1500" s="831">
        <v>1.0027709208491216</v>
      </c>
      <c r="I1500" s="831">
        <v>1.0242053382686453</v>
      </c>
      <c r="K1500">
        <v>1.7302285289379022</v>
      </c>
      <c r="L1500">
        <v>0</v>
      </c>
      <c r="M1500">
        <v>1.3556313675363034E-3</v>
      </c>
      <c r="N1500">
        <v>0.13717446093602365</v>
      </c>
      <c r="O1500">
        <v>1.7455930465333187E-2</v>
      </c>
      <c r="P1500">
        <v>1.9822028699296716E-2</v>
      </c>
      <c r="Q1500">
        <v>2.1149766534253726E-3</v>
      </c>
      <c r="R1500">
        <v>1.3473220810217112E-3</v>
      </c>
      <c r="S1500">
        <v>0.15316220805802297</v>
      </c>
      <c r="T1500">
        <v>1.0712344222843904</v>
      </c>
      <c r="U1500">
        <v>2.258324537233113E-2</v>
      </c>
      <c r="V1500">
        <v>0.2048902637252614</v>
      </c>
      <c r="W1500">
        <v>8.191470496972568E-2</v>
      </c>
      <c r="X1500">
        <v>1.6217630500666456E-2</v>
      </c>
      <c r="Y1500">
        <v>3.6669665599364555E-3</v>
      </c>
    </row>
    <row r="1501" spans="1:25" x14ac:dyDescent="0.25">
      <c r="A1501" s="827"/>
      <c r="B1501" s="1066">
        <v>1251</v>
      </c>
      <c r="C1501" s="831">
        <v>0.96037898249247688</v>
      </c>
      <c r="D1501" s="831">
        <v>0.99300781254597537</v>
      </c>
      <c r="E1501" s="831">
        <v>0.97188429200254245</v>
      </c>
      <c r="F1501" s="831">
        <v>1.0389606519384356</v>
      </c>
      <c r="G1501" s="831">
        <v>1.0036679684795309</v>
      </c>
      <c r="H1501" s="831">
        <v>1.0076985710601278</v>
      </c>
      <c r="I1501" s="831">
        <v>1.0104762270759451</v>
      </c>
      <c r="K1501">
        <v>1.7614633643366107</v>
      </c>
      <c r="L1501">
        <v>0</v>
      </c>
      <c r="M1501">
        <v>1.5471952691454779E-3</v>
      </c>
      <c r="N1501">
        <v>0.14279543655979379</v>
      </c>
      <c r="O1501">
        <v>1.8631161091924427E-2</v>
      </c>
      <c r="P1501">
        <v>1.9642714467063855E-2</v>
      </c>
      <c r="Q1501">
        <v>2.1937969099309089E-3</v>
      </c>
      <c r="R1501">
        <v>1.5377453843209829E-3</v>
      </c>
      <c r="S1501">
        <v>0.1617566406467581</v>
      </c>
      <c r="T1501">
        <v>1.0738718990435359</v>
      </c>
      <c r="U1501">
        <v>2.4284712934652217E-2</v>
      </c>
      <c r="V1501">
        <v>0.21129147994410868</v>
      </c>
      <c r="W1501">
        <v>8.7029805322966003E-2</v>
      </c>
      <c r="X1501">
        <v>1.578993128220765E-2</v>
      </c>
      <c r="Y1501">
        <v>4.1852360184920102E-3</v>
      </c>
    </row>
    <row r="1502" spans="1:25" x14ac:dyDescent="0.25">
      <c r="A1502" s="827"/>
      <c r="B1502" s="1066">
        <v>1252</v>
      </c>
      <c r="C1502" s="831">
        <v>0.97532577960462497</v>
      </c>
      <c r="D1502" s="831">
        <v>0.98725693569718254</v>
      </c>
      <c r="E1502" s="831">
        <v>1.001230431418471</v>
      </c>
      <c r="F1502" s="831">
        <v>0.98016598182788062</v>
      </c>
      <c r="G1502" s="831">
        <v>1.0258693009856623</v>
      </c>
      <c r="H1502" s="831">
        <v>0.99755839059232165</v>
      </c>
      <c r="I1502" s="831">
        <v>1.0134940752370225</v>
      </c>
      <c r="K1502">
        <v>1.7554818022082463</v>
      </c>
      <c r="L1502">
        <v>0</v>
      </c>
      <c r="M1502">
        <v>1.4216906328531694E-3</v>
      </c>
      <c r="N1502">
        <v>0.14376020612983512</v>
      </c>
      <c r="O1502">
        <v>1.8394025911635921E-2</v>
      </c>
      <c r="P1502">
        <v>1.9993732469926154E-2</v>
      </c>
      <c r="Q1502">
        <v>2.230141177753222E-3</v>
      </c>
      <c r="R1502">
        <v>1.4129232046350604E-3</v>
      </c>
      <c r="S1502">
        <v>0.15937886110398242</v>
      </c>
      <c r="T1502">
        <v>1.0712529150915664</v>
      </c>
      <c r="U1502">
        <v>2.3912551463325046E-2</v>
      </c>
      <c r="V1502">
        <v>0.21012078211180304</v>
      </c>
      <c r="W1502">
        <v>8.5859667293309155E-2</v>
      </c>
      <c r="X1502">
        <v>1.6742175690318196E-2</v>
      </c>
      <c r="Y1502">
        <v>3.845511193007405E-3</v>
      </c>
    </row>
    <row r="1503" spans="1:25" x14ac:dyDescent="0.25">
      <c r="A1503" s="827"/>
      <c r="B1503" s="1066">
        <v>1253</v>
      </c>
      <c r="C1503" s="831">
        <v>1.0445992145969487</v>
      </c>
      <c r="D1503" s="831">
        <v>1.0340088640952663</v>
      </c>
      <c r="E1503" s="831">
        <v>0.96950137061341812</v>
      </c>
      <c r="F1503" s="831">
        <v>1.0288811685516581</v>
      </c>
      <c r="G1503" s="831">
        <v>1.0360405937958606</v>
      </c>
      <c r="H1503" s="831">
        <v>1.0139195950224724</v>
      </c>
      <c r="I1503" s="831">
        <v>1.0263105577593898</v>
      </c>
      <c r="K1503">
        <v>1.7090270130642413</v>
      </c>
      <c r="L1503">
        <v>0</v>
      </c>
      <c r="M1503">
        <v>1.4123493213221336E-3</v>
      </c>
      <c r="N1503">
        <v>0.12938750633677495</v>
      </c>
      <c r="O1503">
        <v>1.6818447078446604E-2</v>
      </c>
      <c r="P1503">
        <v>1.9244812732930695E-2</v>
      </c>
      <c r="Q1503">
        <v>1.9820535602330267E-3</v>
      </c>
      <c r="R1503">
        <v>1.4037478619502955E-3</v>
      </c>
      <c r="S1503">
        <v>0.14896477016440768</v>
      </c>
      <c r="T1503">
        <v>1.0740859825289644</v>
      </c>
      <c r="U1503">
        <v>2.2326771428123313E-2</v>
      </c>
      <c r="V1503">
        <v>0.19868036839328421</v>
      </c>
      <c r="W1503">
        <v>7.8989404594214288E-2</v>
      </c>
      <c r="X1503">
        <v>1.4734958771361715E-2</v>
      </c>
      <c r="Y1503">
        <v>3.8205389348703782E-3</v>
      </c>
    </row>
    <row r="1504" spans="1:25" x14ac:dyDescent="0.25">
      <c r="A1504" s="827"/>
      <c r="B1504" s="1066">
        <v>1254</v>
      </c>
      <c r="C1504" s="831">
        <v>1.0342540496169339</v>
      </c>
      <c r="D1504" s="831">
        <v>1.027999877637046</v>
      </c>
      <c r="E1504" s="831">
        <v>1.0011032334051289</v>
      </c>
      <c r="F1504" s="831">
        <v>0.99021762026908189</v>
      </c>
      <c r="G1504" s="831">
        <v>1.0041428843037066</v>
      </c>
      <c r="H1504" s="831">
        <v>0.98087232786983591</v>
      </c>
      <c r="I1504" s="831">
        <v>1.0073334667385097</v>
      </c>
      <c r="K1504">
        <v>1.7068110701892141</v>
      </c>
      <c r="L1504">
        <v>0</v>
      </c>
      <c r="M1504">
        <v>1.2947277585871157E-3</v>
      </c>
      <c r="N1504">
        <v>0.13085349921961489</v>
      </c>
      <c r="O1504">
        <v>1.7031417787227943E-2</v>
      </c>
      <c r="P1504">
        <v>1.9651486195299234E-2</v>
      </c>
      <c r="Q1504">
        <v>2.0714999010607357E-3</v>
      </c>
      <c r="R1504">
        <v>1.2865807790340424E-3</v>
      </c>
      <c r="S1504">
        <v>0.14574751324076893</v>
      </c>
      <c r="T1504">
        <v>1.0712641968181</v>
      </c>
      <c r="U1504">
        <v>2.2550095797972774E-2</v>
      </c>
      <c r="V1504">
        <v>0.20018587635213483</v>
      </c>
      <c r="W1504">
        <v>7.8158033347271866E-2</v>
      </c>
      <c r="X1504">
        <v>1.5803949750026657E-2</v>
      </c>
      <c r="Y1504">
        <v>3.5016487592908407E-3</v>
      </c>
    </row>
    <row r="1505" spans="1:25" x14ac:dyDescent="0.25">
      <c r="A1505" s="827"/>
      <c r="B1505" s="1066">
        <v>1255</v>
      </c>
      <c r="C1505" s="831">
        <v>0.96495284793895542</v>
      </c>
      <c r="D1505" s="831">
        <v>1.0181017038333744</v>
      </c>
      <c r="E1505" s="831">
        <v>0.98286902754689343</v>
      </c>
      <c r="F1505" s="831">
        <v>0.97297207681976705</v>
      </c>
      <c r="G1505" s="831">
        <v>1.0124016268163978</v>
      </c>
      <c r="H1505" s="831">
        <v>0.98550394556184928</v>
      </c>
      <c r="I1505" s="831">
        <v>1.0362702556157688</v>
      </c>
      <c r="K1505">
        <v>1.7502903276961379</v>
      </c>
      <c r="L1505">
        <v>0</v>
      </c>
      <c r="M1505">
        <v>1.4551162148630436E-3</v>
      </c>
      <c r="N1505">
        <v>0.13895303718663668</v>
      </c>
      <c r="O1505">
        <v>1.8334546302477314E-2</v>
      </c>
      <c r="P1505">
        <v>1.9753161377932534E-2</v>
      </c>
      <c r="Q1505">
        <v>2.1876028924540324E-3</v>
      </c>
      <c r="R1505">
        <v>1.4460101283653986E-3</v>
      </c>
      <c r="S1505">
        <v>0.16170100796391584</v>
      </c>
      <c r="T1505">
        <v>1.072887776951728</v>
      </c>
      <c r="U1505">
        <v>2.4169603673503608E-2</v>
      </c>
      <c r="V1505">
        <v>0.20839297558332273</v>
      </c>
      <c r="W1505">
        <v>8.4043732380037026E-2</v>
      </c>
      <c r="X1505">
        <v>1.5940426578329094E-2</v>
      </c>
      <c r="Y1505">
        <v>3.9355628922999094E-3</v>
      </c>
    </row>
    <row r="1506" spans="1:25" x14ac:dyDescent="0.25">
      <c r="A1506" s="827"/>
      <c r="B1506" s="1066">
        <v>1256</v>
      </c>
      <c r="C1506" s="831">
        <v>0.99100539209280325</v>
      </c>
      <c r="D1506" s="831">
        <v>0.95581884955753216</v>
      </c>
      <c r="E1506" s="831">
        <v>0.99620419567499729</v>
      </c>
      <c r="F1506" s="831">
        <v>1.0349475560520187</v>
      </c>
      <c r="G1506" s="831">
        <v>0.96973561934367047</v>
      </c>
      <c r="H1506" s="831">
        <v>0.98159916377749634</v>
      </c>
      <c r="I1506" s="831">
        <v>0.96723061762639895</v>
      </c>
      <c r="K1506">
        <v>1.7426724337018451</v>
      </c>
      <c r="L1506">
        <v>0</v>
      </c>
      <c r="M1506">
        <v>1.412055113625987E-3</v>
      </c>
      <c r="N1506">
        <v>0.14055844834066369</v>
      </c>
      <c r="O1506">
        <v>1.8371246308594665E-2</v>
      </c>
      <c r="P1506">
        <v>1.9818064255327211E-2</v>
      </c>
      <c r="Q1506">
        <v>2.2101842644655641E-3</v>
      </c>
      <c r="R1506">
        <v>1.4032291907067976E-3</v>
      </c>
      <c r="S1506">
        <v>0.1505872897481596</v>
      </c>
      <c r="T1506">
        <v>1.0716991777178813</v>
      </c>
      <c r="U1506">
        <v>2.3534208879581079E-2</v>
      </c>
      <c r="V1506">
        <v>0.21144358646102523</v>
      </c>
      <c r="W1506">
        <v>8.4236907547379544E-2</v>
      </c>
      <c r="X1506">
        <v>1.6403018818959267E-2</v>
      </c>
      <c r="Y1506">
        <v>3.8191272827255069E-3</v>
      </c>
    </row>
    <row r="1507" spans="1:25" x14ac:dyDescent="0.25">
      <c r="A1507" s="827"/>
      <c r="B1507" s="1066">
        <v>1257</v>
      </c>
      <c r="C1507" s="831">
        <v>1.0022424465223425</v>
      </c>
      <c r="D1507" s="831">
        <v>1.0069561856282603</v>
      </c>
      <c r="E1507" s="831">
        <v>1.012869819672698</v>
      </c>
      <c r="F1507" s="831">
        <v>1.0324199922921526</v>
      </c>
      <c r="G1507" s="831">
        <v>0.99338901456274842</v>
      </c>
      <c r="H1507" s="831">
        <v>1.015910983232817</v>
      </c>
      <c r="I1507" s="831">
        <v>1.0140160219619194</v>
      </c>
      <c r="K1507">
        <v>1.7420914484413612</v>
      </c>
      <c r="L1507">
        <v>0</v>
      </c>
      <c r="M1507">
        <v>1.362570076368697E-3</v>
      </c>
      <c r="N1507">
        <v>0.14287461078310473</v>
      </c>
      <c r="O1507">
        <v>1.774049535447236E-2</v>
      </c>
      <c r="P1507">
        <v>2.0020621879438202E-2</v>
      </c>
      <c r="Q1507">
        <v>2.1796517498373115E-3</v>
      </c>
      <c r="R1507">
        <v>1.3543057253328989E-3</v>
      </c>
      <c r="S1507">
        <v>0.1552392395151441</v>
      </c>
      <c r="T1507">
        <v>1.0702231560089122</v>
      </c>
      <c r="U1507">
        <v>2.3270345393202489E-2</v>
      </c>
      <c r="V1507">
        <v>0.2053035741260518</v>
      </c>
      <c r="W1507">
        <v>8.4657169776586313E-2</v>
      </c>
      <c r="X1507">
        <v>1.6904874468053326E-2</v>
      </c>
      <c r="Y1507">
        <v>3.6859737375937807E-3</v>
      </c>
    </row>
    <row r="1508" spans="1:25" x14ac:dyDescent="0.25">
      <c r="A1508" s="827"/>
      <c r="B1508" s="1066">
        <v>1258</v>
      </c>
      <c r="C1508" s="831">
        <v>0.99497759327280966</v>
      </c>
      <c r="D1508" s="831">
        <v>1.0199877596026734</v>
      </c>
      <c r="E1508" s="831">
        <v>1.0072321833811428</v>
      </c>
      <c r="F1508" s="831">
        <v>0.99036755738422733</v>
      </c>
      <c r="G1508" s="831">
        <v>0.98189527083113692</v>
      </c>
      <c r="H1508" s="831">
        <v>1.0086969159665113</v>
      </c>
      <c r="I1508" s="831">
        <v>0.99144595703467631</v>
      </c>
      <c r="K1508">
        <v>1.7360954126507071</v>
      </c>
      <c r="L1508">
        <v>0</v>
      </c>
      <c r="M1508">
        <v>1.3710861261841253E-3</v>
      </c>
      <c r="N1508">
        <v>0.14126275032293356</v>
      </c>
      <c r="O1508">
        <v>1.7766409759784812E-2</v>
      </c>
      <c r="P1508">
        <v>1.9890695495384175E-2</v>
      </c>
      <c r="Q1508">
        <v>2.1728418883229079E-3</v>
      </c>
      <c r="R1508">
        <v>1.3627019319580095E-3</v>
      </c>
      <c r="S1508">
        <v>0.15156744241781595</v>
      </c>
      <c r="T1508">
        <v>1.0707212891120454</v>
      </c>
      <c r="U1508">
        <v>2.3440254389636764E-2</v>
      </c>
      <c r="V1508">
        <v>0.20491013247617554</v>
      </c>
      <c r="W1508">
        <v>8.4023338937524672E-2</v>
      </c>
      <c r="X1508">
        <v>1.6639816601089322E-2</v>
      </c>
      <c r="Y1508">
        <v>3.708825444218561E-3</v>
      </c>
    </row>
    <row r="1509" spans="1:25" x14ac:dyDescent="0.25">
      <c r="A1509" s="827"/>
      <c r="B1509" s="1066">
        <v>1259</v>
      </c>
      <c r="C1509" s="831">
        <v>0.97681529303879078</v>
      </c>
      <c r="D1509" s="831">
        <v>1.0282508989934809</v>
      </c>
      <c r="E1509" s="831">
        <v>0.96716527388066853</v>
      </c>
      <c r="F1509" s="831">
        <v>0.96266261317918711</v>
      </c>
      <c r="G1509" s="831">
        <v>0.99221490599854678</v>
      </c>
      <c r="H1509" s="831">
        <v>1.0194776035033473</v>
      </c>
      <c r="I1509" s="831">
        <v>0.98628307388563929</v>
      </c>
      <c r="K1509">
        <v>1.7413899342407024</v>
      </c>
      <c r="L1509">
        <v>0</v>
      </c>
      <c r="M1509">
        <v>1.5299343690696307E-3</v>
      </c>
      <c r="N1509">
        <v>0.1391473369056013</v>
      </c>
      <c r="O1509">
        <v>1.8030912599638783E-2</v>
      </c>
      <c r="P1509">
        <v>1.9398060535861159E-2</v>
      </c>
      <c r="Q1509">
        <v>2.1189158289038022E-3</v>
      </c>
      <c r="R1509">
        <v>1.5206717399971605E-3</v>
      </c>
      <c r="S1509">
        <v>0.15384093089806822</v>
      </c>
      <c r="T1509">
        <v>1.0742960657967096</v>
      </c>
      <c r="U1509">
        <v>2.3876088002009823E-2</v>
      </c>
      <c r="V1509">
        <v>0.20614741675114692</v>
      </c>
      <c r="W1509">
        <v>8.5086602953074866E-2</v>
      </c>
      <c r="X1509">
        <v>1.5318099411792017E-2</v>
      </c>
      <c r="Y1509">
        <v>4.1387671869679045E-3</v>
      </c>
    </row>
    <row r="1510" spans="1:25" x14ac:dyDescent="0.25">
      <c r="A1510" s="827"/>
      <c r="B1510" s="1066">
        <v>1260</v>
      </c>
      <c r="C1510" s="831">
        <v>1.0074568348585797</v>
      </c>
      <c r="D1510" s="831">
        <v>1.0085624422060855</v>
      </c>
      <c r="E1510" s="831">
        <v>1.0310237852953199</v>
      </c>
      <c r="F1510" s="831">
        <v>1.0222783020087129</v>
      </c>
      <c r="G1510" s="831">
        <v>1.0263579932741485</v>
      </c>
      <c r="H1510" s="831">
        <v>1.0096713410956337</v>
      </c>
      <c r="I1510" s="831">
        <v>0.98313516771653608</v>
      </c>
      <c r="K1510">
        <v>1.7344221270007103</v>
      </c>
      <c r="L1510">
        <v>0</v>
      </c>
      <c r="M1510">
        <v>1.2955601755818239E-3</v>
      </c>
      <c r="N1510">
        <v>0.14372284067296531</v>
      </c>
      <c r="O1510">
        <v>1.7635948479170112E-2</v>
      </c>
      <c r="P1510">
        <v>2.0170395516367921E-2</v>
      </c>
      <c r="Q1510">
        <v>2.2065123051779219E-3</v>
      </c>
      <c r="R1510">
        <v>1.2876526740136591E-3</v>
      </c>
      <c r="S1510">
        <v>0.14919811345923689</v>
      </c>
      <c r="T1510">
        <v>1.0686272754366786</v>
      </c>
      <c r="U1510">
        <v>2.3149902895419905E-2</v>
      </c>
      <c r="V1510">
        <v>0.20460851375818168</v>
      </c>
      <c r="W1510">
        <v>8.412431652405436E-2</v>
      </c>
      <c r="X1510">
        <v>1.7481649350948762E-2</v>
      </c>
      <c r="Y1510">
        <v>3.5045661040752712E-3</v>
      </c>
    </row>
    <row r="1511" spans="1:25" x14ac:dyDescent="0.25">
      <c r="A1511" s="827"/>
      <c r="B1511" s="1066">
        <v>1261</v>
      </c>
      <c r="C1511" s="831">
        <v>1.0362080516264713</v>
      </c>
      <c r="D1511" s="831">
        <v>1.0179517346690881</v>
      </c>
      <c r="E1511" s="831">
        <v>0.99269852873617304</v>
      </c>
      <c r="F1511" s="831">
        <v>1.0225753816956942</v>
      </c>
      <c r="G1511" s="831">
        <v>1.0383713864553037</v>
      </c>
      <c r="H1511" s="831">
        <v>0.9626788271250738</v>
      </c>
      <c r="I1511" s="831">
        <v>0.9608481886479141</v>
      </c>
      <c r="K1511">
        <v>1.6953004769074751</v>
      </c>
      <c r="L1511">
        <v>0</v>
      </c>
      <c r="M1511">
        <v>1.2966891535158367E-3</v>
      </c>
      <c r="N1511">
        <v>0.12765401272300239</v>
      </c>
      <c r="O1511">
        <v>1.7074901852747983E-2</v>
      </c>
      <c r="P1511">
        <v>1.9443304222545903E-2</v>
      </c>
      <c r="Q1511">
        <v>2.0576500597872093E-3</v>
      </c>
      <c r="R1511">
        <v>1.2883822005094804E-3</v>
      </c>
      <c r="S1511">
        <v>0.13812322796253759</v>
      </c>
      <c r="T1511">
        <v>1.0720109982065993</v>
      </c>
      <c r="U1511">
        <v>2.2507572549446304E-2</v>
      </c>
      <c r="V1511">
        <v>0.20084722218614334</v>
      </c>
      <c r="W1511">
        <v>7.6687703140349742E-2</v>
      </c>
      <c r="X1511">
        <v>1.539563932261115E-2</v>
      </c>
      <c r="Y1511">
        <v>3.5065516347085523E-3</v>
      </c>
    </row>
    <row r="1512" spans="1:25" x14ac:dyDescent="0.25">
      <c r="A1512" s="827"/>
      <c r="B1512" s="1066">
        <v>1262</v>
      </c>
      <c r="C1512" s="831">
        <v>1.0361054375370311</v>
      </c>
      <c r="D1512" s="831">
        <v>0.99230026116521264</v>
      </c>
      <c r="E1512" s="831">
        <v>0.98738832568672497</v>
      </c>
      <c r="F1512" s="831">
        <v>1.0067926026401994</v>
      </c>
      <c r="G1512" s="831">
        <v>0.98977281545430285</v>
      </c>
      <c r="H1512" s="831">
        <v>1.0021943343043496</v>
      </c>
      <c r="I1512" s="831">
        <v>0.9962222053471339</v>
      </c>
      <c r="K1512">
        <v>1.7181778375146659</v>
      </c>
      <c r="L1512">
        <v>0</v>
      </c>
      <c r="M1512">
        <v>1.3810541578903621E-3</v>
      </c>
      <c r="N1512">
        <v>0.13376581854440223</v>
      </c>
      <c r="O1512">
        <v>1.7275035829032455E-2</v>
      </c>
      <c r="P1512">
        <v>1.9529394298528756E-2</v>
      </c>
      <c r="Q1512">
        <v>2.0663083295375064E-3</v>
      </c>
      <c r="R1512">
        <v>1.3725731888539043E-3</v>
      </c>
      <c r="S1512">
        <v>0.14748177646772548</v>
      </c>
      <c r="T1512">
        <v>1.0724842097459275</v>
      </c>
      <c r="U1512">
        <v>2.2509801660479771E-2</v>
      </c>
      <c r="V1512">
        <v>0.20312091795436399</v>
      </c>
      <c r="W1512">
        <v>8.0653910134032961E-2</v>
      </c>
      <c r="X1512">
        <v>1.5563453768240906E-2</v>
      </c>
      <c r="Y1512">
        <v>3.7356917514302264E-3</v>
      </c>
    </row>
    <row r="1513" spans="1:25" x14ac:dyDescent="0.25">
      <c r="A1513" s="827"/>
      <c r="B1513" s="1066">
        <v>1263</v>
      </c>
      <c r="C1513" s="831">
        <v>1.0115761805413548</v>
      </c>
      <c r="D1513" s="831">
        <v>1.0222710942025246</v>
      </c>
      <c r="E1513" s="831">
        <v>0.96852403073377058</v>
      </c>
      <c r="F1513" s="831">
        <v>1.0000462380126005</v>
      </c>
      <c r="G1513" s="831">
        <v>1.0356386473267627</v>
      </c>
      <c r="H1513" s="831">
        <v>0.96889044809159508</v>
      </c>
      <c r="I1513" s="831">
        <v>1.0076432791652432</v>
      </c>
      <c r="K1513">
        <v>1.7126352643153298</v>
      </c>
      <c r="L1513">
        <v>0</v>
      </c>
      <c r="M1513">
        <v>1.4037507186445779E-3</v>
      </c>
      <c r="N1513">
        <v>0.12817269239749049</v>
      </c>
      <c r="O1513">
        <v>1.7457239741993882E-2</v>
      </c>
      <c r="P1513">
        <v>1.9292938771145681E-2</v>
      </c>
      <c r="Q1513">
        <v>2.0533856730361078E-3</v>
      </c>
      <c r="R1513">
        <v>1.3948125026922509E-3</v>
      </c>
      <c r="S1513">
        <v>0.14855738990912556</v>
      </c>
      <c r="T1513">
        <v>1.0741738490316743</v>
      </c>
      <c r="U1513">
        <v>2.3055631742754091E-2</v>
      </c>
      <c r="V1513">
        <v>0.20296517662047031</v>
      </c>
      <c r="W1513">
        <v>7.8301271214396451E-2</v>
      </c>
      <c r="X1513">
        <v>1.481840759668311E-2</v>
      </c>
      <c r="Y1513">
        <v>3.7962198325103688E-3</v>
      </c>
    </row>
    <row r="1514" spans="1:25" x14ac:dyDescent="0.25">
      <c r="A1514" s="827"/>
      <c r="B1514" s="1066">
        <v>1264</v>
      </c>
      <c r="C1514" s="831">
        <v>0.9932432192609314</v>
      </c>
      <c r="D1514" s="831">
        <v>1.0009742196092588</v>
      </c>
      <c r="E1514" s="831">
        <v>1.0087586889546289</v>
      </c>
      <c r="F1514" s="831">
        <v>1.0212515808095239</v>
      </c>
      <c r="G1514" s="831">
        <v>0.97378413024929666</v>
      </c>
      <c r="H1514" s="831">
        <v>0.96965963698751589</v>
      </c>
      <c r="I1514" s="831">
        <v>1.0074089776321975</v>
      </c>
      <c r="K1514">
        <v>1.7327900183180047</v>
      </c>
      <c r="L1514">
        <v>0</v>
      </c>
      <c r="M1514">
        <v>1.3273218302084207E-3</v>
      </c>
      <c r="N1514">
        <v>0.13737164742799821</v>
      </c>
      <c r="O1514">
        <v>1.7949588984007076E-2</v>
      </c>
      <c r="P1514">
        <v>1.9953006158784869E-2</v>
      </c>
      <c r="Q1514">
        <v>2.1952309055601332E-3</v>
      </c>
      <c r="R1514">
        <v>1.3188913538611392E-3</v>
      </c>
      <c r="S1514">
        <v>0.15264452983512386</v>
      </c>
      <c r="T1514">
        <v>1.0705862907105215</v>
      </c>
      <c r="U1514">
        <v>2.3481185117636524E-2</v>
      </c>
      <c r="V1514">
        <v>0.20682425972303226</v>
      </c>
      <c r="W1514">
        <v>8.1624077822853761E-2</v>
      </c>
      <c r="X1514">
        <v>1.6579044616040775E-2</v>
      </c>
      <c r="Y1514">
        <v>3.5895874927920689E-3</v>
      </c>
    </row>
    <row r="1515" spans="1:25" x14ac:dyDescent="0.25">
      <c r="A1515" s="827"/>
      <c r="B1515" s="1066">
        <v>1265</v>
      </c>
      <c r="C1515" s="831">
        <v>1.0221246275405176</v>
      </c>
      <c r="D1515" s="831">
        <v>1.0239517072330677</v>
      </c>
      <c r="E1515" s="831">
        <v>1.0019825213692233</v>
      </c>
      <c r="F1515" s="831">
        <v>1.0245691512586061</v>
      </c>
      <c r="G1515" s="831">
        <v>1.0124824547472033</v>
      </c>
      <c r="H1515" s="831">
        <v>0.98965146816918359</v>
      </c>
      <c r="I1515" s="831">
        <v>1.0386554148448097</v>
      </c>
      <c r="K1515">
        <v>1.7213775532916105</v>
      </c>
      <c r="L1515">
        <v>0</v>
      </c>
      <c r="M1515">
        <v>1.3217224010476565E-3</v>
      </c>
      <c r="N1515">
        <v>0.13395542151386572</v>
      </c>
      <c r="O1515">
        <v>1.7264262947528204E-2</v>
      </c>
      <c r="P1515">
        <v>1.978660167298954E-2</v>
      </c>
      <c r="Q1515">
        <v>2.1010051328694004E-3</v>
      </c>
      <c r="R1515">
        <v>1.313481951231497E-3</v>
      </c>
      <c r="S1515">
        <v>0.15294466980198554</v>
      </c>
      <c r="T1515">
        <v>1.0711862215557435</v>
      </c>
      <c r="U1515">
        <v>2.2817694897365768E-2</v>
      </c>
      <c r="V1515">
        <v>0.20174202016824819</v>
      </c>
      <c r="W1515">
        <v>7.9962721663262529E-2</v>
      </c>
      <c r="X1515">
        <v>1.6050309505524878E-2</v>
      </c>
      <c r="Y1515">
        <v>3.5748648820432801E-3</v>
      </c>
    </row>
    <row r="1516" spans="1:25" x14ac:dyDescent="0.25">
      <c r="A1516" s="827"/>
      <c r="B1516" s="1066">
        <v>1266</v>
      </c>
      <c r="C1516" s="831">
        <v>0.98583898148142268</v>
      </c>
      <c r="D1516" s="831">
        <v>1.0143048361556291</v>
      </c>
      <c r="E1516" s="831">
        <v>1.0087497850006129</v>
      </c>
      <c r="F1516" s="831">
        <v>1.0023541511995671</v>
      </c>
      <c r="G1516" s="831">
        <v>1.0207740579415976</v>
      </c>
      <c r="H1516" s="831">
        <v>1.0064805957396177</v>
      </c>
      <c r="I1516" s="831">
        <v>1.0390386446712729</v>
      </c>
      <c r="K1516">
        <v>1.7496892298729005</v>
      </c>
      <c r="L1516">
        <v>0</v>
      </c>
      <c r="M1516">
        <v>1.3798210281988821E-3</v>
      </c>
      <c r="N1516">
        <v>0.14283356662580671</v>
      </c>
      <c r="O1516">
        <v>1.79764485890688E-2</v>
      </c>
      <c r="P1516">
        <v>2.0057809465406275E-2</v>
      </c>
      <c r="Q1516">
        <v>2.2008721459051794E-3</v>
      </c>
      <c r="R1516">
        <v>1.3713686534735365E-3</v>
      </c>
      <c r="S1516">
        <v>0.16052070758536843</v>
      </c>
      <c r="T1516">
        <v>1.0705870778872482</v>
      </c>
      <c r="U1516">
        <v>2.3657542799997999E-2</v>
      </c>
      <c r="V1516">
        <v>0.20640988447728884</v>
      </c>
      <c r="W1516">
        <v>8.4869978441247079E-2</v>
      </c>
      <c r="X1516">
        <v>1.6851380827086697E-2</v>
      </c>
      <c r="Y1516">
        <v>3.7324134031998459E-3</v>
      </c>
    </row>
    <row r="1517" spans="1:25" x14ac:dyDescent="0.25">
      <c r="A1517" s="827"/>
      <c r="B1517" s="1066">
        <v>1267</v>
      </c>
      <c r="C1517" s="831">
        <v>0.95359015473735009</v>
      </c>
      <c r="D1517" s="831">
        <v>1.0113581243917138</v>
      </c>
      <c r="E1517" s="831">
        <v>0.99790247020735612</v>
      </c>
      <c r="F1517" s="831">
        <v>0.99922738429087454</v>
      </c>
      <c r="G1517" s="831">
        <v>0.98584105585746495</v>
      </c>
      <c r="H1517" s="831">
        <v>1.0040544476253126</v>
      </c>
      <c r="I1517" s="831">
        <v>0.99474937387634099</v>
      </c>
      <c r="K1517">
        <v>1.75998332698751</v>
      </c>
      <c r="L1517">
        <v>0</v>
      </c>
      <c r="M1517">
        <v>1.4578594907758424E-3</v>
      </c>
      <c r="N1517">
        <v>0.14590317396938154</v>
      </c>
      <c r="O1517">
        <v>1.8608852846340611E-2</v>
      </c>
      <c r="P1517">
        <v>1.9951781287915516E-2</v>
      </c>
      <c r="Q1517">
        <v>2.2531028187773609E-3</v>
      </c>
      <c r="R1517">
        <v>1.4489096037417762E-3</v>
      </c>
      <c r="S1517">
        <v>0.15888664530213345</v>
      </c>
      <c r="T1517">
        <v>1.0715482869883211</v>
      </c>
      <c r="U1517">
        <v>2.4457601394518375E-2</v>
      </c>
      <c r="V1517">
        <v>0.21033520987119142</v>
      </c>
      <c r="W1517">
        <v>8.7338252402693273E-2</v>
      </c>
      <c r="X1517">
        <v>1.6765915684805986E-2</v>
      </c>
      <c r="Y1517">
        <v>3.9434543084626078E-3</v>
      </c>
    </row>
    <row r="1518" spans="1:25" x14ac:dyDescent="0.25">
      <c r="A1518" s="827"/>
      <c r="B1518" s="1066">
        <v>1268</v>
      </c>
      <c r="C1518" s="831">
        <v>1.0154932293161454</v>
      </c>
      <c r="D1518" s="831">
        <v>0.96985946735911455</v>
      </c>
      <c r="E1518" s="831">
        <v>0.98614023112097104</v>
      </c>
      <c r="F1518" s="831">
        <v>0.99051682230172733</v>
      </c>
      <c r="G1518" s="831">
        <v>1.0225981780821771</v>
      </c>
      <c r="H1518" s="831">
        <v>0.99314290165887109</v>
      </c>
      <c r="I1518" s="831">
        <v>0.99550374795411289</v>
      </c>
      <c r="K1518">
        <v>1.7320718576165386</v>
      </c>
      <c r="L1518">
        <v>0</v>
      </c>
      <c r="M1518">
        <v>1.4146259081532582E-3</v>
      </c>
      <c r="N1518">
        <v>0.13647989569483934</v>
      </c>
      <c r="O1518">
        <v>1.7809674044299388E-2</v>
      </c>
      <c r="P1518">
        <v>1.9625512623137862E-2</v>
      </c>
      <c r="Q1518">
        <v>2.1235407983124488E-3</v>
      </c>
      <c r="R1518">
        <v>1.4058760912751152E-3</v>
      </c>
      <c r="S1518">
        <v>0.15115908930759608</v>
      </c>
      <c r="T1518">
        <v>1.0725955860971976</v>
      </c>
      <c r="U1518">
        <v>2.2966699555455519E-2</v>
      </c>
      <c r="V1518">
        <v>0.20735402887679885</v>
      </c>
      <c r="W1518">
        <v>8.2361319121185037E-2</v>
      </c>
      <c r="X1518">
        <v>1.5778930041070099E-2</v>
      </c>
      <c r="Y1518">
        <v>3.8263312735219292E-3</v>
      </c>
    </row>
    <row r="1519" spans="1:25" x14ac:dyDescent="0.25">
      <c r="A1519" s="827"/>
      <c r="B1519" s="1066">
        <v>1269</v>
      </c>
      <c r="C1519" s="831">
        <v>0.96448383088300638</v>
      </c>
      <c r="D1519" s="831">
        <v>1.0231759576796118</v>
      </c>
      <c r="E1519" s="831">
        <v>1.0183793658581455</v>
      </c>
      <c r="F1519" s="831">
        <v>1.0227531939178782</v>
      </c>
      <c r="G1519" s="831">
        <v>1.0225155895624893</v>
      </c>
      <c r="H1519" s="831">
        <v>0.98255921892300524</v>
      </c>
      <c r="I1519" s="831">
        <v>0.99927068844448896</v>
      </c>
      <c r="K1519">
        <v>1.7468726914575579</v>
      </c>
      <c r="L1519">
        <v>0</v>
      </c>
      <c r="M1519">
        <v>1.343860635107504E-3</v>
      </c>
      <c r="N1519">
        <v>0.14331527817098841</v>
      </c>
      <c r="O1519">
        <v>1.8302298253082286E-2</v>
      </c>
      <c r="P1519">
        <v>2.0148064776109524E-2</v>
      </c>
      <c r="Q1519">
        <v>2.2639970846923493E-3</v>
      </c>
      <c r="R1519">
        <v>1.3354221992213776E-3</v>
      </c>
      <c r="S1519">
        <v>0.15546591532085158</v>
      </c>
      <c r="T1519">
        <v>1.0697375026166225</v>
      </c>
      <c r="U1519">
        <v>2.4181357065313245E-2</v>
      </c>
      <c r="V1519">
        <v>0.20798323643616573</v>
      </c>
      <c r="W1519">
        <v>8.460220316931201E-2</v>
      </c>
      <c r="X1519">
        <v>1.7246697995834358E-2</v>
      </c>
      <c r="Y1519">
        <v>3.634579004470929E-3</v>
      </c>
    </row>
    <row r="1520" spans="1:25" x14ac:dyDescent="0.25">
      <c r="A1520" s="827"/>
      <c r="B1520" s="1066">
        <v>1270</v>
      </c>
      <c r="C1520" s="831">
        <v>1.0053038338630047</v>
      </c>
      <c r="D1520" s="831">
        <v>0.99112842945008728</v>
      </c>
      <c r="E1520" s="831">
        <v>1.0044634568482551</v>
      </c>
      <c r="F1520" s="831">
        <v>1.0296648722644139</v>
      </c>
      <c r="G1520" s="831">
        <v>0.98428215518580342</v>
      </c>
      <c r="H1520" s="831">
        <v>0.97501803028247713</v>
      </c>
      <c r="I1520" s="831">
        <v>1.0304819907855252</v>
      </c>
      <c r="K1520">
        <v>1.7336391712133463</v>
      </c>
      <c r="L1520">
        <v>0</v>
      </c>
      <c r="M1520">
        <v>1.3366063859070914E-3</v>
      </c>
      <c r="N1520">
        <v>0.13650270940643014</v>
      </c>
      <c r="O1520">
        <v>1.7813868745542173E-2</v>
      </c>
      <c r="P1520">
        <v>1.9921836646208991E-2</v>
      </c>
      <c r="Q1520">
        <v>2.167519859659804E-3</v>
      </c>
      <c r="R1520">
        <v>1.3281704046970144E-3</v>
      </c>
      <c r="S1520">
        <v>0.15529712474517052</v>
      </c>
      <c r="T1520">
        <v>1.0709663695861509</v>
      </c>
      <c r="U1520">
        <v>2.3199481701649805E-2</v>
      </c>
      <c r="V1520">
        <v>0.20643327857210195</v>
      </c>
      <c r="W1520">
        <v>8.1345392773891675E-2</v>
      </c>
      <c r="X1520">
        <v>1.6385183147420924E-2</v>
      </c>
      <c r="Y1520">
        <v>3.614842010329035E-3</v>
      </c>
    </row>
    <row r="1521" spans="1:25" x14ac:dyDescent="0.25">
      <c r="A1521" s="827"/>
      <c r="B1521" s="1066">
        <v>1271</v>
      </c>
      <c r="C1521" s="831">
        <v>0.99978930927594756</v>
      </c>
      <c r="D1521" s="831">
        <v>0.96464567143782809</v>
      </c>
      <c r="E1521" s="831">
        <v>0.95429725322087466</v>
      </c>
      <c r="F1521" s="831">
        <v>1.0269833314330241</v>
      </c>
      <c r="G1521" s="831">
        <v>1.0334201675957324</v>
      </c>
      <c r="H1521" s="831">
        <v>1.0020888409932334</v>
      </c>
      <c r="I1521" s="831">
        <v>1.0318193936421438</v>
      </c>
      <c r="K1521">
        <v>1.746615857185315</v>
      </c>
      <c r="L1521">
        <v>0</v>
      </c>
      <c r="M1521">
        <v>1.5536541197425583E-3</v>
      </c>
      <c r="N1521">
        <v>0.13573358796573126</v>
      </c>
      <c r="O1521">
        <v>1.8133811180170361E-2</v>
      </c>
      <c r="P1521">
        <v>1.9342551058505447E-2</v>
      </c>
      <c r="Q1521">
        <v>2.0920175838545526E-3</v>
      </c>
      <c r="R1521">
        <v>1.5441344233610788E-3</v>
      </c>
      <c r="S1521">
        <v>0.16016572339313326</v>
      </c>
      <c r="T1521">
        <v>1.0754569359573249</v>
      </c>
      <c r="U1521">
        <v>2.3327442774111584E-2</v>
      </c>
      <c r="V1521">
        <v>0.2095748177092556</v>
      </c>
      <c r="W1521">
        <v>8.375377764382802E-2</v>
      </c>
      <c r="X1521">
        <v>1.4842086739165813E-2</v>
      </c>
      <c r="Y1521">
        <v>4.2026248766129978E-3</v>
      </c>
    </row>
    <row r="1522" spans="1:25" x14ac:dyDescent="0.25">
      <c r="A1522" s="827"/>
      <c r="B1522" s="1066">
        <v>1272</v>
      </c>
      <c r="C1522" s="831">
        <v>0.98776959193867409</v>
      </c>
      <c r="D1522" s="831">
        <v>1.0019354623251218</v>
      </c>
      <c r="E1522" s="831">
        <v>0.95669211435071244</v>
      </c>
      <c r="F1522" s="831">
        <v>1.0125000851662858</v>
      </c>
      <c r="G1522" s="831">
        <v>0.98329596993323698</v>
      </c>
      <c r="H1522" s="831">
        <v>1.0148364861765962</v>
      </c>
      <c r="I1522" s="831">
        <v>1.0042139819557927</v>
      </c>
      <c r="K1522">
        <v>1.7425456086497841</v>
      </c>
      <c r="L1522">
        <v>0</v>
      </c>
      <c r="M1522">
        <v>1.5575943112496192E-3</v>
      </c>
      <c r="N1522">
        <v>0.13710686711015388</v>
      </c>
      <c r="O1522">
        <v>1.8041210594978166E-2</v>
      </c>
      <c r="P1522">
        <v>1.9298014255469145E-2</v>
      </c>
      <c r="Q1522">
        <v>2.0930332771802573E-3</v>
      </c>
      <c r="R1522">
        <v>1.5481409248749608E-3</v>
      </c>
      <c r="S1522">
        <v>0.15623693988203347</v>
      </c>
      <c r="T1522">
        <v>1.0752404183930104</v>
      </c>
      <c r="U1522">
        <v>2.3611303778372613E-2</v>
      </c>
      <c r="V1522">
        <v>0.2073348117885267</v>
      </c>
      <c r="W1522">
        <v>8.4458238253346724E-2</v>
      </c>
      <c r="X1522">
        <v>1.4920695450094779E-2</v>
      </c>
      <c r="Y1522">
        <v>4.2135292529909161E-3</v>
      </c>
    </row>
    <row r="1523" spans="1:25" x14ac:dyDescent="0.25">
      <c r="A1523" s="827"/>
      <c r="B1523" s="1066">
        <v>1273</v>
      </c>
      <c r="C1523" s="831">
        <v>0.98628053855750442</v>
      </c>
      <c r="D1523" s="831">
        <v>1.0252530095824099</v>
      </c>
      <c r="E1523" s="831">
        <v>0.96196921337386854</v>
      </c>
      <c r="F1523" s="831">
        <v>0.95849299274376043</v>
      </c>
      <c r="G1523" s="831">
        <v>0.96167289067296757</v>
      </c>
      <c r="H1523" s="831">
        <v>1.0038259524970288</v>
      </c>
      <c r="I1523" s="831">
        <v>0.95654212234219671</v>
      </c>
      <c r="K1523">
        <v>1.7269503067951861</v>
      </c>
      <c r="L1523">
        <v>0</v>
      </c>
      <c r="M1523">
        <v>1.5102996206730168E-3</v>
      </c>
      <c r="N1523">
        <v>0.13514049993783941</v>
      </c>
      <c r="O1523">
        <v>1.7881432077001425E-2</v>
      </c>
      <c r="P1523">
        <v>1.9221059388402916E-2</v>
      </c>
      <c r="Q1523">
        <v>2.0896923534227639E-3</v>
      </c>
      <c r="R1523">
        <v>1.5010154739965649E-3</v>
      </c>
      <c r="S1523">
        <v>0.14687137260944808</v>
      </c>
      <c r="T1523">
        <v>1.0747640758730246</v>
      </c>
      <c r="U1523">
        <v>2.3646951335381527E-2</v>
      </c>
      <c r="V1523">
        <v>0.20537699339996401</v>
      </c>
      <c r="W1523">
        <v>8.2938227633749972E-2</v>
      </c>
      <c r="X1523">
        <v>1.4944017023025575E-2</v>
      </c>
      <c r="Y1523">
        <v>4.0852693106006302E-3</v>
      </c>
    </row>
    <row r="1524" spans="1:25" x14ac:dyDescent="0.25">
      <c r="A1524" s="827"/>
      <c r="B1524" s="1066">
        <v>1274</v>
      </c>
      <c r="C1524" s="831">
        <v>0.98285024721408309</v>
      </c>
      <c r="D1524" s="831">
        <v>1.037890058372853</v>
      </c>
      <c r="E1524" s="831">
        <v>1.0005232754681654</v>
      </c>
      <c r="F1524" s="831">
        <v>1.0185741945209605</v>
      </c>
      <c r="G1524" s="831">
        <v>0.99436156271689491</v>
      </c>
      <c r="H1524" s="831">
        <v>0.98752337203043883</v>
      </c>
      <c r="I1524" s="831">
        <v>0.98289827571903143</v>
      </c>
      <c r="K1524">
        <v>1.7293775032595911</v>
      </c>
      <c r="L1524">
        <v>0</v>
      </c>
      <c r="M1524">
        <v>1.3674434855892859E-3</v>
      </c>
      <c r="N1524">
        <v>0.13795871437218865</v>
      </c>
      <c r="O1524">
        <v>1.7844906122564782E-2</v>
      </c>
      <c r="P1524">
        <v>1.9772201160972391E-2</v>
      </c>
      <c r="Q1524">
        <v>2.1708526920736944E-3</v>
      </c>
      <c r="R1524">
        <v>1.358890344813235E-3</v>
      </c>
      <c r="S1524">
        <v>0.1495284439843991</v>
      </c>
      <c r="T1524">
        <v>1.0713156434668782</v>
      </c>
      <c r="U1524">
        <v>2.3729482659653963E-2</v>
      </c>
      <c r="V1524">
        <v>0.20463804419433965</v>
      </c>
      <c r="W1524">
        <v>8.2434624557317163E-2</v>
      </c>
      <c r="X1524">
        <v>1.6294691629478216E-2</v>
      </c>
      <c r="Y1524">
        <v>3.6984515604998503E-3</v>
      </c>
    </row>
    <row r="1525" spans="1:25" x14ac:dyDescent="0.25">
      <c r="A1525" s="827"/>
      <c r="B1525" s="1066">
        <v>1275</v>
      </c>
      <c r="C1525" s="831">
        <v>1.0152582939231962</v>
      </c>
      <c r="D1525" s="831">
        <v>0.97793034033049175</v>
      </c>
      <c r="E1525" s="831">
        <v>1.0010297986539582</v>
      </c>
      <c r="F1525" s="831">
        <v>1.014988473907694</v>
      </c>
      <c r="G1525" s="831">
        <v>0.97981890123134896</v>
      </c>
      <c r="H1525" s="831">
        <v>0.98530469610278371</v>
      </c>
      <c r="I1525" s="831">
        <v>0.98608924225062022</v>
      </c>
      <c r="K1525">
        <v>1.7279033268470732</v>
      </c>
      <c r="L1525">
        <v>0</v>
      </c>
      <c r="M1525">
        <v>1.3553861492280564E-3</v>
      </c>
      <c r="N1525">
        <v>0.13696013680874522</v>
      </c>
      <c r="O1525">
        <v>1.7746841727404022E-2</v>
      </c>
      <c r="P1525">
        <v>1.9784267196037698E-2</v>
      </c>
      <c r="Q1525">
        <v>2.1495523617058206E-3</v>
      </c>
      <c r="R1525">
        <v>1.3469302665080542E-3</v>
      </c>
      <c r="S1525">
        <v>0.14869631661546182</v>
      </c>
      <c r="T1525">
        <v>1.0712707103330097</v>
      </c>
      <c r="U1525">
        <v>2.2972014154328611E-2</v>
      </c>
      <c r="V1525">
        <v>0.20660899971976876</v>
      </c>
      <c r="W1525">
        <v>8.1809599960154758E-2</v>
      </c>
      <c r="X1525">
        <v>1.6247443683183972E-2</v>
      </c>
      <c r="Y1525">
        <v>3.6659001699919013E-3</v>
      </c>
    </row>
    <row r="1526" spans="1:25" x14ac:dyDescent="0.25">
      <c r="A1526" s="827"/>
      <c r="B1526" s="1066">
        <v>1276</v>
      </c>
      <c r="C1526" s="831">
        <v>0.96644174733236443</v>
      </c>
      <c r="D1526" s="831">
        <v>0.9991431496176113</v>
      </c>
      <c r="E1526" s="831">
        <v>1.0095251780416989</v>
      </c>
      <c r="F1526" s="831">
        <v>0.9971059009726011</v>
      </c>
      <c r="G1526" s="831">
        <v>1.0155350085572672</v>
      </c>
      <c r="H1526" s="831">
        <v>0.96739587023733287</v>
      </c>
      <c r="I1526" s="831">
        <v>1.0441568083301875</v>
      </c>
      <c r="K1526">
        <v>1.7535318910838651</v>
      </c>
      <c r="L1526">
        <v>0</v>
      </c>
      <c r="M1526">
        <v>1.3598745498168544E-3</v>
      </c>
      <c r="N1526">
        <v>0.14107451509069363</v>
      </c>
      <c r="O1526">
        <v>1.8462674801535656E-2</v>
      </c>
      <c r="P1526">
        <v>2.0152100678180469E-2</v>
      </c>
      <c r="Q1526">
        <v>2.2593736469401519E-3</v>
      </c>
      <c r="R1526">
        <v>1.3512183946490181E-3</v>
      </c>
      <c r="S1526">
        <v>0.16254804171412465</v>
      </c>
      <c r="T1526">
        <v>1.0705185385269171</v>
      </c>
      <c r="U1526">
        <v>2.4132368001154255E-2</v>
      </c>
      <c r="V1526">
        <v>0.20999857167996275</v>
      </c>
      <c r="W1526">
        <v>8.3780591717120073E-2</v>
      </c>
      <c r="X1526">
        <v>1.6936200341194786E-2</v>
      </c>
      <c r="Y1526">
        <v>3.6775710412105434E-3</v>
      </c>
    </row>
    <row r="1527" spans="1:25" x14ac:dyDescent="0.25">
      <c r="A1527" s="827"/>
      <c r="B1527" s="1066">
        <v>1277</v>
      </c>
      <c r="C1527" s="831">
        <v>0.97587358537367641</v>
      </c>
      <c r="D1527" s="831">
        <v>0.97658242595977685</v>
      </c>
      <c r="E1527" s="831">
        <v>0.98153832349488468</v>
      </c>
      <c r="F1527" s="831">
        <v>1.0030059251232184</v>
      </c>
      <c r="G1527" s="831">
        <v>1.0163476944766816</v>
      </c>
      <c r="H1527" s="831">
        <v>1.0392900183941103</v>
      </c>
      <c r="I1527" s="831">
        <v>0.99092818459007104</v>
      </c>
      <c r="K1527">
        <v>1.7651663850249935</v>
      </c>
      <c r="L1527">
        <v>0</v>
      </c>
      <c r="M1527">
        <v>1.5505527907621103E-3</v>
      </c>
      <c r="N1527">
        <v>0.14750505061033573</v>
      </c>
      <c r="O1527">
        <v>1.8474646250504913E-2</v>
      </c>
      <c r="P1527">
        <v>1.9738304940714591E-2</v>
      </c>
      <c r="Q1527">
        <v>2.1938313565174673E-3</v>
      </c>
      <c r="R1527">
        <v>1.5413828430228841E-3</v>
      </c>
      <c r="S1527">
        <v>0.15952352137534331</v>
      </c>
      <c r="T1527">
        <v>1.0730067534106054</v>
      </c>
      <c r="U1527">
        <v>2.3899128173832721E-2</v>
      </c>
      <c r="V1527">
        <v>0.21109860006044592</v>
      </c>
      <c r="W1527">
        <v>8.929858345679581E-2</v>
      </c>
      <c r="X1527">
        <v>1.6241999355646238E-2</v>
      </c>
      <c r="Y1527">
        <v>4.1951359819906477E-3</v>
      </c>
    </row>
    <row r="1528" spans="1:25" x14ac:dyDescent="0.25">
      <c r="A1528" s="827"/>
      <c r="B1528" s="1066">
        <v>1278</v>
      </c>
      <c r="C1528" s="831">
        <v>1.0068719546083029</v>
      </c>
      <c r="D1528" s="831">
        <v>0.98930124642557837</v>
      </c>
      <c r="E1528" s="831">
        <v>0.97434508379234464</v>
      </c>
      <c r="F1528" s="831">
        <v>0.97844347594476899</v>
      </c>
      <c r="G1528" s="831">
        <v>1.0208569263193696</v>
      </c>
      <c r="H1528" s="831">
        <v>0.99713293217645238</v>
      </c>
      <c r="I1528" s="831">
        <v>1.0030798091845499</v>
      </c>
      <c r="K1528">
        <v>1.7322230399543768</v>
      </c>
      <c r="L1528">
        <v>0</v>
      </c>
      <c r="M1528">
        <v>1.4552260589649345E-3</v>
      </c>
      <c r="N1528">
        <v>0.13533300122118347</v>
      </c>
      <c r="O1528">
        <v>1.7801014741900181E-2</v>
      </c>
      <c r="P1528">
        <v>1.9474652340223483E-2</v>
      </c>
      <c r="Q1528">
        <v>2.1006703405019905E-3</v>
      </c>
      <c r="R1528">
        <v>1.4462464692547978E-3</v>
      </c>
      <c r="S1528">
        <v>0.15263707033261548</v>
      </c>
      <c r="T1528">
        <v>1.0736510430845252</v>
      </c>
      <c r="U1528">
        <v>2.3163350405738727E-2</v>
      </c>
      <c r="V1528">
        <v>0.20643468881385033</v>
      </c>
      <c r="W1528">
        <v>8.2340259850895242E-2</v>
      </c>
      <c r="X1528">
        <v>1.5360062278360826E-2</v>
      </c>
      <c r="Y1528">
        <v>3.9362061342910993E-3</v>
      </c>
    </row>
    <row r="1529" spans="1:25" x14ac:dyDescent="0.25">
      <c r="A1529" s="827"/>
      <c r="B1529" s="1066">
        <v>1279</v>
      </c>
      <c r="C1529" s="831">
        <v>0.98297062938276047</v>
      </c>
      <c r="D1529" s="831">
        <v>0.98857757522442802</v>
      </c>
      <c r="E1529" s="831">
        <v>1.0394712045150485</v>
      </c>
      <c r="F1529" s="831">
        <v>0.98258649359505901</v>
      </c>
      <c r="G1529" s="831">
        <v>1.0048753145637455</v>
      </c>
      <c r="H1529" s="831">
        <v>0.98211185467662565</v>
      </c>
      <c r="I1529" s="831">
        <v>1.0332141683781433</v>
      </c>
      <c r="K1529">
        <v>1.753871360235574</v>
      </c>
      <c r="L1529">
        <v>0</v>
      </c>
      <c r="M1529">
        <v>1.2802381585353829E-3</v>
      </c>
      <c r="N1529">
        <v>0.14577146050584533</v>
      </c>
      <c r="O1529">
        <v>1.8239906362370394E-2</v>
      </c>
      <c r="P1529">
        <v>2.0506313936977418E-2</v>
      </c>
      <c r="Q1529">
        <v>2.29738529988328E-3</v>
      </c>
      <c r="R1529">
        <v>1.2722180017084442E-3</v>
      </c>
      <c r="S1529">
        <v>0.15995514660529883</v>
      </c>
      <c r="T1529">
        <v>1.0678889401874041</v>
      </c>
      <c r="U1529">
        <v>2.3726576564091384E-2</v>
      </c>
      <c r="V1529">
        <v>0.20912426066322226</v>
      </c>
      <c r="W1529">
        <v>8.4843530946542609E-2</v>
      </c>
      <c r="X1529">
        <v>1.806330130666688E-2</v>
      </c>
      <c r="Y1529">
        <v>3.4625580140988351E-3</v>
      </c>
    </row>
    <row r="1530" spans="1:25" x14ac:dyDescent="0.25">
      <c r="A1530" s="827"/>
      <c r="B1530" s="1066">
        <v>1280</v>
      </c>
      <c r="C1530" s="831">
        <v>1.011092580110349</v>
      </c>
      <c r="D1530" s="831">
        <v>0.98978045780177215</v>
      </c>
      <c r="E1530" s="831">
        <v>1.0268206012242871</v>
      </c>
      <c r="F1530" s="831">
        <v>0.99195211138400485</v>
      </c>
      <c r="G1530" s="831">
        <v>0.98381252682395792</v>
      </c>
      <c r="H1530" s="831">
        <v>0.98306597299883047</v>
      </c>
      <c r="I1530" s="831">
        <v>0.96983766848623554</v>
      </c>
      <c r="K1530">
        <v>1.7268186491258977</v>
      </c>
      <c r="L1530">
        <v>0</v>
      </c>
      <c r="M1530">
        <v>1.2789426404577369E-3</v>
      </c>
      <c r="N1530">
        <v>0.14001815040971061</v>
      </c>
      <c r="O1530">
        <v>1.7722814648593273E-2</v>
      </c>
      <c r="P1530">
        <v>2.0086267290953742E-2</v>
      </c>
      <c r="Q1530">
        <v>2.2047779053331975E-3</v>
      </c>
      <c r="R1530">
        <v>1.2709375780201116E-3</v>
      </c>
      <c r="S1530">
        <v>0.1459599146839938</v>
      </c>
      <c r="T1530">
        <v>1.0689956580766649</v>
      </c>
      <c r="U1530">
        <v>2.3066659133981381E-2</v>
      </c>
      <c r="V1530">
        <v>0.20594150887299897</v>
      </c>
      <c r="W1530">
        <v>8.2187212134424981E-2</v>
      </c>
      <c r="X1530">
        <v>1.7184617908769191E-2</v>
      </c>
      <c r="Y1530">
        <v>3.4590731229107489E-3</v>
      </c>
    </row>
    <row r="1531" spans="1:25" x14ac:dyDescent="0.25">
      <c r="A1531" s="827"/>
      <c r="B1531" s="1066">
        <v>1281</v>
      </c>
      <c r="C1531" s="831">
        <v>1.0161155536996516</v>
      </c>
      <c r="D1531" s="831">
        <v>1.0067610445564941</v>
      </c>
      <c r="E1531" s="831">
        <v>1.0318992434238921</v>
      </c>
      <c r="F1531" s="831">
        <v>0.97183456687505676</v>
      </c>
      <c r="G1531" s="831">
        <v>1.0330670984473858</v>
      </c>
      <c r="H1531" s="831">
        <v>0.98357854484247087</v>
      </c>
      <c r="I1531" s="831">
        <v>1.0166699352123711</v>
      </c>
      <c r="K1531">
        <v>1.727467142627727</v>
      </c>
      <c r="L1531">
        <v>0</v>
      </c>
      <c r="M1531">
        <v>1.2500184352004686E-3</v>
      </c>
      <c r="N1531">
        <v>0.13902547107825058</v>
      </c>
      <c r="O1531">
        <v>1.7499817952611747E-2</v>
      </c>
      <c r="P1531">
        <v>2.0197205820643847E-2</v>
      </c>
      <c r="Q1531">
        <v>2.1910550296189266E-3</v>
      </c>
      <c r="R1531">
        <v>1.2421876357192965E-3</v>
      </c>
      <c r="S1531">
        <v>0.15121760570939546</v>
      </c>
      <c r="T1531">
        <v>1.068550631381374</v>
      </c>
      <c r="U1531">
        <v>2.2952633500576226E-2</v>
      </c>
      <c r="V1531">
        <v>0.20386424168551309</v>
      </c>
      <c r="W1531">
        <v>8.132716003821866E-2</v>
      </c>
      <c r="X1531">
        <v>1.7268325973620779E-2</v>
      </c>
      <c r="Y1531">
        <v>3.3808252573838617E-3</v>
      </c>
    </row>
    <row r="1532" spans="1:25" x14ac:dyDescent="0.25">
      <c r="A1532" s="827"/>
      <c r="B1532" s="1066">
        <v>1282</v>
      </c>
      <c r="C1532" s="831">
        <v>0.99839753954263666</v>
      </c>
      <c r="D1532" s="831">
        <v>1.0109608151567049</v>
      </c>
      <c r="E1532" s="831">
        <v>1.0024365451658679</v>
      </c>
      <c r="F1532" s="831">
        <v>1.0056340140163718</v>
      </c>
      <c r="G1532" s="831">
        <v>0.98498583285046903</v>
      </c>
      <c r="H1532" s="831">
        <v>0.99268852417781162</v>
      </c>
      <c r="I1532" s="831">
        <v>1.014789687396022</v>
      </c>
      <c r="K1532">
        <v>1.7347633962624296</v>
      </c>
      <c r="L1532">
        <v>0</v>
      </c>
      <c r="M1532">
        <v>1.3638286927695168E-3</v>
      </c>
      <c r="N1532">
        <v>0.13842175468105697</v>
      </c>
      <c r="O1532">
        <v>1.7776860050297241E-2</v>
      </c>
      <c r="P1532">
        <v>1.9864153350727186E-2</v>
      </c>
      <c r="Q1532">
        <v>2.1621294593697723E-3</v>
      </c>
      <c r="R1532">
        <v>1.3553604724028561E-3</v>
      </c>
      <c r="S1532">
        <v>0.15401319863927979</v>
      </c>
      <c r="T1532">
        <v>1.0711459701509356</v>
      </c>
      <c r="U1532">
        <v>2.3359961312592131E-2</v>
      </c>
      <c r="V1532">
        <v>0.20535399226930245</v>
      </c>
      <c r="W1532">
        <v>8.2603207580424803E-2</v>
      </c>
      <c r="X1532">
        <v>1.6381792577389691E-2</v>
      </c>
      <c r="Y1532">
        <v>3.6888444114209257E-3</v>
      </c>
    </row>
    <row r="1533" spans="1:25" x14ac:dyDescent="0.25">
      <c r="A1533" s="827"/>
      <c r="B1533" s="1066">
        <v>1283</v>
      </c>
      <c r="C1533" s="831">
        <v>1.022094364605679</v>
      </c>
      <c r="D1533" s="831">
        <v>0.99366919696755074</v>
      </c>
      <c r="E1533" s="831">
        <v>1.0093255777372208</v>
      </c>
      <c r="F1533" s="831">
        <v>1.0054774412179821</v>
      </c>
      <c r="G1533" s="831">
        <v>0.96906606745702006</v>
      </c>
      <c r="H1533" s="831">
        <v>1.0276250540370406</v>
      </c>
      <c r="I1533" s="831">
        <v>0.9892697760264676</v>
      </c>
      <c r="K1533">
        <v>1.7342891059514127</v>
      </c>
      <c r="L1533">
        <v>0</v>
      </c>
      <c r="M1533">
        <v>1.3698618887851045E-3</v>
      </c>
      <c r="N1533">
        <v>0.1420761599164026</v>
      </c>
      <c r="O1533">
        <v>1.7500904335010472E-2</v>
      </c>
      <c r="P1533">
        <v>1.9884356499497987E-2</v>
      </c>
      <c r="Q1533">
        <v>2.1402834644337347E-3</v>
      </c>
      <c r="R1533">
        <v>1.3616569041965609E-3</v>
      </c>
      <c r="S1533">
        <v>0.15014715526219569</v>
      </c>
      <c r="T1533">
        <v>1.0705361796349737</v>
      </c>
      <c r="U1533">
        <v>2.281837050075209E-2</v>
      </c>
      <c r="V1533">
        <v>0.20442972121139488</v>
      </c>
      <c r="W1533">
        <v>8.4386892118297946E-2</v>
      </c>
      <c r="X1533">
        <v>1.6671306769896671E-2</v>
      </c>
      <c r="Y1533">
        <v>3.7059812231452069E-3</v>
      </c>
    </row>
    <row r="1534" spans="1:25" x14ac:dyDescent="0.25">
      <c r="A1534" s="827"/>
      <c r="B1534" s="1066">
        <v>1284</v>
      </c>
      <c r="C1534" s="831">
        <v>1.000248469892324</v>
      </c>
      <c r="D1534" s="831">
        <v>0.99342779708857187</v>
      </c>
      <c r="E1534" s="831">
        <v>0.96933206946069428</v>
      </c>
      <c r="F1534" s="831">
        <v>0.96986883931115075</v>
      </c>
      <c r="G1534" s="831">
        <v>1.0419683514801008</v>
      </c>
      <c r="H1534" s="831">
        <v>1.0016579957205216</v>
      </c>
      <c r="I1534" s="831">
        <v>0.99016906352229772</v>
      </c>
      <c r="K1534">
        <v>1.7334065509226884</v>
      </c>
      <c r="L1534">
        <v>0</v>
      </c>
      <c r="M1534">
        <v>1.4842565361730597E-3</v>
      </c>
      <c r="N1534">
        <v>0.13589580540235482</v>
      </c>
      <c r="O1534">
        <v>1.7885102027973106E-2</v>
      </c>
      <c r="P1534">
        <v>1.940039564092098E-2</v>
      </c>
      <c r="Q1534">
        <v>2.1005379267082288E-3</v>
      </c>
      <c r="R1534">
        <v>1.4751360801757878E-3</v>
      </c>
      <c r="S1534">
        <v>0.15173060823329193</v>
      </c>
      <c r="T1534">
        <v>1.074101200771618</v>
      </c>
      <c r="U1534">
        <v>2.3316734391819471E-2</v>
      </c>
      <c r="V1534">
        <v>0.20676379712068774</v>
      </c>
      <c r="W1534">
        <v>8.2972456800470787E-2</v>
      </c>
      <c r="X1534">
        <v>1.5234198931081327E-2</v>
      </c>
      <c r="Y1534">
        <v>4.0148341317603562E-3</v>
      </c>
    </row>
    <row r="1535" spans="1:25" x14ac:dyDescent="0.25">
      <c r="A1535" s="827"/>
      <c r="B1535" s="1066">
        <v>1285</v>
      </c>
      <c r="C1535" s="831">
        <v>0.99694898320932579</v>
      </c>
      <c r="D1535" s="831">
        <v>1.0073807918650821</v>
      </c>
      <c r="E1535" s="831">
        <v>0.97800034861318397</v>
      </c>
      <c r="F1535" s="831">
        <v>1.0145428231981901</v>
      </c>
      <c r="G1535" s="831">
        <v>0.98572888699432792</v>
      </c>
      <c r="H1535" s="831">
        <v>0.99787419061302407</v>
      </c>
      <c r="I1535" s="831">
        <v>0.98758439805220166</v>
      </c>
      <c r="K1535">
        <v>1.7309044145520391</v>
      </c>
      <c r="L1535">
        <v>0</v>
      </c>
      <c r="M1535">
        <v>1.4476533347312619E-3</v>
      </c>
      <c r="N1535">
        <v>0.1361705987475253</v>
      </c>
      <c r="O1535">
        <v>1.7831288834745669E-2</v>
      </c>
      <c r="P1535">
        <v>1.9493531684253221E-2</v>
      </c>
      <c r="Q1535">
        <v>2.1152325450951395E-3</v>
      </c>
      <c r="R1535">
        <v>1.438713917472879E-3</v>
      </c>
      <c r="S1535">
        <v>0.15069053477239489</v>
      </c>
      <c r="T1535">
        <v>1.0733234026573506</v>
      </c>
      <c r="U1535">
        <v>2.3393903089428472E-2</v>
      </c>
      <c r="V1535">
        <v>0.20583492979935109</v>
      </c>
      <c r="W1535">
        <v>8.2639442233365432E-2</v>
      </c>
      <c r="X1535">
        <v>1.550478459433835E-2</v>
      </c>
      <c r="Y1535">
        <v>3.9157050114457439E-3</v>
      </c>
    </row>
    <row r="1536" spans="1:25" x14ac:dyDescent="0.25">
      <c r="A1536" s="827"/>
      <c r="B1536" s="1066">
        <v>1286</v>
      </c>
      <c r="C1536" s="831">
        <v>1.0123646953708285</v>
      </c>
      <c r="D1536" s="831">
        <v>0.99163986282229633</v>
      </c>
      <c r="E1536" s="831">
        <v>0.97064474913142684</v>
      </c>
      <c r="F1536" s="831">
        <v>1.011591405377672</v>
      </c>
      <c r="G1536" s="831">
        <v>1.0212167328536232</v>
      </c>
      <c r="H1536" s="831">
        <v>1.0341076097674358</v>
      </c>
      <c r="I1536" s="831">
        <v>0.98162065237836837</v>
      </c>
      <c r="K1536">
        <v>1.735918036385828</v>
      </c>
      <c r="L1536">
        <v>0</v>
      </c>
      <c r="M1536">
        <v>1.5110733540213792E-3</v>
      </c>
      <c r="N1536">
        <v>0.13894560878497556</v>
      </c>
      <c r="O1536">
        <v>1.7685486382634914E-2</v>
      </c>
      <c r="P1536">
        <v>1.9389744620896474E-2</v>
      </c>
      <c r="Q1536">
        <v>2.079574135381249E-3</v>
      </c>
      <c r="R1536">
        <v>1.5020808038680011E-3</v>
      </c>
      <c r="S1536">
        <v>0.15099901006117428</v>
      </c>
      <c r="T1536">
        <v>1.0739832339638624</v>
      </c>
      <c r="U1536">
        <v>2.3037674076297344E-2</v>
      </c>
      <c r="V1536">
        <v>0.20563058189829572</v>
      </c>
      <c r="W1536">
        <v>8.4756760651662419E-2</v>
      </c>
      <c r="X1536">
        <v>1.5331185573474824E-2</v>
      </c>
      <c r="Y1536">
        <v>4.0881687873247814E-3</v>
      </c>
    </row>
    <row r="1537" spans="1:25" x14ac:dyDescent="0.25">
      <c r="A1537" s="827"/>
      <c r="B1537" s="1066">
        <v>1287</v>
      </c>
      <c r="C1537" s="831">
        <v>1.0118037997812002</v>
      </c>
      <c r="D1537" s="831">
        <v>1.0254274435185864</v>
      </c>
      <c r="E1537" s="831">
        <v>0.98444207681634166</v>
      </c>
      <c r="F1537" s="831">
        <v>0.97941733125966501</v>
      </c>
      <c r="G1537" s="831">
        <v>1.0018657108885447</v>
      </c>
      <c r="H1537" s="831">
        <v>1.0303412258819555</v>
      </c>
      <c r="I1537" s="831">
        <v>0.99535062313266121</v>
      </c>
      <c r="K1537">
        <v>1.7298677334750077</v>
      </c>
      <c r="L1537">
        <v>0</v>
      </c>
      <c r="M1537">
        <v>1.4414176673569201E-3</v>
      </c>
      <c r="N1537">
        <v>0.13835844634527827</v>
      </c>
      <c r="O1537">
        <v>1.7429024746503877E-2</v>
      </c>
      <c r="P1537">
        <v>1.9535671762421439E-2</v>
      </c>
      <c r="Q1537">
        <v>2.084091122830502E-3</v>
      </c>
      <c r="R1537">
        <v>1.4327848609371277E-3</v>
      </c>
      <c r="S1537">
        <v>0.15081584839116349</v>
      </c>
      <c r="T1537">
        <v>1.0727472186086127</v>
      </c>
      <c r="U1537">
        <v>2.3050445059948004E-2</v>
      </c>
      <c r="V1537">
        <v>0.20266921750665809</v>
      </c>
      <c r="W1537">
        <v>8.3593043144106385E-2</v>
      </c>
      <c r="X1537">
        <v>1.5693791519834417E-2</v>
      </c>
      <c r="Y1537">
        <v>3.8995680740683916E-3</v>
      </c>
    </row>
    <row r="1538" spans="1:25" x14ac:dyDescent="0.25">
      <c r="A1538" s="827"/>
      <c r="B1538" s="1066">
        <v>1288</v>
      </c>
      <c r="C1538" s="831">
        <v>0.99615928223714512</v>
      </c>
      <c r="D1538" s="831">
        <v>0.9844242932406756</v>
      </c>
      <c r="E1538" s="831">
        <v>0.96890983486440452</v>
      </c>
      <c r="F1538" s="831">
        <v>1.0218767940735116</v>
      </c>
      <c r="G1538" s="831">
        <v>1.0194072988538168</v>
      </c>
      <c r="H1538" s="831">
        <v>0.98993103449888653</v>
      </c>
      <c r="I1538" s="831">
        <v>0.98503920568028724</v>
      </c>
      <c r="K1538">
        <v>1.7337022397098762</v>
      </c>
      <c r="L1538">
        <v>0</v>
      </c>
      <c r="M1538">
        <v>1.4802982173597269E-3</v>
      </c>
      <c r="N1538">
        <v>0.13534577683104346</v>
      </c>
      <c r="O1538">
        <v>1.8032830711563839E-2</v>
      </c>
      <c r="P1538">
        <v>1.9407390193825941E-2</v>
      </c>
      <c r="Q1538">
        <v>2.1153851652854572E-3</v>
      </c>
      <c r="R1538">
        <v>1.4711011941041688E-3</v>
      </c>
      <c r="S1538">
        <v>0.15130051898598176</v>
      </c>
      <c r="T1538">
        <v>1.0741391595252605</v>
      </c>
      <c r="U1538">
        <v>2.3412448505148883E-2</v>
      </c>
      <c r="V1538">
        <v>0.2080564714221228</v>
      </c>
      <c r="W1538">
        <v>8.2661032473355142E-2</v>
      </c>
      <c r="X1538">
        <v>1.5236570417566866E-2</v>
      </c>
      <c r="Y1538">
        <v>4.0038525019732438E-3</v>
      </c>
    </row>
    <row r="1539" spans="1:25" x14ac:dyDescent="0.25">
      <c r="A1539" s="827"/>
      <c r="B1539" s="1066">
        <v>1289</v>
      </c>
      <c r="C1539" s="831">
        <v>0.9982368399830599</v>
      </c>
      <c r="D1539" s="831">
        <v>1.0138577732980223</v>
      </c>
      <c r="E1539" s="831">
        <v>1.0110824290016218</v>
      </c>
      <c r="F1539" s="831">
        <v>1.0355599812323415</v>
      </c>
      <c r="G1539" s="831">
        <v>1.0223056769066061</v>
      </c>
      <c r="H1539" s="831">
        <v>0.98663817062370385</v>
      </c>
      <c r="I1539" s="831">
        <v>1.0359892279918681</v>
      </c>
      <c r="K1539">
        <v>1.7365302439536698</v>
      </c>
      <c r="L1539">
        <v>0</v>
      </c>
      <c r="M1539">
        <v>1.329527944164885E-3</v>
      </c>
      <c r="N1539">
        <v>0.13861194717273753</v>
      </c>
      <c r="O1539">
        <v>1.7756725168064542E-2</v>
      </c>
      <c r="P1539">
        <v>2.0014009367580771E-2</v>
      </c>
      <c r="Q1539">
        <v>2.1789684758532117E-3</v>
      </c>
      <c r="R1539">
        <v>1.3212201550421737E-3</v>
      </c>
      <c r="S1539">
        <v>0.15662159475030324</v>
      </c>
      <c r="T1539">
        <v>1.0703809570381864</v>
      </c>
      <c r="U1539">
        <v>2.3363721878566356E-2</v>
      </c>
      <c r="V1539">
        <v>0.20510847276650526</v>
      </c>
      <c r="W1539">
        <v>8.2231095922592257E-2</v>
      </c>
      <c r="X1539">
        <v>1.66751334804844E-2</v>
      </c>
      <c r="Y1539">
        <v>3.5959257219177415E-3</v>
      </c>
    </row>
    <row r="1540" spans="1:25" x14ac:dyDescent="0.25">
      <c r="A1540" s="827"/>
      <c r="B1540" s="1066">
        <v>1290</v>
      </c>
      <c r="C1540" s="831">
        <v>0.9989185974755489</v>
      </c>
      <c r="D1540" s="831">
        <v>1.0069747587560096</v>
      </c>
      <c r="E1540" s="831">
        <v>1.0124933327236008</v>
      </c>
      <c r="F1540" s="831">
        <v>1.042008106013367</v>
      </c>
      <c r="G1540" s="831">
        <v>1.0307358666997819</v>
      </c>
      <c r="H1540" s="831">
        <v>0.96375920768855472</v>
      </c>
      <c r="I1540" s="831">
        <v>0.99707521208956806</v>
      </c>
      <c r="K1540">
        <v>1.7251369530899576</v>
      </c>
      <c r="L1540">
        <v>0</v>
      </c>
      <c r="M1540">
        <v>1.2979435558299378E-3</v>
      </c>
      <c r="N1540">
        <v>0.13589402878533499</v>
      </c>
      <c r="O1540">
        <v>1.7799377329850773E-2</v>
      </c>
      <c r="P1540">
        <v>1.994143532882239E-2</v>
      </c>
      <c r="Q1540">
        <v>2.1860677977822104E-3</v>
      </c>
      <c r="R1540">
        <v>1.2896451727211278E-3</v>
      </c>
      <c r="S1540">
        <v>0.14942728975093905</v>
      </c>
      <c r="T1540">
        <v>1.0702563843734332</v>
      </c>
      <c r="U1540">
        <v>2.3347776242472119E-2</v>
      </c>
      <c r="V1540">
        <v>0.20565996281982771</v>
      </c>
      <c r="W1540">
        <v>8.0541544236070503E-2</v>
      </c>
      <c r="X1540">
        <v>1.6581395779801913E-2</v>
      </c>
      <c r="Y1540">
        <v>3.5099890287299796E-3</v>
      </c>
    </row>
    <row r="1541" spans="1:25" x14ac:dyDescent="0.25">
      <c r="A1541" s="827"/>
      <c r="B1541" s="1066">
        <v>1291</v>
      </c>
      <c r="C1541" s="831">
        <v>1.0140245078314158</v>
      </c>
      <c r="D1541" s="831">
        <v>0.97308467155125111</v>
      </c>
      <c r="E1541" s="831">
        <v>0.97871250545406308</v>
      </c>
      <c r="F1541" s="831">
        <v>1.0302906655096864</v>
      </c>
      <c r="G1541" s="831">
        <v>1.0192894265629726</v>
      </c>
      <c r="H1541" s="831">
        <v>0.99862977505945871</v>
      </c>
      <c r="I1541" s="831">
        <v>1.0014952238527102</v>
      </c>
      <c r="K1541">
        <v>1.733642060403203</v>
      </c>
      <c r="L1541">
        <v>0</v>
      </c>
      <c r="M1541">
        <v>1.4447178115592461E-3</v>
      </c>
      <c r="N1541">
        <v>0.13619941648798034</v>
      </c>
      <c r="O1541">
        <v>1.780857692498514E-2</v>
      </c>
      <c r="P1541">
        <v>1.9540273908553611E-2</v>
      </c>
      <c r="Q1541">
        <v>2.1080435334737703E-3</v>
      </c>
      <c r="R1541">
        <v>1.4358285252002469E-3</v>
      </c>
      <c r="S1541">
        <v>0.15247255148718528</v>
      </c>
      <c r="T1541">
        <v>1.0732596267187697</v>
      </c>
      <c r="U1541">
        <v>2.2999964713062534E-2</v>
      </c>
      <c r="V1541">
        <v>0.20720387282646449</v>
      </c>
      <c r="W1541">
        <v>8.2616048491068142E-2</v>
      </c>
      <c r="X1541">
        <v>1.5534722673169703E-2</v>
      </c>
      <c r="Y1541">
        <v>3.9078519248489487E-3</v>
      </c>
    </row>
    <row r="1542" spans="1:25" x14ac:dyDescent="0.25">
      <c r="A1542" s="827"/>
      <c r="B1542" s="1066">
        <v>1292</v>
      </c>
      <c r="C1542" s="831">
        <v>0.9979890465106559</v>
      </c>
      <c r="D1542" s="831">
        <v>0.9827037362550316</v>
      </c>
      <c r="E1542" s="831">
        <v>1.0008053483167041</v>
      </c>
      <c r="F1542" s="831">
        <v>0.97368753692819654</v>
      </c>
      <c r="G1542" s="831">
        <v>0.98964116004345715</v>
      </c>
      <c r="H1542" s="831">
        <v>0.9832261709272675</v>
      </c>
      <c r="I1542" s="831">
        <v>1.0084642012817875</v>
      </c>
      <c r="K1542">
        <v>1.7386610550247648</v>
      </c>
      <c r="L1542">
        <v>0</v>
      </c>
      <c r="M1542">
        <v>1.3735451732654711E-3</v>
      </c>
      <c r="N1542">
        <v>0.13869601490558789</v>
      </c>
      <c r="O1542">
        <v>1.8014064589797384E-2</v>
      </c>
      <c r="P1542">
        <v>1.9881602134005617E-2</v>
      </c>
      <c r="Q1542">
        <v>2.1823073771110083E-3</v>
      </c>
      <c r="R1542">
        <v>1.3649544429483978E-3</v>
      </c>
      <c r="S1542">
        <v>0.15423683211379932</v>
      </c>
      <c r="T1542">
        <v>1.0712906198890606</v>
      </c>
      <c r="U1542">
        <v>2.3369522921967423E-2</v>
      </c>
      <c r="V1542">
        <v>0.20802112009157048</v>
      </c>
      <c r="W1542">
        <v>8.2859198136356574E-2</v>
      </c>
      <c r="X1542">
        <v>1.6403407559229526E-2</v>
      </c>
      <c r="Y1542">
        <v>3.7149560365943497E-3</v>
      </c>
    </row>
    <row r="1543" spans="1:25" x14ac:dyDescent="0.25">
      <c r="A1543" s="827"/>
      <c r="B1543" s="1066">
        <v>1293</v>
      </c>
      <c r="C1543" s="831">
        <v>0.99867552609908894</v>
      </c>
      <c r="D1543" s="831">
        <v>1.0043307801376518</v>
      </c>
      <c r="E1543" s="831">
        <v>0.96128131847522613</v>
      </c>
      <c r="F1543" s="831">
        <v>0.99746935997734221</v>
      </c>
      <c r="G1543" s="831">
        <v>1.0084007834534556</v>
      </c>
      <c r="H1543" s="831">
        <v>0.98899098276232655</v>
      </c>
      <c r="I1543" s="831">
        <v>1.0057132521395791</v>
      </c>
      <c r="K1543">
        <v>1.7289501370260072</v>
      </c>
      <c r="L1543">
        <v>0</v>
      </c>
      <c r="M1543">
        <v>1.4853982621983114E-3</v>
      </c>
      <c r="N1543">
        <v>0.13261647318134176</v>
      </c>
      <c r="O1543">
        <v>1.7824910537853379E-2</v>
      </c>
      <c r="P1543">
        <v>1.9292861396893783E-2</v>
      </c>
      <c r="Q1543">
        <v>2.0781281337620898E-3</v>
      </c>
      <c r="R1543">
        <v>1.4761456565608949E-3</v>
      </c>
      <c r="S1543">
        <v>0.15274330721306348</v>
      </c>
      <c r="T1543">
        <v>1.0748261103930368</v>
      </c>
      <c r="U1543">
        <v>2.3353458945172028E-2</v>
      </c>
      <c r="V1543">
        <v>0.20592518289228515</v>
      </c>
      <c r="W1543">
        <v>8.1428549869782554E-2</v>
      </c>
      <c r="X1543">
        <v>1.4852825202581176E-2</v>
      </c>
      <c r="Y1543">
        <v>4.0175818658738519E-3</v>
      </c>
    </row>
    <row r="1544" spans="1:25" x14ac:dyDescent="0.25">
      <c r="A1544" s="827"/>
      <c r="B1544" s="1066">
        <v>1294</v>
      </c>
      <c r="C1544" s="831">
        <v>0.98118039592109318</v>
      </c>
      <c r="D1544" s="831">
        <v>1.0108107839798528</v>
      </c>
      <c r="E1544" s="831">
        <v>0.97936184198349918</v>
      </c>
      <c r="F1544" s="831">
        <v>0.97722179178375324</v>
      </c>
      <c r="G1544" s="831">
        <v>1.0012424244096496</v>
      </c>
      <c r="H1544" s="831">
        <v>0.97069008794226652</v>
      </c>
      <c r="I1544" s="831">
        <v>1.0155447014818364</v>
      </c>
      <c r="K1544">
        <v>1.7348022066036348</v>
      </c>
      <c r="L1544">
        <v>0</v>
      </c>
      <c r="M1544">
        <v>1.4245745790799657E-3</v>
      </c>
      <c r="N1544">
        <v>0.13454578466431058</v>
      </c>
      <c r="O1544">
        <v>1.809001188781436E-2</v>
      </c>
      <c r="P1544">
        <v>1.9596831642263893E-2</v>
      </c>
      <c r="Q1544">
        <v>2.1494932728430625E-3</v>
      </c>
      <c r="R1544">
        <v>1.4155288265200866E-3</v>
      </c>
      <c r="S1544">
        <v>0.15521539525232003</v>
      </c>
      <c r="T1544">
        <v>1.0732014931448524</v>
      </c>
      <c r="U1544">
        <v>2.3769867391621614E-2</v>
      </c>
      <c r="V1544">
        <v>0.20723974841666273</v>
      </c>
      <c r="W1544">
        <v>8.1576197192315694E-2</v>
      </c>
      <c r="X1544">
        <v>1.5573826654354507E-2</v>
      </c>
      <c r="Y1544">
        <v>3.8526028368354218E-3</v>
      </c>
    </row>
    <row r="1545" spans="1:25" x14ac:dyDescent="0.25">
      <c r="A1545" s="827"/>
      <c r="B1545" s="1066">
        <v>1295</v>
      </c>
      <c r="C1545" s="831">
        <v>0.96593822633620041</v>
      </c>
      <c r="D1545" s="831">
        <v>0.98259748774116584</v>
      </c>
      <c r="E1545" s="831">
        <v>1.0423354513617702</v>
      </c>
      <c r="F1545" s="831">
        <v>0.95910761428401425</v>
      </c>
      <c r="G1545" s="831">
        <v>0.95852849048370792</v>
      </c>
      <c r="H1545" s="831">
        <v>1.0467132641880745</v>
      </c>
      <c r="I1545" s="831">
        <v>0.99020572213553515</v>
      </c>
      <c r="K1545">
        <v>1.7802661966294255</v>
      </c>
      <c r="L1545">
        <v>0</v>
      </c>
      <c r="M1545">
        <v>1.3839081997342761E-3</v>
      </c>
      <c r="N1545">
        <v>0.15904409298992539</v>
      </c>
      <c r="O1545">
        <v>1.8612703162586428E-2</v>
      </c>
      <c r="P1545">
        <v>2.0604010788839288E-2</v>
      </c>
      <c r="Q1545">
        <v>2.3497710183597847E-3</v>
      </c>
      <c r="R1545">
        <v>1.375777718307621E-3</v>
      </c>
      <c r="S1545">
        <v>0.16118578129312466</v>
      </c>
      <c r="T1545">
        <v>1.0676392098089209</v>
      </c>
      <c r="U1545">
        <v>2.4144947639939063E-2</v>
      </c>
      <c r="V1545">
        <v>0.21165865588880967</v>
      </c>
      <c r="W1545">
        <v>9.2392444477295457E-2</v>
      </c>
      <c r="X1545">
        <v>1.8898296618821708E-2</v>
      </c>
      <c r="Y1545">
        <v>3.7444134242303924E-3</v>
      </c>
    </row>
    <row r="1546" spans="1:25" x14ac:dyDescent="0.25">
      <c r="A1546" s="827"/>
      <c r="B1546" s="1066">
        <v>1296</v>
      </c>
      <c r="C1546" s="831">
        <v>1.0104779395665386</v>
      </c>
      <c r="D1546" s="831">
        <v>0.99255465098371531</v>
      </c>
      <c r="E1546" s="831">
        <v>0.9928592162791926</v>
      </c>
      <c r="F1546" s="831">
        <v>0.99076027544739753</v>
      </c>
      <c r="G1546" s="831">
        <v>1.0040136506382082</v>
      </c>
      <c r="H1546" s="831">
        <v>1.0164906946879377</v>
      </c>
      <c r="I1546" s="831">
        <v>0.99791760628799253</v>
      </c>
      <c r="K1546">
        <v>1.736706554817615</v>
      </c>
      <c r="L1546">
        <v>0</v>
      </c>
      <c r="M1546">
        <v>1.4196880487558341E-3</v>
      </c>
      <c r="N1546">
        <v>0.13988218075688125</v>
      </c>
      <c r="O1546">
        <v>1.7711102743788103E-2</v>
      </c>
      <c r="P1546">
        <v>1.9714653542625013E-2</v>
      </c>
      <c r="Q1546">
        <v>2.1302585986746241E-3</v>
      </c>
      <c r="R1546">
        <v>1.4110922678753821E-3</v>
      </c>
      <c r="S1546">
        <v>0.1524803600656861</v>
      </c>
      <c r="T1546">
        <v>1.0719966953125981</v>
      </c>
      <c r="U1546">
        <v>2.3080689825161118E-2</v>
      </c>
      <c r="V1546">
        <v>0.2057468924820855</v>
      </c>
      <c r="W1546">
        <v>8.4024446796285804E-2</v>
      </c>
      <c r="X1546">
        <v>1.610734248799419E-2</v>
      </c>
      <c r="Y1546">
        <v>3.8405279867157016E-3</v>
      </c>
    </row>
    <row r="1547" spans="1:25" x14ac:dyDescent="0.25">
      <c r="A1547" s="827"/>
      <c r="B1547" s="1066">
        <v>1297</v>
      </c>
      <c r="C1547" s="831">
        <v>0.99019931968156127</v>
      </c>
      <c r="D1547" s="831">
        <v>0.98239822902783924</v>
      </c>
      <c r="E1547" s="831">
        <v>1.0231119786334113</v>
      </c>
      <c r="F1547" s="831">
        <v>0.98087542978311981</v>
      </c>
      <c r="G1547" s="831">
        <v>0.97546176908172744</v>
      </c>
      <c r="H1547" s="831">
        <v>1.0053414949006467</v>
      </c>
      <c r="I1547" s="831">
        <v>1.0225972650378554</v>
      </c>
      <c r="K1547">
        <v>1.7551415134189632</v>
      </c>
      <c r="L1547">
        <v>0</v>
      </c>
      <c r="M1547">
        <v>1.3506057759348751E-3</v>
      </c>
      <c r="N1547">
        <v>0.14619162960893747</v>
      </c>
      <c r="O1547">
        <v>1.8158340713006711E-2</v>
      </c>
      <c r="P1547">
        <v>2.0269659627815646E-2</v>
      </c>
      <c r="Q1547">
        <v>2.2492771442616422E-3</v>
      </c>
      <c r="R1547">
        <v>1.3423445507857112E-3</v>
      </c>
      <c r="S1547">
        <v>0.15930188314181379</v>
      </c>
      <c r="T1547">
        <v>1.0693212518830748</v>
      </c>
      <c r="U1547">
        <v>2.3553366917888296E-2</v>
      </c>
      <c r="V1547">
        <v>0.20890917553581861</v>
      </c>
      <c r="W1547">
        <v>8.6025162647485581E-2</v>
      </c>
      <c r="X1547">
        <v>1.7516608060532592E-2</v>
      </c>
      <c r="Y1547">
        <v>3.6534193634764657E-3</v>
      </c>
    </row>
    <row r="1548" spans="1:25" x14ac:dyDescent="0.25">
      <c r="A1548" s="827"/>
      <c r="B1548" s="1066">
        <v>1298</v>
      </c>
      <c r="C1548" s="831">
        <v>1.0094019619498782</v>
      </c>
      <c r="D1548" s="831">
        <v>1.0224087810290394</v>
      </c>
      <c r="E1548" s="831">
        <v>0.9911179261204992</v>
      </c>
      <c r="F1548" s="831">
        <v>1.0369070908294378</v>
      </c>
      <c r="G1548" s="831">
        <v>0.99712950867992745</v>
      </c>
      <c r="H1548" s="831">
        <v>0.96061934291350271</v>
      </c>
      <c r="I1548" s="831">
        <v>0.99110588611447148</v>
      </c>
      <c r="K1548">
        <v>1.711285787518267</v>
      </c>
      <c r="L1548">
        <v>0</v>
      </c>
      <c r="M1548">
        <v>1.3300743253195197E-3</v>
      </c>
      <c r="N1548">
        <v>0.13029586034641746</v>
      </c>
      <c r="O1548">
        <v>1.7493777597125112E-2</v>
      </c>
      <c r="P1548">
        <v>1.9566585125611491E-2</v>
      </c>
      <c r="Q1548">
        <v>2.1055118410126558E-3</v>
      </c>
      <c r="R1548">
        <v>1.3215322220343493E-3</v>
      </c>
      <c r="S1548">
        <v>0.14584866938100274</v>
      </c>
      <c r="T1548">
        <v>1.0721517404428096</v>
      </c>
      <c r="U1548">
        <v>2.3105292814421186E-2</v>
      </c>
      <c r="V1548">
        <v>0.20317971105057098</v>
      </c>
      <c r="W1548">
        <v>7.8359965616017171E-2</v>
      </c>
      <c r="X1548">
        <v>1.5590440341165381E-2</v>
      </c>
      <c r="Y1548">
        <v>3.5967750653975871E-3</v>
      </c>
    </row>
    <row r="1549" spans="1:25" x14ac:dyDescent="0.25">
      <c r="A1549" s="827"/>
      <c r="B1549" s="1066">
        <v>1299</v>
      </c>
      <c r="C1549" s="831">
        <v>0.99449033633907191</v>
      </c>
      <c r="D1549" s="831">
        <v>0.97717513610421047</v>
      </c>
      <c r="E1549" s="831">
        <v>0.98588570518800633</v>
      </c>
      <c r="F1549" s="831">
        <v>1.014600658038159</v>
      </c>
      <c r="G1549" s="831">
        <v>0.99562342732021802</v>
      </c>
      <c r="H1549" s="831">
        <v>1.0157836724584453</v>
      </c>
      <c r="I1549" s="831">
        <v>0.99291288871180328</v>
      </c>
      <c r="K1549">
        <v>1.7479226568281891</v>
      </c>
      <c r="L1549">
        <v>0</v>
      </c>
      <c r="M1549">
        <v>1.4731891349067348E-3</v>
      </c>
      <c r="N1549">
        <v>0.14203648791006077</v>
      </c>
      <c r="O1549">
        <v>1.8123807409265336E-2</v>
      </c>
      <c r="P1549">
        <v>1.9703291337166112E-2</v>
      </c>
      <c r="Q1549">
        <v>2.1617898007743777E-3</v>
      </c>
      <c r="R1549">
        <v>1.4642746536816964E-3</v>
      </c>
      <c r="S1549">
        <v>0.15510861904247153</v>
      </c>
      <c r="T1549">
        <v>1.0726183064520571</v>
      </c>
      <c r="U1549">
        <v>2.3451739092969305E-2</v>
      </c>
      <c r="V1549">
        <v>0.20893587398837105</v>
      </c>
      <c r="W1549">
        <v>8.5729623450295542E-2</v>
      </c>
      <c r="X1549">
        <v>1.6076759916669202E-2</v>
      </c>
      <c r="Y1549">
        <v>3.9852729093117194E-3</v>
      </c>
    </row>
    <row r="1550" spans="1:25" x14ac:dyDescent="0.25">
      <c r="A1550" s="827"/>
      <c r="B1550" s="1066">
        <v>1300</v>
      </c>
      <c r="C1550" s="831">
        <v>0.98751834375797776</v>
      </c>
      <c r="D1550" s="831">
        <v>0.99579107917587217</v>
      </c>
      <c r="E1550" s="831">
        <v>1.0304691665352974</v>
      </c>
      <c r="F1550" s="831">
        <v>1.0097151990525948</v>
      </c>
      <c r="G1550" s="831">
        <v>1.0191136886814676</v>
      </c>
      <c r="H1550" s="831">
        <v>0.9801316984544578</v>
      </c>
      <c r="I1550" s="831">
        <v>1.0267938268512213</v>
      </c>
      <c r="K1550">
        <v>1.7464159147274307</v>
      </c>
      <c r="L1550">
        <v>0</v>
      </c>
      <c r="M1550">
        <v>1.2919818789525661E-3</v>
      </c>
      <c r="N1550">
        <v>0.14305380780928567</v>
      </c>
      <c r="O1550">
        <v>1.8096159810486151E-2</v>
      </c>
      <c r="P1550">
        <v>2.033319813886296E-2</v>
      </c>
      <c r="Q1550">
        <v>2.2604908078415658E-3</v>
      </c>
      <c r="R1550">
        <v>1.2838669757796E-3</v>
      </c>
      <c r="S1550">
        <v>0.15760411187211779</v>
      </c>
      <c r="T1550">
        <v>1.0686758458979413</v>
      </c>
      <c r="U1550">
        <v>2.3617311056268443E-2</v>
      </c>
      <c r="V1550">
        <v>0.20793309918592007</v>
      </c>
      <c r="W1550">
        <v>8.3763825743319642E-2</v>
      </c>
      <c r="X1550">
        <v>1.7591916627121135E-2</v>
      </c>
      <c r="Y1550">
        <v>3.4942626814372497E-3</v>
      </c>
    </row>
    <row r="1551" spans="1:25" x14ac:dyDescent="0.25">
      <c r="A1551" s="827"/>
      <c r="B1551" s="1066">
        <v>1301</v>
      </c>
      <c r="C1551" s="831">
        <v>1.0061064030129969</v>
      </c>
      <c r="D1551" s="831">
        <v>0.99830220377448531</v>
      </c>
      <c r="E1551" s="831">
        <v>0.97254486065329315</v>
      </c>
      <c r="F1551" s="831">
        <v>0.96820559696426223</v>
      </c>
      <c r="G1551" s="831">
        <v>1.0061662577049462</v>
      </c>
      <c r="H1551" s="831">
        <v>1.003063822596391</v>
      </c>
      <c r="I1551" s="831">
        <v>1.0100874681482388</v>
      </c>
      <c r="K1551">
        <v>1.7328316253709792</v>
      </c>
      <c r="L1551">
        <v>0</v>
      </c>
      <c r="M1551">
        <v>1.4645184566088034E-3</v>
      </c>
      <c r="N1551">
        <v>0.1354393662675247</v>
      </c>
      <c r="O1551">
        <v>1.7741570307228685E-2</v>
      </c>
      <c r="P1551">
        <v>1.9454056159819481E-2</v>
      </c>
      <c r="Q1551">
        <v>2.0913713386830632E-3</v>
      </c>
      <c r="R1551">
        <v>1.455528307675878E-3</v>
      </c>
      <c r="S1551">
        <v>0.15367048527925367</v>
      </c>
      <c r="T1551">
        <v>1.0738125907346354</v>
      </c>
      <c r="U1551">
        <v>2.3180975519546385E-2</v>
      </c>
      <c r="V1551">
        <v>0.20568507042149733</v>
      </c>
      <c r="W1551">
        <v>8.2508452192933443E-2</v>
      </c>
      <c r="X1551">
        <v>1.5295209060074652E-2</v>
      </c>
      <c r="Y1551">
        <v>3.9614682387160679E-3</v>
      </c>
    </row>
    <row r="1552" spans="1:25" x14ac:dyDescent="0.25">
      <c r="A1552" s="827"/>
      <c r="B1552" s="1066">
        <v>1302</v>
      </c>
      <c r="C1552" s="831">
        <v>1.0113083892210992</v>
      </c>
      <c r="D1552" s="831">
        <v>0.99851631487776238</v>
      </c>
      <c r="E1552" s="831">
        <v>1.0047456940597665</v>
      </c>
      <c r="F1552" s="831">
        <v>1.0017070121605571</v>
      </c>
      <c r="G1552" s="831">
        <v>0.99872430380793875</v>
      </c>
      <c r="H1552" s="831">
        <v>0.99415240734711008</v>
      </c>
      <c r="I1552" s="831">
        <v>1.0038170689594983</v>
      </c>
      <c r="K1552">
        <v>1.7302140127826982</v>
      </c>
      <c r="L1552">
        <v>0</v>
      </c>
      <c r="M1552">
        <v>1.349394966705781E-3</v>
      </c>
      <c r="N1552">
        <v>0.13794611830732148</v>
      </c>
      <c r="O1552">
        <v>1.7648596122539731E-2</v>
      </c>
      <c r="P1552">
        <v>1.9850677133700194E-2</v>
      </c>
      <c r="Q1552">
        <v>2.1493295452007163E-3</v>
      </c>
      <c r="R1552">
        <v>1.341037121651079E-3</v>
      </c>
      <c r="S1552">
        <v>0.15128204680639773</v>
      </c>
      <c r="T1552">
        <v>1.0709413734237245</v>
      </c>
      <c r="U1552">
        <v>2.3061736802426788E-2</v>
      </c>
      <c r="V1552">
        <v>0.20511034350098631</v>
      </c>
      <c r="W1552">
        <v>8.2189733445527366E-2</v>
      </c>
      <c r="X1552">
        <v>1.6392554567561904E-2</v>
      </c>
      <c r="Y1552">
        <v>3.6498609723658935E-3</v>
      </c>
    </row>
    <row r="1553" spans="1:25" x14ac:dyDescent="0.25">
      <c r="A1553" s="827"/>
      <c r="B1553" s="1066">
        <v>1303</v>
      </c>
      <c r="C1553" s="831">
        <v>0.98908443700847015</v>
      </c>
      <c r="D1553" s="831">
        <v>0.98138838583794208</v>
      </c>
      <c r="E1553" s="831">
        <v>0.99720370851855655</v>
      </c>
      <c r="F1553" s="831">
        <v>0.9898089780450734</v>
      </c>
      <c r="G1553" s="831">
        <v>1.0200202251937778</v>
      </c>
      <c r="H1553" s="831">
        <v>0.98681220947555126</v>
      </c>
      <c r="I1553" s="831">
        <v>0.99114074536523122</v>
      </c>
      <c r="K1553">
        <v>1.7419063397583483</v>
      </c>
      <c r="L1553">
        <v>0</v>
      </c>
      <c r="M1553">
        <v>1.402405883456445E-3</v>
      </c>
      <c r="N1553">
        <v>0.14003555628822772</v>
      </c>
      <c r="O1553">
        <v>1.8187297588307033E-2</v>
      </c>
      <c r="P1553">
        <v>1.9837757124592983E-2</v>
      </c>
      <c r="Q1553">
        <v>2.1950837466193467E-3</v>
      </c>
      <c r="R1553">
        <v>1.3936674832337422E-3</v>
      </c>
      <c r="S1553">
        <v>0.15329743136685739</v>
      </c>
      <c r="T1553">
        <v>1.0716103583956902</v>
      </c>
      <c r="U1553">
        <v>2.3579915956258697E-2</v>
      </c>
      <c r="V1553">
        <v>0.20913336350464062</v>
      </c>
      <c r="W1553">
        <v>8.3866028943336668E-2</v>
      </c>
      <c r="X1553">
        <v>1.6379181777039974E-2</v>
      </c>
      <c r="Y1553">
        <v>3.7931034669998714E-3</v>
      </c>
    </row>
    <row r="1554" spans="1:25" x14ac:dyDescent="0.25">
      <c r="A1554" s="827"/>
      <c r="B1554" s="1066">
        <v>1304</v>
      </c>
      <c r="C1554" s="831">
        <v>1.0323599291253693</v>
      </c>
      <c r="D1554" s="831">
        <v>1.0323749977429482</v>
      </c>
      <c r="E1554" s="831">
        <v>1.013357552651986</v>
      </c>
      <c r="F1554" s="831">
        <v>0.99291256790936522</v>
      </c>
      <c r="G1554" s="831">
        <v>0.99088318216190774</v>
      </c>
      <c r="H1554" s="831">
        <v>1.0111448804377348</v>
      </c>
      <c r="I1554" s="831">
        <v>0.99373479890975425</v>
      </c>
      <c r="K1554">
        <v>1.7149729457269776</v>
      </c>
      <c r="L1554">
        <v>0</v>
      </c>
      <c r="M1554">
        <v>1.30053974108305E-3</v>
      </c>
      <c r="N1554">
        <v>0.13657158389834537</v>
      </c>
      <c r="O1554">
        <v>1.7029988256025225E-2</v>
      </c>
      <c r="P1554">
        <v>1.9815446012126516E-2</v>
      </c>
      <c r="Q1554">
        <v>2.0976136364811273E-3</v>
      </c>
      <c r="R1554">
        <v>1.2925984925536526E-3</v>
      </c>
      <c r="S1554">
        <v>0.14585308960843096</v>
      </c>
      <c r="T1554">
        <v>1.0701801171543768</v>
      </c>
      <c r="U1554">
        <v>2.2591469544989397E-2</v>
      </c>
      <c r="V1554">
        <v>0.20000346012545567</v>
      </c>
      <c r="W1554">
        <v>8.0895695657789896E-2</v>
      </c>
      <c r="X1554">
        <v>1.6424396089732701E-2</v>
      </c>
      <c r="Y1554">
        <v>3.5180269917524901E-3</v>
      </c>
    </row>
    <row r="1555" spans="1:25" x14ac:dyDescent="0.25">
      <c r="A1555" s="827"/>
      <c r="B1555" s="1066">
        <v>1305</v>
      </c>
      <c r="C1555" s="831">
        <v>0.97729528832891222</v>
      </c>
      <c r="D1555" s="831">
        <v>0.96174884664409699</v>
      </c>
      <c r="E1555" s="831">
        <v>1.0309182098941632</v>
      </c>
      <c r="F1555" s="831">
        <v>0.9875949523385138</v>
      </c>
      <c r="G1555" s="831">
        <v>0.97107721079656717</v>
      </c>
      <c r="H1555" s="831">
        <v>1.0032336078624049</v>
      </c>
      <c r="I1555" s="831">
        <v>1.0070310148331838</v>
      </c>
      <c r="K1555">
        <v>1.7666422420417145</v>
      </c>
      <c r="L1555">
        <v>0</v>
      </c>
      <c r="M1555">
        <v>1.3562300941327371E-3</v>
      </c>
      <c r="N1555">
        <v>0.15040165049060888</v>
      </c>
      <c r="O1555">
        <v>1.8576592091192279E-2</v>
      </c>
      <c r="P1555">
        <v>2.0441659538374433E-2</v>
      </c>
      <c r="Q1555">
        <v>2.3148480339436612E-3</v>
      </c>
      <c r="R1555">
        <v>1.3479316296607514E-3</v>
      </c>
      <c r="S1555">
        <v>0.16020270766673297</v>
      </c>
      <c r="T1555">
        <v>1.0686365202503436</v>
      </c>
      <c r="U1555">
        <v>2.3864361341783005E-2</v>
      </c>
      <c r="V1555">
        <v>0.21242030091838954</v>
      </c>
      <c r="W1555">
        <v>8.8039803232157668E-2</v>
      </c>
      <c r="X1555">
        <v>1.8083471392266029E-2</v>
      </c>
      <c r="Y1555">
        <v>3.6686255503942684E-3</v>
      </c>
    </row>
    <row r="1556" spans="1:25" x14ac:dyDescent="0.25">
      <c r="A1556" s="827"/>
      <c r="B1556" s="1066">
        <v>1306</v>
      </c>
      <c r="C1556" s="831">
        <v>0.97490713098397297</v>
      </c>
      <c r="D1556" s="831">
        <v>0.98561915499152264</v>
      </c>
      <c r="E1556" s="831">
        <v>1.0178972194159894</v>
      </c>
      <c r="F1556" s="831">
        <v>1.0064161864099461</v>
      </c>
      <c r="G1556" s="831">
        <v>0.95590843782323287</v>
      </c>
      <c r="H1556" s="831">
        <v>1.0160231437341769</v>
      </c>
      <c r="I1556" s="831">
        <v>0.98169387824393373</v>
      </c>
      <c r="K1556">
        <v>1.7591860216163409</v>
      </c>
      <c r="L1556">
        <v>0</v>
      </c>
      <c r="M1556">
        <v>1.3996449131059394E-3</v>
      </c>
      <c r="N1556">
        <v>0.14907471437624234</v>
      </c>
      <c r="O1556">
        <v>1.8415791588939381E-2</v>
      </c>
      <c r="P1556">
        <v>2.017627716178641E-2</v>
      </c>
      <c r="Q1556">
        <v>2.2699896501762154E-3</v>
      </c>
      <c r="R1556">
        <v>1.3911714578345516E-3</v>
      </c>
      <c r="S1556">
        <v>0.15589454736474839</v>
      </c>
      <c r="T1556">
        <v>1.0697799567943749</v>
      </c>
      <c r="U1556">
        <v>2.3922820089297945E-2</v>
      </c>
      <c r="V1556">
        <v>0.21032642941239954</v>
      </c>
      <c r="W1556">
        <v>8.8030799230102569E-2</v>
      </c>
      <c r="X1556">
        <v>1.7516859294864462E-2</v>
      </c>
      <c r="Y1556">
        <v>3.7863101086778256E-3</v>
      </c>
    </row>
    <row r="1557" spans="1:25" x14ac:dyDescent="0.25">
      <c r="A1557" s="827"/>
      <c r="B1557" s="1066">
        <v>1307</v>
      </c>
      <c r="C1557" s="831">
        <v>1.026478370865396</v>
      </c>
      <c r="D1557" s="831">
        <v>0.97709965660147358</v>
      </c>
      <c r="E1557" s="831">
        <v>1.0320944786066713</v>
      </c>
      <c r="F1557" s="831">
        <v>0.98368500125933611</v>
      </c>
      <c r="G1557" s="831">
        <v>0.98584620754372243</v>
      </c>
      <c r="H1557" s="831">
        <v>1.0141263002384473</v>
      </c>
      <c r="I1557" s="831">
        <v>1.0122099707023131</v>
      </c>
      <c r="K1557">
        <v>1.7389082698036866</v>
      </c>
      <c r="L1557">
        <v>0</v>
      </c>
      <c r="M1557">
        <v>1.292692768870299E-3</v>
      </c>
      <c r="N1557">
        <v>0.14388827039448895</v>
      </c>
      <c r="O1557">
        <v>1.7559633232218798E-2</v>
      </c>
      <c r="P1557">
        <v>2.0245613834968011E-2</v>
      </c>
      <c r="Q1557">
        <v>2.1935606660605216E-3</v>
      </c>
      <c r="R1557">
        <v>1.2848577634355198E-3</v>
      </c>
      <c r="S1557">
        <v>0.15308192110872421</v>
      </c>
      <c r="T1557">
        <v>1.0685335430212557</v>
      </c>
      <c r="U1557">
        <v>2.2720915082351544E-2</v>
      </c>
      <c r="V1557">
        <v>0.20550827853887343</v>
      </c>
      <c r="W1557">
        <v>8.4160805499742947E-2</v>
      </c>
      <c r="X1557">
        <v>1.7526604151611499E-2</v>
      </c>
      <c r="Y1557">
        <v>3.4969592788236014E-3</v>
      </c>
    </row>
    <row r="1558" spans="1:25" x14ac:dyDescent="0.25">
      <c r="A1558" s="827"/>
      <c r="B1558" s="1066">
        <v>1308</v>
      </c>
      <c r="C1558" s="831">
        <v>0.97840039212362229</v>
      </c>
      <c r="D1558" s="831">
        <v>1.0168107517373068</v>
      </c>
      <c r="E1558" s="831">
        <v>0.99896005764727036</v>
      </c>
      <c r="F1558" s="831">
        <v>0.98875768730151326</v>
      </c>
      <c r="G1558" s="831">
        <v>0.97598728516669209</v>
      </c>
      <c r="H1558" s="831">
        <v>1.012868502392593</v>
      </c>
      <c r="I1558" s="831">
        <v>1.0135976515546854</v>
      </c>
      <c r="K1558">
        <v>1.749946927785363</v>
      </c>
      <c r="L1558">
        <v>0</v>
      </c>
      <c r="M1558">
        <v>1.4267068450858542E-3</v>
      </c>
      <c r="N1558">
        <v>0.14326335468422521</v>
      </c>
      <c r="O1558">
        <v>1.8092922950046525E-2</v>
      </c>
      <c r="P1558">
        <v>1.9901534237902356E-2</v>
      </c>
      <c r="Q1558">
        <v>2.1939272784438041E-3</v>
      </c>
      <c r="R1558">
        <v>1.4180206484270149E-3</v>
      </c>
      <c r="S1558">
        <v>0.15809105968003442</v>
      </c>
      <c r="T1558">
        <v>1.0714543759207447</v>
      </c>
      <c r="U1558">
        <v>2.3837406532188226E-2</v>
      </c>
      <c r="V1558">
        <v>0.2070034985788671</v>
      </c>
      <c r="W1558">
        <v>8.5695941614682705E-2</v>
      </c>
      <c r="X1558">
        <v>1.6562207750250038E-2</v>
      </c>
      <c r="Y1558">
        <v>3.8593847546372099E-3</v>
      </c>
    </row>
    <row r="1559" spans="1:25" x14ac:dyDescent="0.25">
      <c r="A1559" s="827"/>
      <c r="B1559" s="1066">
        <v>1309</v>
      </c>
      <c r="C1559" s="831">
        <v>1.0238641941576707</v>
      </c>
      <c r="D1559" s="831">
        <v>1.0362933202955684</v>
      </c>
      <c r="E1559" s="831">
        <v>0.98579815930514403</v>
      </c>
      <c r="F1559" s="831">
        <v>0.97184283594241017</v>
      </c>
      <c r="G1559" s="831">
        <v>0.99651242945602836</v>
      </c>
      <c r="H1559" s="831">
        <v>0.98839474407276662</v>
      </c>
      <c r="I1559" s="831">
        <v>0.97226722644529184</v>
      </c>
      <c r="K1559">
        <v>1.7052235287572128</v>
      </c>
      <c r="L1559">
        <v>0</v>
      </c>
      <c r="M1559">
        <v>1.3561004222866393E-3</v>
      </c>
      <c r="N1559">
        <v>0.13068585777411562</v>
      </c>
      <c r="O1559">
        <v>1.7141974684609863E-2</v>
      </c>
      <c r="P1559">
        <v>1.9404171554691704E-2</v>
      </c>
      <c r="Q1559">
        <v>2.0543318156896213E-3</v>
      </c>
      <c r="R1559">
        <v>1.3476267509733013E-3</v>
      </c>
      <c r="S1559">
        <v>0.14213491922984584</v>
      </c>
      <c r="T1559">
        <v>1.0726261218322271</v>
      </c>
      <c r="U1559">
        <v>2.2778927157903542E-2</v>
      </c>
      <c r="V1559">
        <v>0.20051959145015377</v>
      </c>
      <c r="W1559">
        <v>7.8883443048534618E-2</v>
      </c>
      <c r="X1559">
        <v>1.5334868109643128E-2</v>
      </c>
      <c r="Y1559">
        <v>3.6677957711102609E-3</v>
      </c>
    </row>
    <row r="1560" spans="1:25" x14ac:dyDescent="0.25">
      <c r="A1560" s="827"/>
      <c r="B1560" s="1066">
        <v>1310</v>
      </c>
      <c r="C1560" s="831">
        <v>0.97358294254979083</v>
      </c>
      <c r="D1560" s="831">
        <v>0.995914092731078</v>
      </c>
      <c r="E1560" s="831">
        <v>0.99154375377435433</v>
      </c>
      <c r="F1560" s="831">
        <v>1.0067248643432332</v>
      </c>
      <c r="G1560" s="831">
        <v>0.96483356493169026</v>
      </c>
      <c r="H1560" s="831">
        <v>1.0211249912241522</v>
      </c>
      <c r="I1560" s="831">
        <v>0.99547424836630571</v>
      </c>
      <c r="K1560">
        <v>1.7572775529967095</v>
      </c>
      <c r="L1560">
        <v>0</v>
      </c>
      <c r="M1560">
        <v>1.4820387076232746E-3</v>
      </c>
      <c r="N1560">
        <v>0.14543264224124269</v>
      </c>
      <c r="O1560">
        <v>1.8354152098807752E-2</v>
      </c>
      <c r="P1560">
        <v>1.983408404743078E-2</v>
      </c>
      <c r="Q1560">
        <v>2.2052862406703659E-3</v>
      </c>
      <c r="R1560">
        <v>1.4731036701931789E-3</v>
      </c>
      <c r="S1560">
        <v>0.15799046498054767</v>
      </c>
      <c r="T1560">
        <v>1.0721138140355313</v>
      </c>
      <c r="U1560">
        <v>2.3955357965929468E-2</v>
      </c>
      <c r="V1560">
        <v>0.20948791514920459</v>
      </c>
      <c r="W1560">
        <v>8.7437595129019594E-2</v>
      </c>
      <c r="X1560">
        <v>1.6465873563983869E-2</v>
      </c>
      <c r="Y1560">
        <v>4.0093025817714645E-3</v>
      </c>
    </row>
    <row r="1561" spans="1:25" x14ac:dyDescent="0.25">
      <c r="A1561" s="827"/>
      <c r="B1561" s="1066">
        <v>1311</v>
      </c>
      <c r="C1561" s="831">
        <v>0.97913498087450668</v>
      </c>
      <c r="D1561" s="831">
        <v>0.97677857554468595</v>
      </c>
      <c r="E1561" s="831">
        <v>0.98455087794180507</v>
      </c>
      <c r="F1561" s="831">
        <v>1.0072390149246073</v>
      </c>
      <c r="G1561" s="831">
        <v>1.0074629999363947</v>
      </c>
      <c r="H1561" s="831">
        <v>1.0169839017988913</v>
      </c>
      <c r="I1561" s="831">
        <v>0.99106625398978254</v>
      </c>
      <c r="K1561">
        <v>1.7566523850029947</v>
      </c>
      <c r="L1561">
        <v>0</v>
      </c>
      <c r="M1561">
        <v>1.5025445064777306E-3</v>
      </c>
      <c r="N1561">
        <v>0.1442668198231882</v>
      </c>
      <c r="O1561">
        <v>1.8411429501798068E-2</v>
      </c>
      <c r="P1561">
        <v>1.9744282694376388E-2</v>
      </c>
      <c r="Q1561">
        <v>2.1930543625972732E-3</v>
      </c>
      <c r="R1561">
        <v>1.4934634260576887E-3</v>
      </c>
      <c r="S1561">
        <v>0.15736285913292614</v>
      </c>
      <c r="T1561">
        <v>1.0727375002270874</v>
      </c>
      <c r="U1561">
        <v>2.3819522694892185E-2</v>
      </c>
      <c r="V1561">
        <v>0.21070699061608489</v>
      </c>
      <c r="W1561">
        <v>8.7156189265359785E-2</v>
      </c>
      <c r="X1561">
        <v>1.6198102639462565E-2</v>
      </c>
      <c r="Y1561">
        <v>4.0647151256429422E-3</v>
      </c>
    </row>
    <row r="1562" spans="1:25" x14ac:dyDescent="0.25">
      <c r="A1562" s="827"/>
      <c r="B1562" s="1066">
        <v>1312</v>
      </c>
      <c r="C1562" s="831">
        <v>0.9641169311235489</v>
      </c>
      <c r="D1562" s="831">
        <v>1.005015504058814</v>
      </c>
      <c r="E1562" s="831">
        <v>1.0234998203769421</v>
      </c>
      <c r="F1562" s="831">
        <v>0.95993904258312279</v>
      </c>
      <c r="G1562" s="831">
        <v>0.97452112366408272</v>
      </c>
      <c r="H1562" s="831">
        <v>1.0058662164787959</v>
      </c>
      <c r="I1562" s="831">
        <v>1.0181033146892011</v>
      </c>
      <c r="K1562">
        <v>1.7633351836598501</v>
      </c>
      <c r="L1562">
        <v>0</v>
      </c>
      <c r="M1562">
        <v>1.3725119666703539E-3</v>
      </c>
      <c r="N1562">
        <v>0.14874062025062509</v>
      </c>
      <c r="O1562">
        <v>1.8458145170642527E-2</v>
      </c>
      <c r="P1562">
        <v>2.0324026017599126E-2</v>
      </c>
      <c r="Q1562">
        <v>2.291580302317377E-3</v>
      </c>
      <c r="R1562">
        <v>1.3641055009958191E-3</v>
      </c>
      <c r="S1562">
        <v>0.16139865689745189</v>
      </c>
      <c r="T1562">
        <v>1.0692871773980528</v>
      </c>
      <c r="U1562">
        <v>2.4190559407689213E-2</v>
      </c>
      <c r="V1562">
        <v>0.20971044872705377</v>
      </c>
      <c r="W1562">
        <v>8.7502243028945409E-2</v>
      </c>
      <c r="X1562">
        <v>1.77274874286916E-2</v>
      </c>
      <c r="Y1562">
        <v>3.7126454964530697E-3</v>
      </c>
    </row>
    <row r="1563" spans="1:25" x14ac:dyDescent="0.25">
      <c r="A1563" s="827"/>
      <c r="B1563" s="1066">
        <v>1313</v>
      </c>
      <c r="C1563" s="831">
        <v>1.0298362039574394</v>
      </c>
      <c r="D1563" s="831">
        <v>1.0203046124881254</v>
      </c>
      <c r="E1563" s="831">
        <v>0.99242926994231651</v>
      </c>
      <c r="F1563" s="831">
        <v>0.99684110749099508</v>
      </c>
      <c r="G1563" s="831">
        <v>0.9870761670582735</v>
      </c>
      <c r="H1563" s="831">
        <v>0.99951054103369952</v>
      </c>
      <c r="I1563" s="831">
        <v>1.0041926365699791</v>
      </c>
      <c r="K1563">
        <v>1.7150158302137464</v>
      </c>
      <c r="L1563">
        <v>0</v>
      </c>
      <c r="M1563">
        <v>1.3539853410212087E-3</v>
      </c>
      <c r="N1563">
        <v>0.13321441427596095</v>
      </c>
      <c r="O1563">
        <v>1.7162630882319941E-2</v>
      </c>
      <c r="P1563">
        <v>1.9576934919980866E-2</v>
      </c>
      <c r="Q1563">
        <v>2.0680474600773859E-3</v>
      </c>
      <c r="R1563">
        <v>1.3456294119643017E-3</v>
      </c>
      <c r="S1563">
        <v>0.14766346319312643</v>
      </c>
      <c r="T1563">
        <v>1.0720349672737013</v>
      </c>
      <c r="U1563">
        <v>2.2646832388179477E-2</v>
      </c>
      <c r="V1563">
        <v>0.2012804615485756</v>
      </c>
      <c r="W1563">
        <v>8.0042917404386266E-2</v>
      </c>
      <c r="X1563">
        <v>1.5671157123745675E-2</v>
      </c>
      <c r="Y1563">
        <v>3.6623596727503927E-3</v>
      </c>
    </row>
    <row r="1564" spans="1:25" x14ac:dyDescent="0.25">
      <c r="A1564" s="827"/>
      <c r="B1564" s="1066">
        <v>1314</v>
      </c>
      <c r="C1564" s="831">
        <v>1.0080244845421367</v>
      </c>
      <c r="D1564" s="831">
        <v>0.990574800759635</v>
      </c>
      <c r="E1564" s="831">
        <v>1.0348741288428001</v>
      </c>
      <c r="F1564" s="831">
        <v>1.0285166731046582</v>
      </c>
      <c r="G1564" s="831">
        <v>1.0065638757875681</v>
      </c>
      <c r="H1564" s="831">
        <v>1.0062259306104142</v>
      </c>
      <c r="I1564" s="831">
        <v>0.99042724192677201</v>
      </c>
      <c r="K1564">
        <v>1.7396280010274427</v>
      </c>
      <c r="L1564">
        <v>0</v>
      </c>
      <c r="M1564">
        <v>1.2904041863061795E-3</v>
      </c>
      <c r="N1564">
        <v>0.14486999202780218</v>
      </c>
      <c r="O1564">
        <v>1.7770291031134242E-2</v>
      </c>
      <c r="P1564">
        <v>2.0270708187546116E-2</v>
      </c>
      <c r="Q1564">
        <v>2.228496002647757E-3</v>
      </c>
      <c r="R1564">
        <v>1.2825127671518409E-3</v>
      </c>
      <c r="S1564">
        <v>0.15110308140938694</v>
      </c>
      <c r="T1564">
        <v>1.0682904053583766</v>
      </c>
      <c r="U1564">
        <v>2.3136866470953553E-2</v>
      </c>
      <c r="V1564">
        <v>0.20619162785765555</v>
      </c>
      <c r="W1564">
        <v>8.4577709744931465E-2</v>
      </c>
      <c r="X1564">
        <v>1.7706137384192938E-2</v>
      </c>
      <c r="Y1564">
        <v>3.4905769719672445E-3</v>
      </c>
    </row>
    <row r="1565" spans="1:25" x14ac:dyDescent="0.25">
      <c r="A1565" s="827"/>
      <c r="B1565" s="1066">
        <v>1315</v>
      </c>
      <c r="C1565" s="831">
        <v>0.99447507161898241</v>
      </c>
      <c r="D1565" s="831">
        <v>0.98826367717528074</v>
      </c>
      <c r="E1565" s="831">
        <v>1.0167909684281087</v>
      </c>
      <c r="F1565" s="831">
        <v>0.99835911121419019</v>
      </c>
      <c r="G1565" s="831">
        <v>1.0096334774309139</v>
      </c>
      <c r="H1565" s="831">
        <v>0.95821032646836524</v>
      </c>
      <c r="I1565" s="831">
        <v>0.99347509327794958</v>
      </c>
      <c r="K1565">
        <v>1.7308551106530246</v>
      </c>
      <c r="L1565">
        <v>0</v>
      </c>
      <c r="M1565">
        <v>1.2954825755306235E-3</v>
      </c>
      <c r="N1565">
        <v>0.13745630562663474</v>
      </c>
      <c r="O1565">
        <v>1.8031497842097399E-2</v>
      </c>
      <c r="P1565">
        <v>2.0043857544891689E-2</v>
      </c>
      <c r="Q1565">
        <v>2.2206648841267352E-3</v>
      </c>
      <c r="R1565">
        <v>1.2871646989977973E-3</v>
      </c>
      <c r="S1565">
        <v>0.15032054865251035</v>
      </c>
      <c r="T1565">
        <v>1.0698773981792664</v>
      </c>
      <c r="U1565">
        <v>2.345209906602751E-2</v>
      </c>
      <c r="V1565">
        <v>0.20787741309502045</v>
      </c>
      <c r="W1565">
        <v>8.1230684784625043E-2</v>
      </c>
      <c r="X1565">
        <v>1.6849720857413472E-2</v>
      </c>
      <c r="Y1565">
        <v>3.503237996943017E-3</v>
      </c>
    </row>
    <row r="1566" spans="1:25" x14ac:dyDescent="0.25">
      <c r="A1566" s="827"/>
      <c r="B1566" s="1066">
        <v>1316</v>
      </c>
      <c r="C1566" s="831">
        <v>0.99976167502502777</v>
      </c>
      <c r="D1566" s="831">
        <v>0.99027615230127097</v>
      </c>
      <c r="E1566" s="831">
        <v>1.0074510030144179</v>
      </c>
      <c r="F1566" s="831">
        <v>1.0105165640679126</v>
      </c>
      <c r="G1566" s="831">
        <v>1.0074368370064772</v>
      </c>
      <c r="H1566" s="831">
        <v>0.95442972358271372</v>
      </c>
      <c r="I1566" s="831">
        <v>1.0040707367705244</v>
      </c>
      <c r="K1566">
        <v>1.726782923874675</v>
      </c>
      <c r="L1566">
        <v>0</v>
      </c>
      <c r="M1566">
        <v>1.3078863991652511E-3</v>
      </c>
      <c r="N1566">
        <v>0.13479794214506416</v>
      </c>
      <c r="O1566">
        <v>1.7919608725016054E-2</v>
      </c>
      <c r="P1566">
        <v>1.9910672501218116E-2</v>
      </c>
      <c r="Q1566">
        <v>2.1867668768505463E-3</v>
      </c>
      <c r="R1566">
        <v>1.2994542127823517E-3</v>
      </c>
      <c r="S1566">
        <v>0.15071911622638065</v>
      </c>
      <c r="T1566">
        <v>1.0707019321197282</v>
      </c>
      <c r="U1566">
        <v>2.3328087564188058E-2</v>
      </c>
      <c r="V1566">
        <v>0.20711047190678153</v>
      </c>
      <c r="W1566">
        <v>8.0166116882178631E-2</v>
      </c>
      <c r="X1566">
        <v>1.641395511142283E-2</v>
      </c>
      <c r="Y1566">
        <v>3.5366860022274424E-3</v>
      </c>
    </row>
    <row r="1567" spans="1:25" x14ac:dyDescent="0.25">
      <c r="A1567" s="827"/>
      <c r="B1567" s="1066">
        <v>1317</v>
      </c>
      <c r="C1567" s="831">
        <v>0.98941465529618744</v>
      </c>
      <c r="D1567" s="831">
        <v>1.001314595596414</v>
      </c>
      <c r="E1567" s="831">
        <v>1.0114063596876428</v>
      </c>
      <c r="F1567" s="831">
        <v>1.0222307072670087</v>
      </c>
      <c r="G1567" s="831">
        <v>1.0027913962115009</v>
      </c>
      <c r="H1567" s="831">
        <v>1.0113118900713594</v>
      </c>
      <c r="I1567" s="831">
        <v>1.005404039651665</v>
      </c>
      <c r="K1567">
        <v>1.7478298472660454</v>
      </c>
      <c r="L1567">
        <v>0</v>
      </c>
      <c r="M1567">
        <v>1.3817427837172877E-3</v>
      </c>
      <c r="N1567">
        <v>0.14422382883389917</v>
      </c>
      <c r="O1567">
        <v>1.8016270969938838E-2</v>
      </c>
      <c r="P1567">
        <v>2.0040911114911825E-2</v>
      </c>
      <c r="Q1567">
        <v>2.2092868240633358E-3</v>
      </c>
      <c r="R1567">
        <v>1.3733278769485714E-3</v>
      </c>
      <c r="S1567">
        <v>0.15594526711256973</v>
      </c>
      <c r="T1567">
        <v>1.0703523496255427</v>
      </c>
      <c r="U1567">
        <v>2.3572046131984412E-2</v>
      </c>
      <c r="V1567">
        <v>0.20721153644839874</v>
      </c>
      <c r="W1567">
        <v>8.5541512825442978E-2</v>
      </c>
      <c r="X1567">
        <v>1.6987506522419801E-2</v>
      </c>
      <c r="Y1567">
        <v>3.7377457636410464E-3</v>
      </c>
    </row>
    <row r="1568" spans="1:25" x14ac:dyDescent="0.25">
      <c r="A1568" s="827"/>
      <c r="B1568" s="1066">
        <v>1318</v>
      </c>
      <c r="C1568" s="831">
        <v>1.0275207553450008</v>
      </c>
      <c r="D1568" s="831">
        <v>0.98229318191139592</v>
      </c>
      <c r="E1568" s="831">
        <v>1.036097066563809</v>
      </c>
      <c r="F1568" s="831">
        <v>1.0020696970367995</v>
      </c>
      <c r="G1568" s="831">
        <v>1.0063062004896615</v>
      </c>
      <c r="H1568" s="831">
        <v>0.98634066163629752</v>
      </c>
      <c r="I1568" s="831">
        <v>1.0139690454481225</v>
      </c>
      <c r="K1568">
        <v>1.7290825543312014</v>
      </c>
      <c r="L1568">
        <v>0</v>
      </c>
      <c r="M1568">
        <v>1.2424118121385397E-3</v>
      </c>
      <c r="N1568">
        <v>0.1399955628209138</v>
      </c>
      <c r="O1568">
        <v>1.7499645931518749E-2</v>
      </c>
      <c r="P1568">
        <v>2.0259836248053498E-2</v>
      </c>
      <c r="Q1568">
        <v>2.1956800357562727E-3</v>
      </c>
      <c r="R1568">
        <v>1.2346660478089427E-3</v>
      </c>
      <c r="S1568">
        <v>0.15087026829768024</v>
      </c>
      <c r="T1568">
        <v>1.0681835271790487</v>
      </c>
      <c r="U1568">
        <v>2.2697865495157194E-2</v>
      </c>
      <c r="V1568">
        <v>0.20491458468436249</v>
      </c>
      <c r="W1568">
        <v>8.1665231047507642E-2</v>
      </c>
      <c r="X1568">
        <v>1.7447744380950328E-2</v>
      </c>
      <c r="Y1568">
        <v>3.3603539745826671E-3</v>
      </c>
    </row>
    <row r="1569" spans="1:25" x14ac:dyDescent="0.25">
      <c r="A1569" s="827"/>
      <c r="B1569" s="1066">
        <v>1319</v>
      </c>
      <c r="C1569" s="831">
        <v>1.0470371985431075</v>
      </c>
      <c r="D1569" s="831">
        <v>0.97885139344736605</v>
      </c>
      <c r="E1569" s="831">
        <v>0.97701656271686022</v>
      </c>
      <c r="F1569" s="831">
        <v>1.0070257027158376</v>
      </c>
      <c r="G1569" s="831">
        <v>1.0337483440228967</v>
      </c>
      <c r="H1569" s="831">
        <v>0.96910941790025784</v>
      </c>
      <c r="I1569" s="831">
        <v>1.0269629523461044</v>
      </c>
      <c r="K1569">
        <v>1.7099841421739197</v>
      </c>
      <c r="L1569">
        <v>0</v>
      </c>
      <c r="M1569">
        <v>1.3589984897388228E-3</v>
      </c>
      <c r="N1569">
        <v>0.12741856663739098</v>
      </c>
      <c r="O1569">
        <v>1.7200847303176059E-2</v>
      </c>
      <c r="P1569">
        <v>1.9407013652364125E-2</v>
      </c>
      <c r="Q1569">
        <v>2.0335917830777198E-3</v>
      </c>
      <c r="R1569">
        <v>1.3503777146133143E-3</v>
      </c>
      <c r="S1569">
        <v>0.1489494313495254</v>
      </c>
      <c r="T1569">
        <v>1.0734115351811135</v>
      </c>
      <c r="U1569">
        <v>2.2274784440089776E-2</v>
      </c>
      <c r="V1569">
        <v>0.20324567353651732</v>
      </c>
      <c r="W1569">
        <v>7.7380891932122067E-2</v>
      </c>
      <c r="X1569">
        <v>1.4995144146382795E-2</v>
      </c>
      <c r="Y1569">
        <v>3.675282987283457E-3</v>
      </c>
    </row>
    <row r="1570" spans="1:25" x14ac:dyDescent="0.25">
      <c r="A1570" s="827"/>
      <c r="B1570" s="1066">
        <v>1320</v>
      </c>
      <c r="C1570" s="831">
        <v>0.98976144646943631</v>
      </c>
      <c r="D1570" s="831">
        <v>0.99801597898506389</v>
      </c>
      <c r="E1570" s="831">
        <v>0.97869689130965265</v>
      </c>
      <c r="F1570" s="831">
        <v>0.97566463913781187</v>
      </c>
      <c r="G1570" s="831">
        <v>1.0128164212156456</v>
      </c>
      <c r="H1570" s="831">
        <v>1.0181865705388027</v>
      </c>
      <c r="I1570" s="831">
        <v>0.97766332835905756</v>
      </c>
      <c r="K1570">
        <v>1.7420746047513955</v>
      </c>
      <c r="L1570">
        <v>0</v>
      </c>
      <c r="M1570">
        <v>1.4919639822932522E-3</v>
      </c>
      <c r="N1570">
        <v>0.1406616109044643</v>
      </c>
      <c r="O1570">
        <v>1.8036898393808527E-2</v>
      </c>
      <c r="P1570">
        <v>1.954878246464567E-2</v>
      </c>
      <c r="Q1570">
        <v>2.1395033525279934E-3</v>
      </c>
      <c r="R1570">
        <v>1.4829415958849126E-3</v>
      </c>
      <c r="S1570">
        <v>0.15228518482899364</v>
      </c>
      <c r="T1570">
        <v>1.0732610248114411</v>
      </c>
      <c r="U1570">
        <v>2.3563786992811905E-2</v>
      </c>
      <c r="V1570">
        <v>0.20747680774838353</v>
      </c>
      <c r="W1570">
        <v>8.5323658419242498E-2</v>
      </c>
      <c r="X1570">
        <v>1.5750291049049917E-2</v>
      </c>
      <c r="Y1570">
        <v>4.0360781724330308E-3</v>
      </c>
    </row>
    <row r="1571" spans="1:25" x14ac:dyDescent="0.25">
      <c r="A1571" s="827"/>
      <c r="B1571" s="1066">
        <v>1321</v>
      </c>
      <c r="C1571" s="831">
        <v>0.99660483839940839</v>
      </c>
      <c r="D1571" s="831">
        <v>1.0342798864117662</v>
      </c>
      <c r="E1571" s="831">
        <v>1.0193579471165308</v>
      </c>
      <c r="F1571" s="831">
        <v>0.98968764263330966</v>
      </c>
      <c r="G1571" s="831">
        <v>1.0006459639670195</v>
      </c>
      <c r="H1571" s="831">
        <v>1.0045373118733596</v>
      </c>
      <c r="I1571" s="831">
        <v>0.96931703328791075</v>
      </c>
      <c r="K1571">
        <v>1.7282656810903412</v>
      </c>
      <c r="L1571">
        <v>0</v>
      </c>
      <c r="M1571">
        <v>1.3204499244975697E-3</v>
      </c>
      <c r="N1571">
        <v>0.14126619880785074</v>
      </c>
      <c r="O1571">
        <v>1.7626303510305877E-2</v>
      </c>
      <c r="P1571">
        <v>1.9968385374315136E-2</v>
      </c>
      <c r="Q1571">
        <v>2.1844030090986477E-3</v>
      </c>
      <c r="R1571">
        <v>1.3123328692002322E-3</v>
      </c>
      <c r="S1571">
        <v>0.14680666381647661</v>
      </c>
      <c r="T1571">
        <v>1.0696513632033651</v>
      </c>
      <c r="U1571">
        <v>2.3401981406953796E-2</v>
      </c>
      <c r="V1571">
        <v>0.20348402512339997</v>
      </c>
      <c r="W1571">
        <v>8.3337494639565579E-2</v>
      </c>
      <c r="X1571">
        <v>1.6975241794758993E-2</v>
      </c>
      <c r="Y1571">
        <v>3.5717374595489668E-3</v>
      </c>
    </row>
    <row r="1572" spans="1:25" x14ac:dyDescent="0.25">
      <c r="A1572" s="827"/>
      <c r="B1572" s="1066">
        <v>1322</v>
      </c>
      <c r="C1572" s="831">
        <v>1.0250988019268732</v>
      </c>
      <c r="D1572" s="831">
        <v>1.0081929612515732</v>
      </c>
      <c r="E1572" s="831">
        <v>1.0127073687405681</v>
      </c>
      <c r="F1572" s="831">
        <v>1.0218624869489954</v>
      </c>
      <c r="G1572" s="831">
        <v>0.99283963384968443</v>
      </c>
      <c r="H1572" s="831">
        <v>1.0072485459122846</v>
      </c>
      <c r="I1572" s="831">
        <v>0.9828348243649756</v>
      </c>
      <c r="K1572">
        <v>1.7220962613477611</v>
      </c>
      <c r="L1572">
        <v>0</v>
      </c>
      <c r="M1572">
        <v>1.320549812141861E-3</v>
      </c>
      <c r="N1572">
        <v>0.13839125772990082</v>
      </c>
      <c r="O1572">
        <v>1.7335307622044643E-2</v>
      </c>
      <c r="P1572">
        <v>1.9855798933306947E-2</v>
      </c>
      <c r="Q1572">
        <v>2.1297372500385537E-3</v>
      </c>
      <c r="R1572">
        <v>1.3124706382009353E-3</v>
      </c>
      <c r="S1572">
        <v>0.14644176420920899</v>
      </c>
      <c r="T1572">
        <v>1.0702374931092031</v>
      </c>
      <c r="U1572">
        <v>2.2751492689742619E-2</v>
      </c>
      <c r="V1572">
        <v>0.20281611456769422</v>
      </c>
      <c r="W1572">
        <v>8.2009693180383716E-2</v>
      </c>
      <c r="X1572">
        <v>1.6563568808824591E-2</v>
      </c>
      <c r="Y1572">
        <v>3.5721124213533425E-3</v>
      </c>
    </row>
    <row r="1573" spans="1:25" x14ac:dyDescent="0.25">
      <c r="A1573" s="827"/>
      <c r="B1573" s="1066">
        <v>1323</v>
      </c>
      <c r="C1573" s="831">
        <v>0.99279146449369748</v>
      </c>
      <c r="D1573" s="831">
        <v>1.0216132169979775</v>
      </c>
      <c r="E1573" s="831">
        <v>1.0028379496043762</v>
      </c>
      <c r="F1573" s="831">
        <v>0.99655669809230707</v>
      </c>
      <c r="G1573" s="831">
        <v>1.0131086802031932</v>
      </c>
      <c r="H1573" s="831">
        <v>1.0163652888722983</v>
      </c>
      <c r="I1573" s="831">
        <v>1.0295662025344747</v>
      </c>
      <c r="K1573">
        <v>1.7446207621981593</v>
      </c>
      <c r="L1573">
        <v>0</v>
      </c>
      <c r="M1573">
        <v>1.3964296283130041E-3</v>
      </c>
      <c r="N1573">
        <v>0.14192757786186896</v>
      </c>
      <c r="O1573">
        <v>1.779272442700831E-2</v>
      </c>
      <c r="P1573">
        <v>1.9923899365636093E-2</v>
      </c>
      <c r="Q1573">
        <v>2.1667760752720933E-3</v>
      </c>
      <c r="R1573">
        <v>1.387953798234303E-3</v>
      </c>
      <c r="S1573">
        <v>0.15820302344637516</v>
      </c>
      <c r="T1573">
        <v>1.071110390189882</v>
      </c>
      <c r="U1573">
        <v>2.3491869876416764E-2</v>
      </c>
      <c r="V1573">
        <v>0.20500211297981358</v>
      </c>
      <c r="W1573">
        <v>8.4672091983534967E-2</v>
      </c>
      <c r="X1573">
        <v>1.6561219122482887E-2</v>
      </c>
      <c r="Y1573">
        <v>3.7775526999471506E-3</v>
      </c>
    </row>
    <row r="1574" spans="1:25" x14ac:dyDescent="0.25">
      <c r="A1574" s="827"/>
      <c r="B1574" s="1066">
        <v>1324</v>
      </c>
      <c r="C1574" s="831">
        <v>1.0080444227946768</v>
      </c>
      <c r="D1574" s="831">
        <v>1.0008042521338518</v>
      </c>
      <c r="E1574" s="831">
        <v>0.97849244026410509</v>
      </c>
      <c r="F1574" s="831">
        <v>0.99494494916181164</v>
      </c>
      <c r="G1574" s="831">
        <v>1.001380382406889</v>
      </c>
      <c r="H1574" s="831">
        <v>0.96723955501745962</v>
      </c>
      <c r="I1574" s="831">
        <v>0.97813593635414653</v>
      </c>
      <c r="K1574">
        <v>1.7161906500182234</v>
      </c>
      <c r="L1574">
        <v>0</v>
      </c>
      <c r="M1574">
        <v>1.3904455503901433E-3</v>
      </c>
      <c r="N1574">
        <v>0.13096484176351375</v>
      </c>
      <c r="O1574">
        <v>1.768739395005484E-2</v>
      </c>
      <c r="P1574">
        <v>1.9424230391235021E-2</v>
      </c>
      <c r="Q1574">
        <v>2.0980894294964545E-3</v>
      </c>
      <c r="R1574">
        <v>1.3815921699299452E-3</v>
      </c>
      <c r="S1574">
        <v>0.14587462417331426</v>
      </c>
      <c r="T1574">
        <v>1.0732793322315795</v>
      </c>
      <c r="U1574">
        <v>2.3136408843614609E-2</v>
      </c>
      <c r="V1574">
        <v>0.20524793557698595</v>
      </c>
      <c r="W1574">
        <v>7.9452995764755521E-2</v>
      </c>
      <c r="X1574">
        <v>1.5273412829322153E-2</v>
      </c>
      <c r="Y1574">
        <v>3.7602384448128961E-3</v>
      </c>
    </row>
    <row r="1575" spans="1:25" x14ac:dyDescent="0.25">
      <c r="A1575" s="827"/>
      <c r="B1575" s="1066">
        <v>1325</v>
      </c>
      <c r="C1575" s="831">
        <v>1.0194398335301891</v>
      </c>
      <c r="D1575" s="831">
        <v>1.0264750239913605</v>
      </c>
      <c r="E1575" s="831">
        <v>0.96596600311987435</v>
      </c>
      <c r="F1575" s="831">
        <v>1.0094980741273902</v>
      </c>
      <c r="G1575" s="831">
        <v>1.0040447580739369</v>
      </c>
      <c r="H1575" s="831">
        <v>0.9924644546904875</v>
      </c>
      <c r="I1575" s="831">
        <v>0.96694341026421804</v>
      </c>
      <c r="K1575">
        <v>1.7080559182068518</v>
      </c>
      <c r="L1575">
        <v>0</v>
      </c>
      <c r="M1575">
        <v>1.43182706359844E-3</v>
      </c>
      <c r="N1575">
        <v>0.12971692072309735</v>
      </c>
      <c r="O1575">
        <v>1.7290499087665074E-2</v>
      </c>
      <c r="P1575">
        <v>1.9163635460940385E-2</v>
      </c>
      <c r="Q1575">
        <v>2.0291283101295712E-3</v>
      </c>
      <c r="R1575">
        <v>1.4229236923766731E-3</v>
      </c>
      <c r="S1575">
        <v>0.14280385671142937</v>
      </c>
      <c r="T1575">
        <v>1.0744039946294766</v>
      </c>
      <c r="U1575">
        <v>2.2877787517425394E-2</v>
      </c>
      <c r="V1575">
        <v>0.20179518775947225</v>
      </c>
      <c r="W1575">
        <v>7.9386700412052549E-2</v>
      </c>
      <c r="X1575">
        <v>1.4724381742404228E-2</v>
      </c>
      <c r="Y1575">
        <v>3.872729223980177E-3</v>
      </c>
    </row>
    <row r="1576" spans="1:25" x14ac:dyDescent="0.25">
      <c r="A1576" s="827"/>
      <c r="B1576" s="1066">
        <v>1326</v>
      </c>
      <c r="C1576" s="831">
        <v>0.97313429756173675</v>
      </c>
      <c r="D1576" s="831">
        <v>1.0136220115643977</v>
      </c>
      <c r="E1576" s="831">
        <v>1.0414342976541267</v>
      </c>
      <c r="F1576" s="831">
        <v>0.97932762299576104</v>
      </c>
      <c r="G1576" s="831">
        <v>0.96972074665693442</v>
      </c>
      <c r="H1576" s="831">
        <v>0.99928556641095401</v>
      </c>
      <c r="I1576" s="831">
        <v>1.0419703102703006</v>
      </c>
      <c r="K1576">
        <v>1.7596836158542313</v>
      </c>
      <c r="L1576">
        <v>0</v>
      </c>
      <c r="M1576">
        <v>1.2955831509953335E-3</v>
      </c>
      <c r="N1576">
        <v>0.14843389321509251</v>
      </c>
      <c r="O1576">
        <v>1.821668565240641E-2</v>
      </c>
      <c r="P1576">
        <v>2.0555609929186688E-2</v>
      </c>
      <c r="Q1576">
        <v>2.3036095974367011E-3</v>
      </c>
      <c r="R1576">
        <v>1.2875900846884231E-3</v>
      </c>
      <c r="S1576">
        <v>0.16257106419557807</v>
      </c>
      <c r="T1576">
        <v>1.0677177467534913</v>
      </c>
      <c r="U1576">
        <v>2.3966402126345328E-2</v>
      </c>
      <c r="V1576">
        <v>0.20788179291392356</v>
      </c>
      <c r="W1576">
        <v>8.6280391555190517E-2</v>
      </c>
      <c r="X1576">
        <v>1.8260017225322077E-2</v>
      </c>
      <c r="Y1576">
        <v>3.5043957565645449E-3</v>
      </c>
    </row>
    <row r="1577" spans="1:25" x14ac:dyDescent="0.25">
      <c r="A1577" s="827"/>
      <c r="B1577" s="1066">
        <v>1327</v>
      </c>
      <c r="C1577" s="831">
        <v>1.0205650364711822</v>
      </c>
      <c r="D1577" s="831">
        <v>1.0101614355749706</v>
      </c>
      <c r="E1577" s="831">
        <v>0.98939461991926403</v>
      </c>
      <c r="F1577" s="831">
        <v>1.0123404255157655</v>
      </c>
      <c r="G1577" s="831">
        <v>0.96308554085656484</v>
      </c>
      <c r="H1577" s="831">
        <v>0.96196159928851765</v>
      </c>
      <c r="I1577" s="831">
        <v>1.0063140052433617</v>
      </c>
      <c r="K1577">
        <v>1.7112019215342671</v>
      </c>
      <c r="L1577">
        <v>0</v>
      </c>
      <c r="M1577">
        <v>1.3293615642720549E-3</v>
      </c>
      <c r="N1577">
        <v>0.12953119221439771</v>
      </c>
      <c r="O1577">
        <v>1.7396956923039403E-2</v>
      </c>
      <c r="P1577">
        <v>1.9558424978576416E-2</v>
      </c>
      <c r="Q1577">
        <v>2.0881689956724963E-3</v>
      </c>
      <c r="R1577">
        <v>1.3208442459171942E-3</v>
      </c>
      <c r="S1577">
        <v>0.14729343939990294</v>
      </c>
      <c r="T1577">
        <v>1.0723052967368529</v>
      </c>
      <c r="U1577">
        <v>2.2852564084446501E-2</v>
      </c>
      <c r="V1577">
        <v>0.20310530660465187</v>
      </c>
      <c r="W1577">
        <v>7.7992633274000037E-2</v>
      </c>
      <c r="X1577">
        <v>1.5491553019884122E-2</v>
      </c>
      <c r="Y1577">
        <v>3.5949026211979564E-3</v>
      </c>
    </row>
    <row r="1578" spans="1:25" x14ac:dyDescent="0.25">
      <c r="A1578" s="827"/>
      <c r="B1578" s="1066">
        <v>1328</v>
      </c>
      <c r="C1578" s="831">
        <v>1.0039711144523671</v>
      </c>
      <c r="D1578" s="831">
        <v>1.0001903782275829</v>
      </c>
      <c r="E1578" s="831">
        <v>1.0064389451193891</v>
      </c>
      <c r="F1578" s="831">
        <v>1.0247244817286112</v>
      </c>
      <c r="G1578" s="831">
        <v>1.0003080831503142</v>
      </c>
      <c r="H1578" s="831">
        <v>1.040357687154001</v>
      </c>
      <c r="I1578" s="831">
        <v>0.97180657789094538</v>
      </c>
      <c r="K1578">
        <v>1.7430504274959897</v>
      </c>
      <c r="L1578">
        <v>0</v>
      </c>
      <c r="M1578">
        <v>1.4162894615513285E-3</v>
      </c>
      <c r="N1578">
        <v>0.14558919115915511</v>
      </c>
      <c r="O1578">
        <v>1.7764091298231671E-2</v>
      </c>
      <c r="P1578">
        <v>1.9875666024214537E-2</v>
      </c>
      <c r="Q1578">
        <v>2.1673666788113552E-3</v>
      </c>
      <c r="R1578">
        <v>1.4079057403034918E-3</v>
      </c>
      <c r="S1578">
        <v>0.15063603990860602</v>
      </c>
      <c r="T1578">
        <v>1.0707914748924485</v>
      </c>
      <c r="U1578">
        <v>2.3230277806373819E-2</v>
      </c>
      <c r="V1578">
        <v>0.20573858512685789</v>
      </c>
      <c r="W1578">
        <v>8.664350456544366E-2</v>
      </c>
      <c r="X1578">
        <v>1.6790758447989097E-2</v>
      </c>
      <c r="Y1578">
        <v>3.8318553091035486E-3</v>
      </c>
    </row>
    <row r="1579" spans="1:25" x14ac:dyDescent="0.25">
      <c r="A1579" s="827"/>
      <c r="B1579" s="1066">
        <v>1329</v>
      </c>
      <c r="C1579" s="831">
        <v>0.9706745131119533</v>
      </c>
      <c r="D1579" s="831">
        <v>1.012873601323687</v>
      </c>
      <c r="E1579" s="831">
        <v>0.99862346923003187</v>
      </c>
      <c r="F1579" s="831">
        <v>0.98605423651310009</v>
      </c>
      <c r="G1579" s="831">
        <v>0.97160484124809532</v>
      </c>
      <c r="H1579" s="831">
        <v>1.0302084971030188</v>
      </c>
      <c r="I1579" s="831">
        <v>1.0039165669456356</v>
      </c>
      <c r="K1579">
        <v>1.7593373077947225</v>
      </c>
      <c r="L1579">
        <v>0</v>
      </c>
      <c r="M1579">
        <v>1.4662857263243051E-3</v>
      </c>
      <c r="N1579">
        <v>0.14709901172065404</v>
      </c>
      <c r="O1579">
        <v>1.8268950311852539E-2</v>
      </c>
      <c r="P1579">
        <v>1.9933498093699306E-2</v>
      </c>
      <c r="Q1579">
        <v>2.2138236336291879E-3</v>
      </c>
      <c r="R1579">
        <v>1.4575115720272807E-3</v>
      </c>
      <c r="S1579">
        <v>0.15936146474976318</v>
      </c>
      <c r="T1579">
        <v>1.0714842595354148</v>
      </c>
      <c r="U1579">
        <v>2.402713534069402E-2</v>
      </c>
      <c r="V1579">
        <v>0.20822496547320163</v>
      </c>
      <c r="W1579">
        <v>8.8010603563078854E-2</v>
      </c>
      <c r="X1579">
        <v>1.675550349653368E-2</v>
      </c>
      <c r="Y1579">
        <v>3.9668660304976681E-3</v>
      </c>
    </row>
    <row r="1580" spans="1:25" x14ac:dyDescent="0.25">
      <c r="A1580" s="827"/>
      <c r="B1580" s="1066">
        <v>1330</v>
      </c>
      <c r="C1580" s="831">
        <v>1.0300700642168965</v>
      </c>
      <c r="D1580" s="831">
        <v>1.0012980028266572</v>
      </c>
      <c r="E1580" s="831">
        <v>1.0324162853751462</v>
      </c>
      <c r="F1580" s="831">
        <v>0.97535384522256818</v>
      </c>
      <c r="G1580" s="831">
        <v>1.0296595692742636</v>
      </c>
      <c r="H1580" s="831">
        <v>0.98890198087608727</v>
      </c>
      <c r="I1580" s="831">
        <v>0.98961727169104952</v>
      </c>
      <c r="K1580">
        <v>1.719247940391881</v>
      </c>
      <c r="L1580">
        <v>0</v>
      </c>
      <c r="M1580">
        <v>1.2414534679958354E-3</v>
      </c>
      <c r="N1580">
        <v>0.13829971351850301</v>
      </c>
      <c r="O1580">
        <v>1.7305324105309994E-2</v>
      </c>
      <c r="P1580">
        <v>2.0112225434025986E-2</v>
      </c>
      <c r="Q1580">
        <v>2.1668455033522068E-3</v>
      </c>
      <c r="R1580">
        <v>1.2337216106940109E-3</v>
      </c>
      <c r="S1580">
        <v>0.14589469744738928</v>
      </c>
      <c r="T1580">
        <v>1.0685053793805979</v>
      </c>
      <c r="U1580">
        <v>2.2641690801910613E-2</v>
      </c>
      <c r="V1580">
        <v>0.20292115193355356</v>
      </c>
      <c r="W1580">
        <v>8.087462188247771E-2</v>
      </c>
      <c r="X1580">
        <v>1.7176238713971431E-2</v>
      </c>
      <c r="Y1580">
        <v>3.3577835280894342E-3</v>
      </c>
    </row>
    <row r="1581" spans="1:25" x14ac:dyDescent="0.25">
      <c r="A1581" s="827"/>
      <c r="B1581" s="1066">
        <v>1331</v>
      </c>
      <c r="C1581" s="831">
        <v>0.98443648621378443</v>
      </c>
      <c r="D1581" s="831">
        <v>0.99818673742003172</v>
      </c>
      <c r="E1581" s="831">
        <v>1.0053960011883152</v>
      </c>
      <c r="F1581" s="831">
        <v>1.0033147453373517</v>
      </c>
      <c r="G1581" s="831">
        <v>1.0352084513568665</v>
      </c>
      <c r="H1581" s="831">
        <v>1.0213370182340102</v>
      </c>
      <c r="I1581" s="831">
        <v>1.0330859215565797</v>
      </c>
      <c r="K1581">
        <v>1.7583028312086368</v>
      </c>
      <c r="L1581">
        <v>0</v>
      </c>
      <c r="M1581">
        <v>1.4223967393014434E-3</v>
      </c>
      <c r="N1581">
        <v>0.14572752177722287</v>
      </c>
      <c r="O1581">
        <v>1.8133057017834544E-2</v>
      </c>
      <c r="P1581">
        <v>2.0055483609672776E-2</v>
      </c>
      <c r="Q1581">
        <v>2.2097095921248871E-3</v>
      </c>
      <c r="R1581">
        <v>1.4138214618038248E-3</v>
      </c>
      <c r="S1581">
        <v>0.16201451319909413</v>
      </c>
      <c r="T1581">
        <v>1.0708837908346267</v>
      </c>
      <c r="U1581">
        <v>2.3691246946771917E-2</v>
      </c>
      <c r="V1581">
        <v>0.20805221823866227</v>
      </c>
      <c r="W1581">
        <v>8.6787484962638425E-2</v>
      </c>
      <c r="X1581">
        <v>1.6908424354573987E-2</v>
      </c>
      <c r="Y1581">
        <v>3.8479559529103853E-3</v>
      </c>
    </row>
    <row r="1582" spans="1:25" x14ac:dyDescent="0.25">
      <c r="A1582" s="827"/>
      <c r="B1582" s="1066">
        <v>1332</v>
      </c>
      <c r="C1582" s="831">
        <v>0.99243658177254301</v>
      </c>
      <c r="D1582" s="831">
        <v>0.99014708180441602</v>
      </c>
      <c r="E1582" s="831">
        <v>0.99624477046689608</v>
      </c>
      <c r="F1582" s="831">
        <v>0.97780334414086068</v>
      </c>
      <c r="G1582" s="831">
        <v>0.99601468795264458</v>
      </c>
      <c r="H1582" s="831">
        <v>0.95614978456369037</v>
      </c>
      <c r="I1582" s="831">
        <v>1.0103677068477772</v>
      </c>
      <c r="K1582">
        <v>1.7309528778867642</v>
      </c>
      <c r="L1582">
        <v>0</v>
      </c>
      <c r="M1582">
        <v>1.3515229921674911E-3</v>
      </c>
      <c r="N1582">
        <v>0.13452489975881485</v>
      </c>
      <c r="O1582">
        <v>1.8052938985396873E-2</v>
      </c>
      <c r="P1582">
        <v>1.9801968887573695E-2</v>
      </c>
      <c r="Q1582">
        <v>2.1783626935441515E-3</v>
      </c>
      <c r="R1582">
        <v>1.3428252405594881E-3</v>
      </c>
      <c r="S1582">
        <v>0.15291829905492677</v>
      </c>
      <c r="T1582">
        <v>1.0716955714021299</v>
      </c>
      <c r="U1582">
        <v>2.3500270270819645E-2</v>
      </c>
      <c r="V1582">
        <v>0.20792323609895683</v>
      </c>
      <c r="W1582">
        <v>8.061874787708341E-2</v>
      </c>
      <c r="X1582">
        <v>1.6092552966545375E-2</v>
      </c>
      <c r="Y1582">
        <v>3.6547276425813436E-3</v>
      </c>
    </row>
    <row r="1583" spans="1:25" x14ac:dyDescent="0.25">
      <c r="A1583" s="827"/>
      <c r="B1583" s="1066">
        <v>1333</v>
      </c>
      <c r="C1583" s="831">
        <v>0.99675432046830048</v>
      </c>
      <c r="D1583" s="831">
        <v>1.0016650523530051</v>
      </c>
      <c r="E1583" s="831">
        <v>1.0318230263823789</v>
      </c>
      <c r="F1583" s="831">
        <v>1.0232807750762356</v>
      </c>
      <c r="G1583" s="831">
        <v>1.0254639019884202</v>
      </c>
      <c r="H1583" s="831">
        <v>1.002744196757716</v>
      </c>
      <c r="I1583" s="831">
        <v>0.96695022967072697</v>
      </c>
      <c r="K1583">
        <v>1.737589909805892</v>
      </c>
      <c r="L1583">
        <v>0</v>
      </c>
      <c r="M1583">
        <v>1.3023245319986455E-3</v>
      </c>
      <c r="N1583">
        <v>0.14482644622844609</v>
      </c>
      <c r="O1583">
        <v>1.7880773007979994E-2</v>
      </c>
      <c r="P1583">
        <v>2.0196184113821358E-2</v>
      </c>
      <c r="Q1583">
        <v>2.237654838962066E-3</v>
      </c>
      <c r="R1583">
        <v>1.2943252933752143E-3</v>
      </c>
      <c r="S1583">
        <v>0.14825857513473972</v>
      </c>
      <c r="T1583">
        <v>1.0685573028269619</v>
      </c>
      <c r="U1583">
        <v>2.3398471839425474E-2</v>
      </c>
      <c r="V1583">
        <v>0.20637757314014324</v>
      </c>
      <c r="W1583">
        <v>8.4724937728955868E-2</v>
      </c>
      <c r="X1583">
        <v>1.7617263410728303E-2</v>
      </c>
      <c r="Y1583">
        <v>3.5227267743490435E-3</v>
      </c>
    </row>
    <row r="1584" spans="1:25" x14ac:dyDescent="0.25">
      <c r="A1584" s="827"/>
      <c r="B1584" s="1066">
        <v>1334</v>
      </c>
      <c r="C1584" s="831">
        <v>1.0195731966186619</v>
      </c>
      <c r="D1584" s="831">
        <v>0.98625714244082419</v>
      </c>
      <c r="E1584" s="831">
        <v>1.0362736635652654</v>
      </c>
      <c r="F1584" s="831">
        <v>1.0042133427476114</v>
      </c>
      <c r="G1584" s="831">
        <v>1.0184401165970669</v>
      </c>
      <c r="H1584" s="831">
        <v>1.0024307252125699</v>
      </c>
      <c r="I1584" s="831">
        <v>1.004834263277067</v>
      </c>
      <c r="K1584">
        <v>1.7358087451888675</v>
      </c>
      <c r="L1584">
        <v>0</v>
      </c>
      <c r="M1584">
        <v>1.2697258297777257E-3</v>
      </c>
      <c r="N1584">
        <v>0.14316585977201093</v>
      </c>
      <c r="O1584">
        <v>1.7603852483815116E-2</v>
      </c>
      <c r="P1584">
        <v>2.0280901114523665E-2</v>
      </c>
      <c r="Q1584">
        <v>2.2098747890545506E-3</v>
      </c>
      <c r="R1584">
        <v>1.2619342607188794E-3</v>
      </c>
      <c r="S1584">
        <v>0.15156999683021682</v>
      </c>
      <c r="T1584">
        <v>1.0681680982431125</v>
      </c>
      <c r="U1584">
        <v>2.2874795037424112E-2</v>
      </c>
      <c r="V1584">
        <v>0.20537177464922815</v>
      </c>
      <c r="W1584">
        <v>8.3504756666490793E-2</v>
      </c>
      <c r="X1584">
        <v>1.7632058110888714E-2</v>
      </c>
      <c r="Y1584">
        <v>3.434569061159545E-3</v>
      </c>
    </row>
    <row r="1585" spans="1:25" x14ac:dyDescent="0.25">
      <c r="A1585" s="827"/>
      <c r="B1585" s="1066">
        <v>1335</v>
      </c>
      <c r="C1585" s="831">
        <v>0.99855172948243998</v>
      </c>
      <c r="D1585" s="831">
        <v>0.95463744858402289</v>
      </c>
      <c r="E1585" s="831">
        <v>1.0295615663444171</v>
      </c>
      <c r="F1585" s="831">
        <v>0.95584658970875613</v>
      </c>
      <c r="G1585" s="831">
        <v>1.0053720008994957</v>
      </c>
      <c r="H1585" s="831">
        <v>1.0108843158742227</v>
      </c>
      <c r="I1585" s="831">
        <v>0.96294386209829608</v>
      </c>
      <c r="K1585">
        <v>1.7517084085095782</v>
      </c>
      <c r="L1585">
        <v>0</v>
      </c>
      <c r="M1585">
        <v>1.3458610471950971E-3</v>
      </c>
      <c r="N1585">
        <v>0.14863202955837643</v>
      </c>
      <c r="O1585">
        <v>1.824268221405299E-2</v>
      </c>
      <c r="P1585">
        <v>2.0263007419830913E-2</v>
      </c>
      <c r="Q1585">
        <v>2.2687801967615313E-3</v>
      </c>
      <c r="R1585">
        <v>1.3376934070965891E-3</v>
      </c>
      <c r="S1585">
        <v>0.15093414453847023</v>
      </c>
      <c r="T1585">
        <v>1.0687553537083905</v>
      </c>
      <c r="U1585">
        <v>2.33563542175141E-2</v>
      </c>
      <c r="V1585">
        <v>0.21071334353338819</v>
      </c>
      <c r="W1585">
        <v>8.708304856232596E-2</v>
      </c>
      <c r="X1585">
        <v>1.7827071716961282E-2</v>
      </c>
      <c r="Y1585">
        <v>3.6407604836037797E-3</v>
      </c>
    </row>
    <row r="1586" spans="1:25" x14ac:dyDescent="0.25">
      <c r="A1586" s="827"/>
      <c r="B1586" s="1066">
        <v>1336</v>
      </c>
      <c r="C1586" s="831">
        <v>0.98563909919744952</v>
      </c>
      <c r="D1586" s="831">
        <v>1.0009704957993257</v>
      </c>
      <c r="E1586" s="831">
        <v>0.97089847725145006</v>
      </c>
      <c r="F1586" s="831">
        <v>1.0196703895988366</v>
      </c>
      <c r="G1586" s="831">
        <v>1.0181771162511331</v>
      </c>
      <c r="H1586" s="831">
        <v>0.99400393931785258</v>
      </c>
      <c r="I1586" s="831">
        <v>1.0109915594980043</v>
      </c>
      <c r="K1586">
        <v>1.7404541302654017</v>
      </c>
      <c r="L1586">
        <v>0</v>
      </c>
      <c r="M1586">
        <v>1.4847553695116953E-3</v>
      </c>
      <c r="N1586">
        <v>0.13660002169379204</v>
      </c>
      <c r="O1586">
        <v>1.8088098981420442E-2</v>
      </c>
      <c r="P1586">
        <v>1.9497543997490735E-2</v>
      </c>
      <c r="Q1586">
        <v>2.1291044459326447E-3</v>
      </c>
      <c r="R1586">
        <v>1.4755559195276219E-3</v>
      </c>
      <c r="S1586">
        <v>0.15616119868589493</v>
      </c>
      <c r="T1586">
        <v>1.0739604395836109</v>
      </c>
      <c r="U1586">
        <v>2.3662340421857619E-2</v>
      </c>
      <c r="V1586">
        <v>0.20765813857393425</v>
      </c>
      <c r="W1586">
        <v>8.3311189052698242E-2</v>
      </c>
      <c r="X1586">
        <v>1.537927748267884E-2</v>
      </c>
      <c r="Y1586">
        <v>4.015976796076042E-3</v>
      </c>
    </row>
    <row r="1587" spans="1:25" x14ac:dyDescent="0.25">
      <c r="A1587" s="827"/>
      <c r="B1587" s="1066">
        <v>1337</v>
      </c>
      <c r="C1587" s="831">
        <v>0.99001721468677817</v>
      </c>
      <c r="D1587" s="831">
        <v>0.993949366206899</v>
      </c>
      <c r="E1587" s="831">
        <v>0.98599839856618243</v>
      </c>
      <c r="F1587" s="831">
        <v>0.99478985526245989</v>
      </c>
      <c r="G1587" s="831">
        <v>1.0389503345767761</v>
      </c>
      <c r="H1587" s="831">
        <v>1.0133383883116931</v>
      </c>
      <c r="I1587" s="831">
        <v>1.0248196043864162</v>
      </c>
      <c r="K1587">
        <v>1.7499846038522946</v>
      </c>
      <c r="L1587">
        <v>0</v>
      </c>
      <c r="M1587">
        <v>1.4645914320786017E-3</v>
      </c>
      <c r="N1587">
        <v>0.14125383371766281</v>
      </c>
      <c r="O1587">
        <v>1.8065635332036811E-2</v>
      </c>
      <c r="P1587">
        <v>1.9750655926900833E-2</v>
      </c>
      <c r="Q1587">
        <v>2.158129412399689E-3</v>
      </c>
      <c r="R1587">
        <v>1.4556951678863445E-3</v>
      </c>
      <c r="S1587">
        <v>0.15949903948029792</v>
      </c>
      <c r="T1587">
        <v>1.0726082465337878</v>
      </c>
      <c r="U1587">
        <v>2.3557699353421818E-2</v>
      </c>
      <c r="V1587">
        <v>0.20783236463390911</v>
      </c>
      <c r="W1587">
        <v>8.5250594366045485E-2</v>
      </c>
      <c r="X1587">
        <v>1.6055378982819543E-2</v>
      </c>
      <c r="Y1587">
        <v>3.9619223772035051E-3</v>
      </c>
    </row>
    <row r="1588" spans="1:25" x14ac:dyDescent="0.25">
      <c r="A1588" s="827"/>
      <c r="B1588" s="1066">
        <v>1338</v>
      </c>
      <c r="C1588" s="831">
        <v>1.0061773087175365</v>
      </c>
      <c r="D1588" s="831">
        <v>1.0157075844846801</v>
      </c>
      <c r="E1588" s="831">
        <v>1.0063971649986201</v>
      </c>
      <c r="F1588" s="831">
        <v>1.0105061218997362</v>
      </c>
      <c r="G1588" s="831">
        <v>0.99782803192255887</v>
      </c>
      <c r="H1588" s="831">
        <v>1.0301264804310735</v>
      </c>
      <c r="I1588" s="831">
        <v>0.95396769583039309</v>
      </c>
      <c r="K1588">
        <v>1.731726772310402</v>
      </c>
      <c r="L1588">
        <v>0</v>
      </c>
      <c r="M1588">
        <v>1.3897045591012786E-3</v>
      </c>
      <c r="N1588">
        <v>0.1428282837725125</v>
      </c>
      <c r="O1588">
        <v>1.7602079231954327E-2</v>
      </c>
      <c r="P1588">
        <v>1.9787265483038996E-2</v>
      </c>
      <c r="Q1588">
        <v>2.1502104582268445E-3</v>
      </c>
      <c r="R1588">
        <v>1.3813861201925864E-3</v>
      </c>
      <c r="S1588">
        <v>0.14591448481781355</v>
      </c>
      <c r="T1588">
        <v>1.070795172259893</v>
      </c>
      <c r="U1588">
        <v>2.3179341947225832E-2</v>
      </c>
      <c r="V1588">
        <v>0.20410580430628139</v>
      </c>
      <c r="W1588">
        <v>8.5002843683840978E-2</v>
      </c>
      <c r="X1588">
        <v>1.6609927143169903E-2</v>
      </c>
      <c r="Y1588">
        <v>3.7596776453520824E-3</v>
      </c>
    </row>
    <row r="1589" spans="1:25" x14ac:dyDescent="0.25">
      <c r="A1589" s="827"/>
      <c r="B1589" s="1066">
        <v>1339</v>
      </c>
      <c r="C1589" s="831">
        <v>1.0100961260516084</v>
      </c>
      <c r="D1589" s="831">
        <v>0.99755185801768731</v>
      </c>
      <c r="E1589" s="831">
        <v>1.0340971077614691</v>
      </c>
      <c r="F1589" s="831">
        <v>1.0060569436756883</v>
      </c>
      <c r="G1589" s="831">
        <v>0.98593374540559875</v>
      </c>
      <c r="H1589" s="831">
        <v>0.99449810109736936</v>
      </c>
      <c r="I1589" s="831">
        <v>0.99077948444069408</v>
      </c>
      <c r="K1589">
        <v>1.7328795201931506</v>
      </c>
      <c r="L1589">
        <v>0</v>
      </c>
      <c r="M1589">
        <v>1.2707988144125451E-3</v>
      </c>
      <c r="N1589">
        <v>0.14231452256187604</v>
      </c>
      <c r="O1589">
        <v>1.7677515021823329E-2</v>
      </c>
      <c r="P1589">
        <v>2.0226211113637427E-2</v>
      </c>
      <c r="Q1589">
        <v>2.2164420161939948E-3</v>
      </c>
      <c r="R1589">
        <v>1.2629311321145254E-3</v>
      </c>
      <c r="S1589">
        <v>0.1495807532585704</v>
      </c>
      <c r="T1589">
        <v>1.0683583423215466</v>
      </c>
      <c r="U1589">
        <v>2.3089414261461633E-2</v>
      </c>
      <c r="V1589">
        <v>0.20532822494734496</v>
      </c>
      <c r="W1589">
        <v>8.3128920052294761E-2</v>
      </c>
      <c r="X1589">
        <v>1.7529760104220051E-2</v>
      </c>
      <c r="Y1589">
        <v>3.4372822164799263E-3</v>
      </c>
    </row>
    <row r="1590" spans="1:25" x14ac:dyDescent="0.25">
      <c r="A1590" s="827"/>
      <c r="B1590" s="1066">
        <v>1340</v>
      </c>
      <c r="C1590" s="831">
        <v>1.0232704288730745</v>
      </c>
      <c r="D1590" s="831">
        <v>1.0404321457639372</v>
      </c>
      <c r="E1590" s="831">
        <v>0.99678698422783085</v>
      </c>
      <c r="F1590" s="831">
        <v>0.97434648614057218</v>
      </c>
      <c r="G1590" s="831">
        <v>1.0198176684362401</v>
      </c>
      <c r="H1590" s="831">
        <v>0.99887082777565472</v>
      </c>
      <c r="I1590" s="831">
        <v>1.0089980960298723</v>
      </c>
      <c r="K1590">
        <v>1.7142865554730649</v>
      </c>
      <c r="L1590">
        <v>0</v>
      </c>
      <c r="M1590">
        <v>1.3375382012525325E-3</v>
      </c>
      <c r="N1590">
        <v>0.13339136665199611</v>
      </c>
      <c r="O1590">
        <v>1.7121118071312221E-2</v>
      </c>
      <c r="P1590">
        <v>1.9629041384060755E-2</v>
      </c>
      <c r="Q1590">
        <v>2.0753973798397435E-3</v>
      </c>
      <c r="R1590">
        <v>1.3292655392757751E-3</v>
      </c>
      <c r="S1590">
        <v>0.14807573637096094</v>
      </c>
      <c r="T1590">
        <v>1.0716473850245738</v>
      </c>
      <c r="U1590">
        <v>2.2792144911280433E-2</v>
      </c>
      <c r="V1590">
        <v>0.20023054284063285</v>
      </c>
      <c r="W1590">
        <v>7.9909713878241292E-2</v>
      </c>
      <c r="X1590">
        <v>1.5804559016501407E-2</v>
      </c>
      <c r="Y1590">
        <v>3.6178226056414039E-3</v>
      </c>
    </row>
    <row r="1591" spans="1:25" x14ac:dyDescent="0.25">
      <c r="A1591" s="827"/>
      <c r="B1591" s="1066">
        <v>1341</v>
      </c>
      <c r="C1591" s="831">
        <v>1.0131901888946035</v>
      </c>
      <c r="D1591" s="831">
        <v>1.0192564889511049</v>
      </c>
      <c r="E1591" s="831">
        <v>0.97665156562335576</v>
      </c>
      <c r="F1591" s="831">
        <v>0.97790590928409726</v>
      </c>
      <c r="G1591" s="831">
        <v>0.96526931988510045</v>
      </c>
      <c r="H1591" s="831">
        <v>0.9806264619145223</v>
      </c>
      <c r="I1591" s="831">
        <v>0.99438993337790105</v>
      </c>
      <c r="K1591">
        <v>1.7149517741063549</v>
      </c>
      <c r="L1591">
        <v>0</v>
      </c>
      <c r="M1591">
        <v>1.396381783511686E-3</v>
      </c>
      <c r="N1591">
        <v>0.13078183253600775</v>
      </c>
      <c r="O1591">
        <v>1.7452705672144742E-2</v>
      </c>
      <c r="P1591">
        <v>1.9388339561338713E-2</v>
      </c>
      <c r="Q1591">
        <v>2.0694559762426097E-3</v>
      </c>
      <c r="R1591">
        <v>1.3875989886418182E-3</v>
      </c>
      <c r="S1591">
        <v>0.14736856310023</v>
      </c>
      <c r="T1591">
        <v>1.0734442427119508</v>
      </c>
      <c r="U1591">
        <v>2.3018904203709514E-2</v>
      </c>
      <c r="V1591">
        <v>0.20305971516428237</v>
      </c>
      <c r="W1591">
        <v>7.9443555399147062E-2</v>
      </c>
      <c r="X1591">
        <v>1.5156655550969655E-2</v>
      </c>
      <c r="Y1591">
        <v>3.7765870251993583E-3</v>
      </c>
    </row>
    <row r="1592" spans="1:25" x14ac:dyDescent="0.25">
      <c r="A1592" s="827"/>
      <c r="B1592" s="1066">
        <v>1342</v>
      </c>
      <c r="C1592" s="831">
        <v>0.99625510771779258</v>
      </c>
      <c r="D1592" s="831">
        <v>1.0218247498475748</v>
      </c>
      <c r="E1592" s="831">
        <v>1.0028072886340753</v>
      </c>
      <c r="F1592" s="831">
        <v>1.0303498918011784</v>
      </c>
      <c r="G1592" s="831">
        <v>1.0065816609116032</v>
      </c>
      <c r="H1592" s="831">
        <v>1.0188454194212004</v>
      </c>
      <c r="I1592" s="831">
        <v>0.98144326925951941</v>
      </c>
      <c r="K1592">
        <v>1.7358855655507757</v>
      </c>
      <c r="L1592">
        <v>0</v>
      </c>
      <c r="M1592">
        <v>1.3949301949178388E-3</v>
      </c>
      <c r="N1592">
        <v>0.14176375389912035</v>
      </c>
      <c r="O1592">
        <v>1.772920658795097E-2</v>
      </c>
      <c r="P1592">
        <v>1.9810931804401036E-2</v>
      </c>
      <c r="Q1592">
        <v>2.1590107390588994E-3</v>
      </c>
      <c r="R1592">
        <v>1.3864839352123119E-3</v>
      </c>
      <c r="S1592">
        <v>0.15044494654607571</v>
      </c>
      <c r="T1592">
        <v>1.0711131077232909</v>
      </c>
      <c r="U1592">
        <v>2.3410196562735901E-2</v>
      </c>
      <c r="V1592">
        <v>0.2046123912401567</v>
      </c>
      <c r="W1592">
        <v>8.4576127654915498E-2</v>
      </c>
      <c r="X1592">
        <v>1.6500786835433878E-2</v>
      </c>
      <c r="Y1592">
        <v>3.7735522173415062E-3</v>
      </c>
    </row>
    <row r="1593" spans="1:25" x14ac:dyDescent="0.25">
      <c r="A1593" s="827"/>
      <c r="B1593" s="1066">
        <v>1343</v>
      </c>
      <c r="C1593" s="831">
        <v>1.0037875244021603</v>
      </c>
      <c r="D1593" s="831">
        <v>1.0102979213277365</v>
      </c>
      <c r="E1593" s="831">
        <v>1.0012931916249233</v>
      </c>
      <c r="F1593" s="831">
        <v>1.0018740747917323</v>
      </c>
      <c r="G1593" s="831">
        <v>0.98592718432865833</v>
      </c>
      <c r="H1593" s="831">
        <v>1.0052625800580726</v>
      </c>
      <c r="I1593" s="831">
        <v>0.99997457015261193</v>
      </c>
      <c r="K1593">
        <v>1.7334346529370437</v>
      </c>
      <c r="L1593">
        <v>0</v>
      </c>
      <c r="M1593">
        <v>1.377408575719436E-3</v>
      </c>
      <c r="N1593">
        <v>0.13931464598666685</v>
      </c>
      <c r="O1593">
        <v>1.76866521439378E-2</v>
      </c>
      <c r="P1593">
        <v>1.9810814529766661E-2</v>
      </c>
      <c r="Q1593">
        <v>2.1485746427869069E-3</v>
      </c>
      <c r="R1593">
        <v>1.3689634616832389E-3</v>
      </c>
      <c r="S1593">
        <v>0.15188591918756253</v>
      </c>
      <c r="T1593">
        <v>1.0712473488500551</v>
      </c>
      <c r="U1593">
        <v>2.323452656197704E-2</v>
      </c>
      <c r="V1593">
        <v>0.2048391023631902</v>
      </c>
      <c r="W1593">
        <v>8.3201021162141245E-2</v>
      </c>
      <c r="X1593">
        <v>1.634862535897743E-2</v>
      </c>
      <c r="Y1593">
        <v>3.7258672640179164E-3</v>
      </c>
    </row>
    <row r="1594" spans="1:25" x14ac:dyDescent="0.25">
      <c r="A1594" s="827"/>
      <c r="B1594" s="1066">
        <v>1344</v>
      </c>
      <c r="C1594" s="831">
        <v>0.99901965710179608</v>
      </c>
      <c r="D1594" s="831">
        <v>1.0034958061485446</v>
      </c>
      <c r="E1594" s="831">
        <v>1.0279314498839007</v>
      </c>
      <c r="F1594" s="831">
        <v>1.0194946043278643</v>
      </c>
      <c r="G1594" s="831">
        <v>0.9968885464265812</v>
      </c>
      <c r="H1594" s="831">
        <v>0.98375031065731888</v>
      </c>
      <c r="I1594" s="831">
        <v>1.0209479698955608</v>
      </c>
      <c r="K1594">
        <v>1.7377902653041433</v>
      </c>
      <c r="L1594">
        <v>0</v>
      </c>
      <c r="M1594">
        <v>1.2842355295445138E-3</v>
      </c>
      <c r="N1594">
        <v>0.14108298960269058</v>
      </c>
      <c r="O1594">
        <v>1.7825481626000814E-2</v>
      </c>
      <c r="P1594">
        <v>2.0226757775042112E-2</v>
      </c>
      <c r="Q1594">
        <v>2.2225006785376042E-3</v>
      </c>
      <c r="R1594">
        <v>1.2761939029156393E-3</v>
      </c>
      <c r="S1594">
        <v>0.15467329632934607</v>
      </c>
      <c r="T1594">
        <v>1.0688982340297328</v>
      </c>
      <c r="U1594">
        <v>2.3345414409525228E-2</v>
      </c>
      <c r="V1594">
        <v>0.20596417142002121</v>
      </c>
      <c r="W1594">
        <v>8.2750512249715774E-2</v>
      </c>
      <c r="X1594">
        <v>1.7335569703627988E-2</v>
      </c>
      <c r="Y1594">
        <v>3.4733791065293378E-3</v>
      </c>
    </row>
    <row r="1595" spans="1:25" x14ac:dyDescent="0.25">
      <c r="A1595" s="827"/>
      <c r="B1595" s="1066">
        <v>1345</v>
      </c>
      <c r="C1595" s="831">
        <v>1.0262339436222305</v>
      </c>
      <c r="D1595" s="831">
        <v>1.0464757805789369</v>
      </c>
      <c r="E1595" s="831">
        <v>1.0059042641341036</v>
      </c>
      <c r="F1595" s="831">
        <v>0.97991979795538997</v>
      </c>
      <c r="G1595" s="831">
        <v>1.0208284061514703</v>
      </c>
      <c r="H1595" s="831">
        <v>0.98952035492116808</v>
      </c>
      <c r="I1595" s="831">
        <v>0.99107999468218566</v>
      </c>
      <c r="K1595">
        <v>1.706918865893579</v>
      </c>
      <c r="L1595">
        <v>0</v>
      </c>
      <c r="M1595">
        <v>1.2926853076562013E-3</v>
      </c>
      <c r="N1595">
        <v>0.13261877736492433</v>
      </c>
      <c r="O1595">
        <v>1.7027168589362252E-2</v>
      </c>
      <c r="P1595">
        <v>1.9684810686596277E-2</v>
      </c>
      <c r="Q1595">
        <v>2.0839643704950173E-3</v>
      </c>
      <c r="R1595">
        <v>1.2846107856003142E-3</v>
      </c>
      <c r="S1595">
        <v>0.14404449571736302</v>
      </c>
      <c r="T1595">
        <v>1.0708387969222952</v>
      </c>
      <c r="U1595">
        <v>2.2726326724278059E-2</v>
      </c>
      <c r="V1595">
        <v>0.19943907076578191</v>
      </c>
      <c r="W1595">
        <v>7.8953266233108707E-2</v>
      </c>
      <c r="X1595">
        <v>1.6013975954857214E-2</v>
      </c>
      <c r="Y1595">
        <v>3.4962870865723936E-3</v>
      </c>
    </row>
    <row r="1596" spans="1:25" x14ac:dyDescent="0.25">
      <c r="A1596" s="827"/>
      <c r="B1596" s="1066">
        <v>1346</v>
      </c>
      <c r="C1596" s="831">
        <v>0.98633022252435842</v>
      </c>
      <c r="D1596" s="831">
        <v>1.012562257857168</v>
      </c>
      <c r="E1596" s="831">
        <v>1.0041656029566908</v>
      </c>
      <c r="F1596" s="831">
        <v>1.002055583429452</v>
      </c>
      <c r="G1596" s="831">
        <v>0.96464028980171046</v>
      </c>
      <c r="H1596" s="831">
        <v>1.0175225164704098</v>
      </c>
      <c r="I1596" s="831">
        <v>0.9956842165873353</v>
      </c>
      <c r="K1596">
        <v>1.7459016724694727</v>
      </c>
      <c r="L1596">
        <v>0</v>
      </c>
      <c r="M1596">
        <v>1.4088969141625549E-3</v>
      </c>
      <c r="N1596">
        <v>0.14378886359640611</v>
      </c>
      <c r="O1596">
        <v>1.7981473154248206E-2</v>
      </c>
      <c r="P1596">
        <v>1.9916157469640879E-2</v>
      </c>
      <c r="Q1596">
        <v>2.1910956749024205E-3</v>
      </c>
      <c r="R1596">
        <v>1.4003612725258156E-3</v>
      </c>
      <c r="S1596">
        <v>0.15465161331066918</v>
      </c>
      <c r="T1596">
        <v>1.070992752093717</v>
      </c>
      <c r="U1596">
        <v>2.3645760178181319E-2</v>
      </c>
      <c r="V1596">
        <v>0.20651350227206586</v>
      </c>
      <c r="W1596">
        <v>8.5704807733911939E-2</v>
      </c>
      <c r="X1596">
        <v>1.6712860872520399E-2</v>
      </c>
      <c r="Y1596">
        <v>3.811321754845848E-3</v>
      </c>
    </row>
    <row r="1597" spans="1:25" x14ac:dyDescent="0.25">
      <c r="A1597" s="827"/>
      <c r="B1597" s="1066">
        <v>1347</v>
      </c>
      <c r="C1597" s="831">
        <v>1.0241174197345089</v>
      </c>
      <c r="D1597" s="831">
        <v>0.99399639458514211</v>
      </c>
      <c r="E1597" s="831">
        <v>1.0021813876988159</v>
      </c>
      <c r="F1597" s="831">
        <v>0.97731247349398132</v>
      </c>
      <c r="G1597" s="831">
        <v>1.016945178196579</v>
      </c>
      <c r="H1597" s="831">
        <v>0.97988315005031723</v>
      </c>
      <c r="I1597" s="831">
        <v>0.95182011855881909</v>
      </c>
      <c r="K1597">
        <v>1.7122409911397616</v>
      </c>
      <c r="L1597">
        <v>0</v>
      </c>
      <c r="M1597">
        <v>1.3232220188599544E-3</v>
      </c>
      <c r="N1597">
        <v>0.13418404302058748</v>
      </c>
      <c r="O1597">
        <v>1.746372637825884E-2</v>
      </c>
      <c r="P1597">
        <v>1.9658344085353323E-2</v>
      </c>
      <c r="Q1597">
        <v>2.1205603446645782E-3</v>
      </c>
      <c r="R1597">
        <v>1.3149100140349482E-3</v>
      </c>
      <c r="S1597">
        <v>0.14096410305941645</v>
      </c>
      <c r="T1597">
        <v>1.0711685901360695</v>
      </c>
      <c r="U1597">
        <v>2.2773294789135874E-2</v>
      </c>
      <c r="V1597">
        <v>0.20418781430921415</v>
      </c>
      <c r="W1597">
        <v>8.0088311185781025E-2</v>
      </c>
      <c r="X1597">
        <v>1.6061764237872155E-2</v>
      </c>
      <c r="Y1597">
        <v>3.578751598233499E-3</v>
      </c>
    </row>
    <row r="1598" spans="1:25" x14ac:dyDescent="0.25">
      <c r="A1598" s="827"/>
      <c r="B1598" s="1066">
        <v>1348</v>
      </c>
      <c r="C1598" s="831">
        <v>1.0044836004304014</v>
      </c>
      <c r="D1598" s="831">
        <v>0.98990566924494994</v>
      </c>
      <c r="E1598" s="831">
        <v>1.0000328140202801</v>
      </c>
      <c r="F1598" s="831">
        <v>0.98293266851090233</v>
      </c>
      <c r="G1598" s="831">
        <v>1.0158183906853291</v>
      </c>
      <c r="H1598" s="831">
        <v>0.99768020054081208</v>
      </c>
      <c r="I1598" s="831">
        <v>0.99313666448633497</v>
      </c>
      <c r="K1598">
        <v>1.7350919939195235</v>
      </c>
      <c r="L1598">
        <v>0</v>
      </c>
      <c r="M1598">
        <v>1.3823983963138051E-3</v>
      </c>
      <c r="N1598">
        <v>0.13926708075036925</v>
      </c>
      <c r="O1598">
        <v>1.7838398179464064E-2</v>
      </c>
      <c r="P1598">
        <v>1.9812502104961962E-2</v>
      </c>
      <c r="Q1598">
        <v>2.1606516567498116E-3</v>
      </c>
      <c r="R1598">
        <v>1.3738724481421414E-3</v>
      </c>
      <c r="S1598">
        <v>0.15148393693484197</v>
      </c>
      <c r="T1598">
        <v>1.0713591610100304</v>
      </c>
      <c r="U1598">
        <v>2.3218425754596608E-2</v>
      </c>
      <c r="V1598">
        <v>0.20663299919936948</v>
      </c>
      <c r="W1598">
        <v>8.3244340356285612E-2</v>
      </c>
      <c r="X1598">
        <v>1.6343796014114443E-2</v>
      </c>
      <c r="Y1598">
        <v>3.7392279069120992E-3</v>
      </c>
    </row>
    <row r="1599" spans="1:25" x14ac:dyDescent="0.25">
      <c r="A1599" s="827"/>
      <c r="B1599" s="1066">
        <v>1349</v>
      </c>
      <c r="C1599" s="831">
        <v>0.97395035267761942</v>
      </c>
      <c r="D1599" s="831">
        <v>0.99368494417688757</v>
      </c>
      <c r="E1599" s="831">
        <v>1.0264471361688927</v>
      </c>
      <c r="F1599" s="831">
        <v>0.98968019585582545</v>
      </c>
      <c r="G1599" s="831">
        <v>1.0044519636592317</v>
      </c>
      <c r="H1599" s="831">
        <v>1.0009215700839067</v>
      </c>
      <c r="I1599" s="831">
        <v>0.99479419248890499</v>
      </c>
      <c r="K1599">
        <v>1.7558486980249015</v>
      </c>
      <c r="L1599">
        <v>0</v>
      </c>
      <c r="M1599">
        <v>1.3504892160913805E-3</v>
      </c>
      <c r="N1599">
        <v>0.14769599192787319</v>
      </c>
      <c r="O1599">
        <v>1.8365871677930801E-2</v>
      </c>
      <c r="P1599">
        <v>2.0291667372526193E-2</v>
      </c>
      <c r="Q1599">
        <v>2.2846717946867737E-3</v>
      </c>
      <c r="R1599">
        <v>1.3421844519051398E-3</v>
      </c>
      <c r="S1599">
        <v>0.15648445311522843</v>
      </c>
      <c r="T1599">
        <v>1.0690284223539861</v>
      </c>
      <c r="U1599">
        <v>2.3946321118098111E-2</v>
      </c>
      <c r="V1599">
        <v>0.20965707133521325</v>
      </c>
      <c r="W1599">
        <v>8.6715666167759956E-2</v>
      </c>
      <c r="X1599">
        <v>1.7733882298684344E-2</v>
      </c>
      <c r="Y1599">
        <v>3.6529836271001312E-3</v>
      </c>
    </row>
    <row r="1600" spans="1:25" x14ac:dyDescent="0.25">
      <c r="A1600" s="827"/>
      <c r="B1600" s="1066">
        <v>1350</v>
      </c>
      <c r="C1600" s="831">
        <v>1.0195518082996782</v>
      </c>
      <c r="D1600" s="831">
        <v>1.0237009407990698</v>
      </c>
      <c r="E1600" s="831">
        <v>1.0208353176459151</v>
      </c>
      <c r="F1600" s="831">
        <v>0.98767723377984129</v>
      </c>
      <c r="G1600" s="831">
        <v>1.0225675980360129</v>
      </c>
      <c r="H1600" s="831">
        <v>0.97289238199017802</v>
      </c>
      <c r="I1600" s="831">
        <v>0.97316115972111761</v>
      </c>
      <c r="K1600">
        <v>1.7101346316565245</v>
      </c>
      <c r="L1600">
        <v>0</v>
      </c>
      <c r="M1600">
        <v>1.2519658994396084E-3</v>
      </c>
      <c r="N1600">
        <v>0.13452930345538172</v>
      </c>
      <c r="O1600">
        <v>1.7309744000047624E-2</v>
      </c>
      <c r="P1600">
        <v>1.99015467202996E-2</v>
      </c>
      <c r="Q1600">
        <v>2.1465425772516254E-3</v>
      </c>
      <c r="R1600">
        <v>1.244026053406781E-3</v>
      </c>
      <c r="S1600">
        <v>0.14254040193076614</v>
      </c>
      <c r="T1600">
        <v>1.0695213866869466</v>
      </c>
      <c r="U1600">
        <v>2.2875274908489965E-2</v>
      </c>
      <c r="V1600">
        <v>0.20202304522566436</v>
      </c>
      <c r="W1600">
        <v>7.9284110192075111E-2</v>
      </c>
      <c r="X1600">
        <v>1.6625386981337854E-2</v>
      </c>
      <c r="Y1600">
        <v>3.3858288242949682E-3</v>
      </c>
    </row>
    <row r="1601" spans="1:25" x14ac:dyDescent="0.25">
      <c r="A1601" s="827"/>
      <c r="B1601" s="1066">
        <v>1351</v>
      </c>
      <c r="C1601" s="831">
        <v>1.0009166140493613</v>
      </c>
      <c r="D1601" s="831">
        <v>1.013279424189558</v>
      </c>
      <c r="E1601" s="831">
        <v>0.98241161154366241</v>
      </c>
      <c r="F1601" s="831">
        <v>0.96947525488162634</v>
      </c>
      <c r="G1601" s="831">
        <v>1.0289856623936025</v>
      </c>
      <c r="H1601" s="831">
        <v>0.99926363642768645</v>
      </c>
      <c r="I1601" s="831">
        <v>1.0212191223668465</v>
      </c>
      <c r="K1601">
        <v>1.733342430490767</v>
      </c>
      <c r="L1601">
        <v>0</v>
      </c>
      <c r="M1601">
        <v>1.4268425408544415E-3</v>
      </c>
      <c r="N1601">
        <v>0.13607121945887071</v>
      </c>
      <c r="O1601">
        <v>1.7713755273423726E-2</v>
      </c>
      <c r="P1601">
        <v>1.9596631984726477E-2</v>
      </c>
      <c r="Q1601">
        <v>2.1117364617971998E-3</v>
      </c>
      <c r="R1601">
        <v>1.4180397207007333E-3</v>
      </c>
      <c r="S1601">
        <v>0.15493091997103606</v>
      </c>
      <c r="T1601">
        <v>1.0729286663924273</v>
      </c>
      <c r="U1601">
        <v>2.3301169718772406E-2</v>
      </c>
      <c r="V1601">
        <v>0.20487749651165815</v>
      </c>
      <c r="W1601">
        <v>8.2326784384417345E-2</v>
      </c>
      <c r="X1601">
        <v>1.5633416490710934E-2</v>
      </c>
      <c r="Y1601">
        <v>3.8594366630790985E-3</v>
      </c>
    </row>
    <row r="1602" spans="1:25" x14ac:dyDescent="0.25">
      <c r="A1602" s="827"/>
      <c r="B1602" s="1066">
        <v>1352</v>
      </c>
      <c r="C1602" s="831">
        <v>0.99553754553414719</v>
      </c>
      <c r="D1602" s="831">
        <v>1.0302398826576913</v>
      </c>
      <c r="E1602" s="831">
        <v>0.99410446122109053</v>
      </c>
      <c r="F1602" s="831">
        <v>1.0067453357367622</v>
      </c>
      <c r="G1602" s="831">
        <v>0.99714859034656822</v>
      </c>
      <c r="H1602" s="831">
        <v>1.0164815947630508</v>
      </c>
      <c r="I1602" s="831">
        <v>1.0135276003303781</v>
      </c>
      <c r="K1602">
        <v>1.7372251782786232</v>
      </c>
      <c r="L1602">
        <v>0</v>
      </c>
      <c r="M1602">
        <v>1.4132124916144499E-3</v>
      </c>
      <c r="N1602">
        <v>0.13978231429509769</v>
      </c>
      <c r="O1602">
        <v>1.7676392784423858E-2</v>
      </c>
      <c r="P1602">
        <v>1.974306209504496E-2</v>
      </c>
      <c r="Q1602">
        <v>2.1352303893970113E-3</v>
      </c>
      <c r="R1602">
        <v>1.4046299792055455E-3</v>
      </c>
      <c r="S1602">
        <v>0.15477735543574642</v>
      </c>
      <c r="T1602">
        <v>1.0718858883101992</v>
      </c>
      <c r="U1602">
        <v>2.3427070132035752E-2</v>
      </c>
      <c r="V1602">
        <v>0.20394803063742556</v>
      </c>
      <c r="W1602">
        <v>8.3892621380293825E-2</v>
      </c>
      <c r="X1602">
        <v>1.6142855564116869E-2</v>
      </c>
      <c r="Y1602">
        <v>3.8229397672492923E-3</v>
      </c>
    </row>
    <row r="1603" spans="1:25" x14ac:dyDescent="0.25">
      <c r="A1603" s="827"/>
      <c r="B1603" s="1066">
        <v>1353</v>
      </c>
      <c r="C1603" s="831">
        <v>0.99104538722073632</v>
      </c>
      <c r="D1603" s="831">
        <v>1.022590059479018</v>
      </c>
      <c r="E1603" s="831">
        <v>1.0309753692495385</v>
      </c>
      <c r="F1603" s="831">
        <v>0.96791743299553468</v>
      </c>
      <c r="G1603" s="831">
        <v>1.0215074120511298</v>
      </c>
      <c r="H1603" s="831">
        <v>1.0456434383439779</v>
      </c>
      <c r="I1603" s="831">
        <v>0.98488094445227226</v>
      </c>
      <c r="K1603">
        <v>1.7511018468214234</v>
      </c>
      <c r="L1603">
        <v>0</v>
      </c>
      <c r="M1603">
        <v>1.3555928440127456E-3</v>
      </c>
      <c r="N1603">
        <v>0.15039073044686505</v>
      </c>
      <c r="O1603">
        <v>1.7816377889377556E-2</v>
      </c>
      <c r="P1603">
        <v>2.0243586482581583E-2</v>
      </c>
      <c r="Q1603">
        <v>2.2314845552799719E-3</v>
      </c>
      <c r="R1603">
        <v>1.3475946472272648E-3</v>
      </c>
      <c r="S1603">
        <v>0.15361103053795322</v>
      </c>
      <c r="T1603">
        <v>1.0686315149827614</v>
      </c>
      <c r="U1603">
        <v>2.3533259121167327E-2</v>
      </c>
      <c r="V1603">
        <v>0.20510088608143431</v>
      </c>
      <c r="W1603">
        <v>8.8030041321968705E-2</v>
      </c>
      <c r="X1603">
        <v>1.7853225203521644E-2</v>
      </c>
      <c r="Y1603">
        <v>3.6677083952965472E-3</v>
      </c>
    </row>
    <row r="1604" spans="1:25" x14ac:dyDescent="0.25">
      <c r="A1604" s="827"/>
      <c r="B1604" s="1066">
        <v>1354</v>
      </c>
      <c r="C1604" s="831">
        <v>1.0101361397001722</v>
      </c>
      <c r="D1604" s="831">
        <v>1.0005055459613748</v>
      </c>
      <c r="E1604" s="831">
        <v>1.0039535273764475</v>
      </c>
      <c r="F1604" s="831">
        <v>1.0109693520761529</v>
      </c>
      <c r="G1604" s="831">
        <v>0.98259090892032841</v>
      </c>
      <c r="H1604" s="831">
        <v>0.99531687099190425</v>
      </c>
      <c r="I1604" s="831">
        <v>1.0135171941223255</v>
      </c>
      <c r="K1604">
        <v>1.7320479903544743</v>
      </c>
      <c r="L1604">
        <v>0</v>
      </c>
      <c r="M1604">
        <v>1.3535835937801876E-3</v>
      </c>
      <c r="N1604">
        <v>0.13803468430335128</v>
      </c>
      <c r="O1604">
        <v>1.76531547959068E-2</v>
      </c>
      <c r="P1604">
        <v>1.9861378677855777E-2</v>
      </c>
      <c r="Q1604">
        <v>2.1485282038208819E-3</v>
      </c>
      <c r="R1604">
        <v>1.3452082556775291E-3</v>
      </c>
      <c r="S1604">
        <v>0.15287875732985673</v>
      </c>
      <c r="T1604">
        <v>1.0710115388013894</v>
      </c>
      <c r="U1604">
        <v>2.3088499640479865E-2</v>
      </c>
      <c r="V1604">
        <v>0.20505234914934706</v>
      </c>
      <c r="W1604">
        <v>8.2286957036837957E-2</v>
      </c>
      <c r="X1604">
        <v>1.6379304329559408E-2</v>
      </c>
      <c r="Y1604">
        <v>3.6612134241719285E-3</v>
      </c>
    </row>
    <row r="1605" spans="1:25" x14ac:dyDescent="0.25">
      <c r="A1605" s="827"/>
      <c r="B1605" s="1066">
        <v>1355</v>
      </c>
      <c r="C1605" s="831">
        <v>1.045989931838486</v>
      </c>
      <c r="D1605" s="831">
        <v>0.99856735887365922</v>
      </c>
      <c r="E1605" s="831">
        <v>0.98907973788436809</v>
      </c>
      <c r="F1605" s="831">
        <v>1.0016185908140955</v>
      </c>
      <c r="G1605" s="831">
        <v>1.0439500446939334</v>
      </c>
      <c r="H1605" s="831">
        <v>1.039033938363362</v>
      </c>
      <c r="I1605" s="831">
        <v>1.0096894104362919</v>
      </c>
      <c r="K1605">
        <v>1.7245241597627017</v>
      </c>
      <c r="L1605">
        <v>0</v>
      </c>
      <c r="M1605">
        <v>1.4092337007204372E-3</v>
      </c>
      <c r="N1605">
        <v>0.1372456504951555</v>
      </c>
      <c r="O1605">
        <v>1.7063032286008108E-2</v>
      </c>
      <c r="P1605">
        <v>1.9565663767138124E-2</v>
      </c>
      <c r="Q1605">
        <v>2.0455037006667583E-3</v>
      </c>
      <c r="R1605">
        <v>1.4008822236069602E-3</v>
      </c>
      <c r="S1605">
        <v>0.15023067824363817</v>
      </c>
      <c r="T1605">
        <v>1.0723333665860422</v>
      </c>
      <c r="U1605">
        <v>2.2297086413929731E-2</v>
      </c>
      <c r="V1605">
        <v>0.20157305252564656</v>
      </c>
      <c r="W1605">
        <v>8.2655563070103744E-2</v>
      </c>
      <c r="X1605">
        <v>1.5710174539528318E-2</v>
      </c>
      <c r="Y1605">
        <v>3.8127396119572456E-3</v>
      </c>
    </row>
    <row r="1606" spans="1:25" x14ac:dyDescent="0.25">
      <c r="A1606" s="827"/>
      <c r="B1606" s="1066">
        <v>1356</v>
      </c>
      <c r="C1606" s="831">
        <v>0.99494763719663482</v>
      </c>
      <c r="D1606" s="831">
        <v>1.0350727475656307</v>
      </c>
      <c r="E1606" s="831">
        <v>1.0298949681572673</v>
      </c>
      <c r="F1606" s="831">
        <v>1.0410863514404125</v>
      </c>
      <c r="G1606" s="831">
        <v>1.0327063626421003</v>
      </c>
      <c r="H1606" s="831">
        <v>0.99576487649335943</v>
      </c>
      <c r="I1606" s="831">
        <v>1.0223080499732526</v>
      </c>
      <c r="K1606">
        <v>1.7357497373179942</v>
      </c>
      <c r="L1606">
        <v>0</v>
      </c>
      <c r="M1606">
        <v>1.2817762587359776E-3</v>
      </c>
      <c r="N1606">
        <v>0.14168235460668038</v>
      </c>
      <c r="O1606">
        <v>1.764955936061904E-2</v>
      </c>
      <c r="P1606">
        <v>2.0217713657792225E-2</v>
      </c>
      <c r="Q1606">
        <v>2.2103955478758879E-3</v>
      </c>
      <c r="R1606">
        <v>1.2738270356553952E-3</v>
      </c>
      <c r="S1606">
        <v>0.15440402938681261</v>
      </c>
      <c r="T1606">
        <v>1.0687261433309374</v>
      </c>
      <c r="U1606">
        <v>2.3440960133356115E-2</v>
      </c>
      <c r="V1606">
        <v>0.20358944337904797</v>
      </c>
      <c r="W1606">
        <v>8.2992707795452939E-2</v>
      </c>
      <c r="X1606">
        <v>1.7377442068414777E-2</v>
      </c>
      <c r="Y1606">
        <v>3.466937274084537E-3</v>
      </c>
    </row>
    <row r="1607" spans="1:25" x14ac:dyDescent="0.25">
      <c r="A1607" s="827"/>
      <c r="B1607" s="1066">
        <v>1357</v>
      </c>
      <c r="C1607" s="831">
        <v>1.0370369785728673</v>
      </c>
      <c r="D1607" s="831">
        <v>0.99844444230393858</v>
      </c>
      <c r="E1607" s="831">
        <v>1.0027882667467443</v>
      </c>
      <c r="F1607" s="831">
        <v>1.0001229591138507</v>
      </c>
      <c r="G1607" s="831">
        <v>1.0128686550319013</v>
      </c>
      <c r="H1607" s="831">
        <v>0.97820595513256114</v>
      </c>
      <c r="I1607" s="831">
        <v>1.0385575894981216</v>
      </c>
      <c r="K1607">
        <v>1.7170547011881303</v>
      </c>
      <c r="L1607">
        <v>0</v>
      </c>
      <c r="M1607">
        <v>1.3002031906645677E-3</v>
      </c>
      <c r="N1607">
        <v>0.13209716547546135</v>
      </c>
      <c r="O1607">
        <v>1.7211300796609971E-2</v>
      </c>
      <c r="P1607">
        <v>1.978316958830547E-2</v>
      </c>
      <c r="Q1607">
        <v>2.0919497585084896E-3</v>
      </c>
      <c r="R1607">
        <v>1.2920187957969642E-3</v>
      </c>
      <c r="S1607">
        <v>0.15149185076616023</v>
      </c>
      <c r="T1607">
        <v>1.0711147936830299</v>
      </c>
      <c r="U1607">
        <v>2.248958174124013E-2</v>
      </c>
      <c r="V1607">
        <v>0.20247497214252036</v>
      </c>
      <c r="W1607">
        <v>7.8810073473049469E-2</v>
      </c>
      <c r="X1607">
        <v>1.598157890983359E-2</v>
      </c>
      <c r="Y1607">
        <v>3.5164492482777678E-3</v>
      </c>
    </row>
    <row r="1608" spans="1:25" x14ac:dyDescent="0.25">
      <c r="A1608" s="827"/>
      <c r="B1608" s="1066">
        <v>1358</v>
      </c>
      <c r="C1608" s="831">
        <v>1.0311510585566539</v>
      </c>
      <c r="D1608" s="831">
        <v>1.0452925868005776</v>
      </c>
      <c r="E1608" s="831">
        <v>0.99947560826995407</v>
      </c>
      <c r="F1608" s="831">
        <v>0.96437713837933481</v>
      </c>
      <c r="G1608" s="831">
        <v>1.0003096134694709</v>
      </c>
      <c r="H1608" s="831">
        <v>0.96218903438284731</v>
      </c>
      <c r="I1608" s="831">
        <v>0.98539843145763606</v>
      </c>
      <c r="K1608">
        <v>1.6952405926418359</v>
      </c>
      <c r="L1608">
        <v>0</v>
      </c>
      <c r="M1608">
        <v>1.2686907097208158E-3</v>
      </c>
      <c r="N1608">
        <v>0.12755761726748283</v>
      </c>
      <c r="O1608">
        <v>1.6954613739786434E-2</v>
      </c>
      <c r="P1608">
        <v>1.9547120554058033E-2</v>
      </c>
      <c r="Q1608">
        <v>2.0615516132767662E-3</v>
      </c>
      <c r="R1608">
        <v>1.2605416965180681E-3</v>
      </c>
      <c r="S1608">
        <v>0.14076450026074203</v>
      </c>
      <c r="T1608">
        <v>1.0714086116420685</v>
      </c>
      <c r="U1608">
        <v>2.2617954668008318E-2</v>
      </c>
      <c r="V1608">
        <v>0.19905496311850421</v>
      </c>
      <c r="W1608">
        <v>7.6274303579474775E-2</v>
      </c>
      <c r="X1608">
        <v>1.5576726251171702E-2</v>
      </c>
      <c r="Y1608">
        <v>3.4307789604636025E-3</v>
      </c>
    </row>
    <row r="1609" spans="1:25" x14ac:dyDescent="0.25">
      <c r="A1609" s="827"/>
      <c r="B1609" s="1066">
        <v>1359</v>
      </c>
      <c r="C1609" s="831">
        <v>1.0168423729320073</v>
      </c>
      <c r="D1609" s="831">
        <v>1.0063423988839824</v>
      </c>
      <c r="E1609" s="831">
        <v>0.97303303303618582</v>
      </c>
      <c r="F1609" s="831">
        <v>0.97136052918424742</v>
      </c>
      <c r="G1609" s="831">
        <v>1.0246027448074284</v>
      </c>
      <c r="H1609" s="831">
        <v>1.0328063874374758</v>
      </c>
      <c r="I1609" s="831">
        <v>0.98520283214287641</v>
      </c>
      <c r="K1609">
        <v>1.7300114207625024</v>
      </c>
      <c r="L1609">
        <v>0</v>
      </c>
      <c r="M1609">
        <v>1.4850978962349627E-3</v>
      </c>
      <c r="N1609">
        <v>0.13757566103185415</v>
      </c>
      <c r="O1609">
        <v>1.749060176371597E-2</v>
      </c>
      <c r="P1609">
        <v>1.9381795085524046E-2</v>
      </c>
      <c r="Q1609">
        <v>2.064169807294769E-3</v>
      </c>
      <c r="R1609">
        <v>1.4762381713712314E-3</v>
      </c>
      <c r="S1609">
        <v>0.14987192684575415</v>
      </c>
      <c r="T1609">
        <v>1.0737687713186161</v>
      </c>
      <c r="U1609">
        <v>2.2936227402733045E-2</v>
      </c>
      <c r="V1609">
        <v>0.2038253806141056</v>
      </c>
      <c r="W1609">
        <v>8.3781334905925028E-2</v>
      </c>
      <c r="X1609">
        <v>1.5306578051150928E-2</v>
      </c>
      <c r="Y1609">
        <v>4.0178336606900861E-3</v>
      </c>
    </row>
    <row r="1610" spans="1:25" x14ac:dyDescent="0.25">
      <c r="A1610" s="827"/>
      <c r="B1610" s="1066">
        <v>1360</v>
      </c>
      <c r="C1610" s="831">
        <v>1.0166959524648826</v>
      </c>
      <c r="D1610" s="831">
        <v>0.97027472749649013</v>
      </c>
      <c r="E1610" s="831">
        <v>0.98869868207166767</v>
      </c>
      <c r="F1610" s="831">
        <v>1.0150096559331347</v>
      </c>
      <c r="G1610" s="831">
        <v>1.0027684251222095</v>
      </c>
      <c r="H1610" s="831">
        <v>0.99565000304752682</v>
      </c>
      <c r="I1610" s="831">
        <v>0.97789727256489711</v>
      </c>
      <c r="K1610">
        <v>1.7296634301007989</v>
      </c>
      <c r="L1610">
        <v>0</v>
      </c>
      <c r="M1610">
        <v>1.4086488018446668E-3</v>
      </c>
      <c r="N1610">
        <v>0.1369924272568161</v>
      </c>
      <c r="O1610">
        <v>1.778514435122858E-2</v>
      </c>
      <c r="P1610">
        <v>1.9621158512680072E-2</v>
      </c>
      <c r="Q1610">
        <v>2.1261906939889358E-3</v>
      </c>
      <c r="R1610">
        <v>1.3999575862745214E-3</v>
      </c>
      <c r="S1610">
        <v>0.14845908625005447</v>
      </c>
      <c r="T1610">
        <v>1.0723673404243923</v>
      </c>
      <c r="U1610">
        <v>2.2939530586071386E-2</v>
      </c>
      <c r="V1610">
        <v>0.20718422352777485</v>
      </c>
      <c r="W1610">
        <v>8.2524742534342402E-2</v>
      </c>
      <c r="X1610">
        <v>1.5862054125075006E-2</v>
      </c>
      <c r="Y1610">
        <v>3.8102230539449611E-3</v>
      </c>
    </row>
    <row r="1611" spans="1:25" x14ac:dyDescent="0.25">
      <c r="A1611" s="827"/>
      <c r="B1611" s="1066">
        <v>1361</v>
      </c>
      <c r="C1611" s="831">
        <v>0.97473340446935197</v>
      </c>
      <c r="D1611" s="831">
        <v>0.98824765163392025</v>
      </c>
      <c r="E1611" s="831">
        <v>1.032351818811944</v>
      </c>
      <c r="F1611" s="831">
        <v>1.0117029562513917</v>
      </c>
      <c r="G1611" s="831">
        <v>0.98980346049193024</v>
      </c>
      <c r="H1611" s="831">
        <v>1.0031067590566753</v>
      </c>
      <c r="I1611" s="831">
        <v>0.95680182537534519</v>
      </c>
      <c r="K1611">
        <v>1.7523580434653816</v>
      </c>
      <c r="L1611">
        <v>0</v>
      </c>
      <c r="M1611">
        <v>1.3388873418736878E-3</v>
      </c>
      <c r="N1611">
        <v>0.14913836924919813</v>
      </c>
      <c r="O1611">
        <v>1.839683232816694E-2</v>
      </c>
      <c r="P1611">
        <v>2.0299259922866724E-2</v>
      </c>
      <c r="Q1611">
        <v>2.3008868612710703E-3</v>
      </c>
      <c r="R1611">
        <v>1.3306755479528798E-3</v>
      </c>
      <c r="S1611">
        <v>0.15088536636715144</v>
      </c>
      <c r="T1611">
        <v>1.0685110210015663</v>
      </c>
      <c r="U1611">
        <v>2.3927083848121585E-2</v>
      </c>
      <c r="V1611">
        <v>0.21008920067038916</v>
      </c>
      <c r="W1611">
        <v>8.7216590145213699E-2</v>
      </c>
      <c r="X1611">
        <v>1.7979984680904327E-2</v>
      </c>
      <c r="Y1611">
        <v>3.6216601844512469E-3</v>
      </c>
    </row>
    <row r="1612" spans="1:25" x14ac:dyDescent="0.25">
      <c r="A1612" s="827"/>
      <c r="B1612" s="1066">
        <v>1362</v>
      </c>
      <c r="C1612" s="831">
        <v>0.99009985581211013</v>
      </c>
      <c r="D1612" s="831">
        <v>0.97280684282033847</v>
      </c>
      <c r="E1612" s="831">
        <v>0.98919014837436148</v>
      </c>
      <c r="F1612" s="831">
        <v>1.0162111466067698</v>
      </c>
      <c r="G1612" s="831">
        <v>1.0043933531760105</v>
      </c>
      <c r="H1612" s="831">
        <v>0.99568126862753947</v>
      </c>
      <c r="I1612" s="831">
        <v>0.96616936526266484</v>
      </c>
      <c r="K1612">
        <v>1.7415818490949502</v>
      </c>
      <c r="L1612">
        <v>0</v>
      </c>
      <c r="M1612">
        <v>1.4433307420990327E-3</v>
      </c>
      <c r="N1612">
        <v>0.14058007766659489</v>
      </c>
      <c r="O1612">
        <v>1.824126815218384E-2</v>
      </c>
      <c r="P1612">
        <v>1.969933932920373E-2</v>
      </c>
      <c r="Q1612">
        <v>2.1822772650886362E-3</v>
      </c>
      <c r="R1612">
        <v>1.4344239020350096E-3</v>
      </c>
      <c r="S1612">
        <v>0.15045751222497838</v>
      </c>
      <c r="T1612">
        <v>1.0723235237264861</v>
      </c>
      <c r="U1612">
        <v>2.355573305196915E-2</v>
      </c>
      <c r="V1612">
        <v>0.20985131571157553</v>
      </c>
      <c r="W1612">
        <v>8.4657261870935904E-2</v>
      </c>
      <c r="X1612">
        <v>1.6138417932369028E-2</v>
      </c>
      <c r="Y1612">
        <v>3.9040290036270737E-3</v>
      </c>
    </row>
    <row r="1613" spans="1:25" x14ac:dyDescent="0.25">
      <c r="A1613" s="827"/>
      <c r="B1613" s="1066">
        <v>1363</v>
      </c>
      <c r="C1613" s="831">
        <v>0.97048935168983652</v>
      </c>
      <c r="D1613" s="831">
        <v>0.98413591262788025</v>
      </c>
      <c r="E1613" s="831">
        <v>1.023516673583974</v>
      </c>
      <c r="F1613" s="831">
        <v>0.99948886654628533</v>
      </c>
      <c r="G1613" s="831">
        <v>1.0354683387272319</v>
      </c>
      <c r="H1613" s="831">
        <v>0.99126878804581708</v>
      </c>
      <c r="I1613" s="831">
        <v>0.9784870596322689</v>
      </c>
      <c r="K1613">
        <v>1.7545016310032957</v>
      </c>
      <c r="L1613">
        <v>0</v>
      </c>
      <c r="M1613">
        <v>1.3564971023363481E-3</v>
      </c>
      <c r="N1613">
        <v>0.14700100061985874</v>
      </c>
      <c r="O1613">
        <v>1.8512269384024765E-2</v>
      </c>
      <c r="P1613">
        <v>2.0242263393734489E-2</v>
      </c>
      <c r="Q1613">
        <v>2.2943747837839163E-3</v>
      </c>
      <c r="R1613">
        <v>1.3480808258746993E-3</v>
      </c>
      <c r="S1613">
        <v>0.15438579532683661</v>
      </c>
      <c r="T1613">
        <v>1.0692856968606155</v>
      </c>
      <c r="U1613">
        <v>2.4031719521387305E-2</v>
      </c>
      <c r="V1613">
        <v>0.21097772984240629</v>
      </c>
      <c r="W1613">
        <v>8.6477865543740665E-2</v>
      </c>
      <c r="X1613">
        <v>1.7632300390063894E-2</v>
      </c>
      <c r="Y1613">
        <v>3.6690316133061161E-3</v>
      </c>
    </row>
    <row r="1614" spans="1:25" x14ac:dyDescent="0.25">
      <c r="A1614" s="827"/>
      <c r="B1614" s="1066">
        <v>1364</v>
      </c>
      <c r="C1614" s="831">
        <v>0.98660084037976237</v>
      </c>
      <c r="D1614" s="831">
        <v>1.0053873088172676</v>
      </c>
      <c r="E1614" s="831">
        <v>1.0143543467584517</v>
      </c>
      <c r="F1614" s="831">
        <v>1.03054035205728</v>
      </c>
      <c r="G1614" s="831">
        <v>1.0117046155829472</v>
      </c>
      <c r="H1614" s="831">
        <v>1.0128919405546009</v>
      </c>
      <c r="I1614" s="831">
        <v>1.0233817893542296</v>
      </c>
      <c r="K1614">
        <v>1.7520068100853927</v>
      </c>
      <c r="L1614">
        <v>0</v>
      </c>
      <c r="M1614">
        <v>1.376712375273542E-3</v>
      </c>
      <c r="N1614">
        <v>0.14502258694829687</v>
      </c>
      <c r="O1614">
        <v>1.8034477627279399E-2</v>
      </c>
      <c r="P1614">
        <v>2.0123561110911434E-2</v>
      </c>
      <c r="Q1614">
        <v>2.2187726986260836E-3</v>
      </c>
      <c r="R1614">
        <v>1.3683384192135395E-3</v>
      </c>
      <c r="S1614">
        <v>0.15903577261693419</v>
      </c>
      <c r="T1614">
        <v>1.0700921853905598</v>
      </c>
      <c r="U1614">
        <v>2.3639274308063511E-2</v>
      </c>
      <c r="V1614">
        <v>0.20714226337206187</v>
      </c>
      <c r="W1614">
        <v>8.5843487460836324E-2</v>
      </c>
      <c r="X1614">
        <v>1.7138636403421809E-2</v>
      </c>
      <c r="Y1614">
        <v>3.7241661044605896E-3</v>
      </c>
    </row>
    <row r="1615" spans="1:25" x14ac:dyDescent="0.25">
      <c r="A1615" s="827"/>
      <c r="B1615" s="1066">
        <v>1365</v>
      </c>
      <c r="C1615" s="831">
        <v>0.98817546839595172</v>
      </c>
      <c r="D1615" s="831">
        <v>0.99455320074026121</v>
      </c>
      <c r="E1615" s="831">
        <v>0.99008840888425664</v>
      </c>
      <c r="F1615" s="831">
        <v>0.98601403080771854</v>
      </c>
      <c r="G1615" s="831">
        <v>1.000850770834645</v>
      </c>
      <c r="H1615" s="831">
        <v>1.0198598810848725</v>
      </c>
      <c r="I1615" s="831">
        <v>0.98941519447716897</v>
      </c>
      <c r="K1615">
        <v>1.747770448207435</v>
      </c>
      <c r="L1615">
        <v>0</v>
      </c>
      <c r="M1615">
        <v>1.4637200879833666E-3</v>
      </c>
      <c r="N1615">
        <v>0.14298474227670238</v>
      </c>
      <c r="O1615">
        <v>1.8094324016256828E-2</v>
      </c>
      <c r="P1615">
        <v>1.9744417211617314E-2</v>
      </c>
      <c r="Q1615">
        <v>2.1706291819197331E-3</v>
      </c>
      <c r="R1615">
        <v>1.4548855313991505E-3</v>
      </c>
      <c r="S1615">
        <v>0.15470679582539695</v>
      </c>
      <c r="T1615">
        <v>1.0722434627790467</v>
      </c>
      <c r="U1615">
        <v>2.3601605832374375E-2</v>
      </c>
      <c r="V1615">
        <v>0.20797936962371291</v>
      </c>
      <c r="W1615">
        <v>8.6052058907142001E-2</v>
      </c>
      <c r="X1615">
        <v>1.6242158296267784E-2</v>
      </c>
      <c r="Y1615">
        <v>3.9597188135819571E-3</v>
      </c>
    </row>
    <row r="1616" spans="1:25" x14ac:dyDescent="0.25">
      <c r="A1616" s="827"/>
      <c r="B1616" s="1066">
        <v>1366</v>
      </c>
      <c r="C1616" s="831">
        <v>0.96585104633136787</v>
      </c>
      <c r="D1616" s="831">
        <v>0.9912002737504193</v>
      </c>
      <c r="E1616" s="831">
        <v>0.99387587401310085</v>
      </c>
      <c r="F1616" s="831">
        <v>1.0285829021138941</v>
      </c>
      <c r="G1616" s="831">
        <v>0.98879782895843293</v>
      </c>
      <c r="H1616" s="831">
        <v>1.0196993406117367</v>
      </c>
      <c r="I1616" s="831">
        <v>0.99141161283107515</v>
      </c>
      <c r="K1616">
        <v>1.762362340182887</v>
      </c>
      <c r="L1616">
        <v>0</v>
      </c>
      <c r="M1616">
        <v>1.4877091752387784E-3</v>
      </c>
      <c r="N1616">
        <v>0.14705183527194945</v>
      </c>
      <c r="O1616">
        <v>1.8540914794190986E-2</v>
      </c>
      <c r="P1616">
        <v>1.9898040104074782E-2</v>
      </c>
      <c r="Q1616">
        <v>2.2321044327059422E-3</v>
      </c>
      <c r="R1616">
        <v>1.4787308941381558E-3</v>
      </c>
      <c r="S1616">
        <v>0.15881303562691276</v>
      </c>
      <c r="T1616">
        <v>1.0719062245577111</v>
      </c>
      <c r="U1616">
        <v>2.4147127020144672E-2</v>
      </c>
      <c r="V1616">
        <v>0.21082872619398449</v>
      </c>
      <c r="W1616">
        <v>8.8269405334600912E-2</v>
      </c>
      <c r="X1616">
        <v>1.6659287097375537E-2</v>
      </c>
      <c r="Y1616">
        <v>4.0246180303358161E-3</v>
      </c>
    </row>
    <row r="1617" spans="1:25" x14ac:dyDescent="0.25">
      <c r="A1617" s="827"/>
      <c r="B1617" s="1066">
        <v>1367</v>
      </c>
      <c r="C1617" s="831">
        <v>0.99241970738870089</v>
      </c>
      <c r="D1617" s="831">
        <v>1.0039426714033448</v>
      </c>
      <c r="E1617" s="831">
        <v>1.0384127987165381</v>
      </c>
      <c r="F1617" s="831">
        <v>0.99146044406471667</v>
      </c>
      <c r="G1617" s="831">
        <v>1.0228333846005262</v>
      </c>
      <c r="H1617" s="831">
        <v>0.96339617168428426</v>
      </c>
      <c r="I1617" s="831">
        <v>0.98412387628723574</v>
      </c>
      <c r="K1617">
        <v>1.730517791711444</v>
      </c>
      <c r="L1617">
        <v>0</v>
      </c>
      <c r="M1617">
        <v>1.2380027089274881E-3</v>
      </c>
      <c r="N1617">
        <v>0.14048200148235135</v>
      </c>
      <c r="O1617">
        <v>1.7940410799466965E-2</v>
      </c>
      <c r="P1617">
        <v>2.0294690236036854E-2</v>
      </c>
      <c r="Q1617">
        <v>2.2601722793380474E-3</v>
      </c>
      <c r="R1617">
        <v>1.2300865135154103E-3</v>
      </c>
      <c r="S1617">
        <v>0.14861191574183169</v>
      </c>
      <c r="T1617">
        <v>1.0679813002317566</v>
      </c>
      <c r="U1617">
        <v>2.3500669852345491E-2</v>
      </c>
      <c r="V1617">
        <v>0.20663974827711287</v>
      </c>
      <c r="W1617">
        <v>8.1822555965528551E-2</v>
      </c>
      <c r="X1617">
        <v>1.7644353049208295E-2</v>
      </c>
      <c r="Y1617">
        <v>3.347889991878746E-3</v>
      </c>
    </row>
    <row r="1618" spans="1:25" x14ac:dyDescent="0.25">
      <c r="A1618" s="827"/>
      <c r="B1618" s="1066">
        <v>1368</v>
      </c>
      <c r="C1618" s="831">
        <v>0.98433130492001064</v>
      </c>
      <c r="D1618" s="831">
        <v>1.022962130387248</v>
      </c>
      <c r="E1618" s="831">
        <v>1.0377137881966667</v>
      </c>
      <c r="F1618" s="831">
        <v>1.0275317892878806</v>
      </c>
      <c r="G1618" s="831">
        <v>0.99814771788212342</v>
      </c>
      <c r="H1618" s="831">
        <v>1.0004178124096443</v>
      </c>
      <c r="I1618" s="831">
        <v>0.98985316669332746</v>
      </c>
      <c r="K1618">
        <v>1.7423106945048907</v>
      </c>
      <c r="L1618">
        <v>0</v>
      </c>
      <c r="M1618">
        <v>1.2871023203042851E-3</v>
      </c>
      <c r="N1618">
        <v>0.14577051483019021</v>
      </c>
      <c r="O1618">
        <v>1.7934954859924534E-2</v>
      </c>
      <c r="P1618">
        <v>2.0326292316080529E-2</v>
      </c>
      <c r="Q1618">
        <v>2.2613825805663304E-3</v>
      </c>
      <c r="R1618">
        <v>1.2791646910699213E-3</v>
      </c>
      <c r="S1618">
        <v>0.15218465751625457</v>
      </c>
      <c r="T1618">
        <v>1.0680423215674824</v>
      </c>
      <c r="U1618">
        <v>2.3693778488736033E-2</v>
      </c>
      <c r="V1618">
        <v>0.20579474479684823</v>
      </c>
      <c r="W1618">
        <v>8.4942363971281173E-2</v>
      </c>
      <c r="X1618">
        <v>1.7886156594192827E-2</v>
      </c>
      <c r="Y1618">
        <v>3.481464612565243E-3</v>
      </c>
    </row>
    <row r="1619" spans="1:25" x14ac:dyDescent="0.25">
      <c r="A1619" s="827"/>
      <c r="B1619" s="1066">
        <v>1369</v>
      </c>
      <c r="C1619" s="831">
        <v>0.99946554321441972</v>
      </c>
      <c r="D1619" s="831">
        <v>0.98207302373778471</v>
      </c>
      <c r="E1619" s="831">
        <v>0.99067561818100347</v>
      </c>
      <c r="F1619" s="831">
        <v>1.0125838584692775</v>
      </c>
      <c r="G1619" s="831">
        <v>1.0152339054431336</v>
      </c>
      <c r="H1619" s="831">
        <v>1.0136354784453074</v>
      </c>
      <c r="I1619" s="831">
        <v>0.9701376587128705</v>
      </c>
      <c r="K1619">
        <v>1.7401202802672402</v>
      </c>
      <c r="L1619">
        <v>0</v>
      </c>
      <c r="M1619">
        <v>1.4448213656942062E-3</v>
      </c>
      <c r="N1619">
        <v>0.14139248811102123</v>
      </c>
      <c r="O1619">
        <v>1.7992695387043948E-2</v>
      </c>
      <c r="P1619">
        <v>1.9688678643096449E-2</v>
      </c>
      <c r="Q1619">
        <v>2.1574703570791994E-3</v>
      </c>
      <c r="R1619">
        <v>1.4360564046541195E-3</v>
      </c>
      <c r="S1619">
        <v>0.15033180180808833</v>
      </c>
      <c r="T1619">
        <v>1.0721911419020731</v>
      </c>
      <c r="U1619">
        <v>2.3334999447099193E-2</v>
      </c>
      <c r="V1619">
        <v>0.2079164917480216</v>
      </c>
      <c r="W1619">
        <v>8.5059383781224449E-2</v>
      </c>
      <c r="X1619">
        <v>1.6155421905930008E-2</v>
      </c>
      <c r="Y1619">
        <v>3.9084721376019468E-3</v>
      </c>
    </row>
    <row r="1620" spans="1:25" x14ac:dyDescent="0.25">
      <c r="A1620" s="827"/>
      <c r="B1620" s="1066">
        <v>1370</v>
      </c>
      <c r="C1620" s="831">
        <v>0.9865560267393586</v>
      </c>
      <c r="D1620" s="831">
        <v>0.97675809380080603</v>
      </c>
      <c r="E1620" s="831">
        <v>0.97547784453260233</v>
      </c>
      <c r="F1620" s="831">
        <v>1.0306163297755686</v>
      </c>
      <c r="G1620" s="831">
        <v>1.0035237328025861</v>
      </c>
      <c r="H1620" s="831">
        <v>0.9770988709305416</v>
      </c>
      <c r="I1620" s="831">
        <v>1.0054300960353035</v>
      </c>
      <c r="K1620">
        <v>1.7411753855825163</v>
      </c>
      <c r="L1620">
        <v>0</v>
      </c>
      <c r="M1620">
        <v>1.4603227987373356E-3</v>
      </c>
      <c r="N1620">
        <v>0.13627088483663594</v>
      </c>
      <c r="O1620">
        <v>1.8273109573000962E-2</v>
      </c>
      <c r="P1620">
        <v>1.9580747408297745E-2</v>
      </c>
      <c r="Q1620">
        <v>2.1565951994534762E-3</v>
      </c>
      <c r="R1620">
        <v>1.4511366418577258E-3</v>
      </c>
      <c r="S1620">
        <v>0.15549483525351906</v>
      </c>
      <c r="T1620">
        <v>1.0735494542119417</v>
      </c>
      <c r="U1620">
        <v>2.3640348106113998E-2</v>
      </c>
      <c r="V1620">
        <v>0.20986251399612743</v>
      </c>
      <c r="W1620">
        <v>8.2845517069636096E-2</v>
      </c>
      <c r="X1620">
        <v>1.5561050512598765E-2</v>
      </c>
      <c r="Y1620">
        <v>3.9495155720713059E-3</v>
      </c>
    </row>
    <row r="1621" spans="1:25" x14ac:dyDescent="0.25">
      <c r="A1621" s="827"/>
      <c r="B1621" s="1066">
        <v>1371</v>
      </c>
      <c r="C1621" s="831">
        <v>1.0061742923858608</v>
      </c>
      <c r="D1621" s="831">
        <v>1.0265531972915096</v>
      </c>
      <c r="E1621" s="831">
        <v>1.0292127048819146</v>
      </c>
      <c r="F1621" s="831">
        <v>0.96009553672313308</v>
      </c>
      <c r="G1621" s="831">
        <v>1.0122928708493153</v>
      </c>
      <c r="H1621" s="831">
        <v>0.99134269689409271</v>
      </c>
      <c r="I1621" s="831">
        <v>0.99847403467664853</v>
      </c>
      <c r="K1621">
        <v>1.7268030969823878</v>
      </c>
      <c r="L1621">
        <v>0</v>
      </c>
      <c r="M1621">
        <v>1.2683857278930602E-3</v>
      </c>
      <c r="N1621">
        <v>0.13990227731109325</v>
      </c>
      <c r="O1621">
        <v>1.7517856983222141E-2</v>
      </c>
      <c r="P1621">
        <v>2.0127880304844574E-2</v>
      </c>
      <c r="Q1621">
        <v>2.1909605707088301E-3</v>
      </c>
      <c r="R1621">
        <v>1.2604896928324161E-3</v>
      </c>
      <c r="S1621">
        <v>0.14932094503321452</v>
      </c>
      <c r="T1621">
        <v>1.0687859230690351</v>
      </c>
      <c r="U1621">
        <v>2.3179411434772697E-2</v>
      </c>
      <c r="V1621">
        <v>0.20315099077003038</v>
      </c>
      <c r="W1621">
        <v>8.1987486319645184E-2</v>
      </c>
      <c r="X1621">
        <v>1.7216623797306495E-2</v>
      </c>
      <c r="Y1621">
        <v>3.4306374235742684E-3</v>
      </c>
    </row>
    <row r="1622" spans="1:25" x14ac:dyDescent="0.25">
      <c r="A1622" s="827"/>
      <c r="B1622" s="1066">
        <v>1372</v>
      </c>
      <c r="C1622" s="831">
        <v>1.0070847567326888</v>
      </c>
      <c r="D1622" s="831">
        <v>1.0145183377049538</v>
      </c>
      <c r="E1622" s="831">
        <v>0.98168849092473465</v>
      </c>
      <c r="F1622" s="831">
        <v>0.98749850141575535</v>
      </c>
      <c r="G1622" s="831">
        <v>0.97367239744969647</v>
      </c>
      <c r="H1622" s="831">
        <v>1.0081599941634694</v>
      </c>
      <c r="I1622" s="831">
        <v>0.97531588178917761</v>
      </c>
      <c r="K1622">
        <v>1.7252183190284005</v>
      </c>
      <c r="L1622">
        <v>0</v>
      </c>
      <c r="M1622">
        <v>1.4321123254248103E-3</v>
      </c>
      <c r="N1622">
        <v>0.13627384159659886</v>
      </c>
      <c r="O1622">
        <v>1.7595537077185197E-2</v>
      </c>
      <c r="P1622">
        <v>1.9475886129421711E-2</v>
      </c>
      <c r="Q1622">
        <v>2.0963121689096587E-3</v>
      </c>
      <c r="R1622">
        <v>1.4233540942821272E-3</v>
      </c>
      <c r="S1622">
        <v>0.1476006164195561</v>
      </c>
      <c r="T1622">
        <v>1.072993323810584</v>
      </c>
      <c r="U1622">
        <v>2.3158455872144344E-2</v>
      </c>
      <c r="V1622">
        <v>0.20411440681615403</v>
      </c>
      <c r="W1622">
        <v>8.2490697470242166E-2</v>
      </c>
      <c r="X1622">
        <v>1.5554099262659615E-2</v>
      </c>
      <c r="Y1622">
        <v>3.8739006360848723E-3</v>
      </c>
    </row>
    <row r="1623" spans="1:25" x14ac:dyDescent="0.25">
      <c r="A1623" s="827"/>
      <c r="B1623" s="1066">
        <v>1373</v>
      </c>
      <c r="C1623" s="831">
        <v>1.0299989790367357</v>
      </c>
      <c r="D1623" s="831">
        <v>1.0081224309550796</v>
      </c>
      <c r="E1623" s="831">
        <v>0.95776927447898763</v>
      </c>
      <c r="F1623" s="831">
        <v>1.0006208919417758</v>
      </c>
      <c r="G1623" s="831">
        <v>0.99055835258544123</v>
      </c>
      <c r="H1623" s="831">
        <v>1.0128200001280527</v>
      </c>
      <c r="I1623" s="831">
        <v>0.97836520903501834</v>
      </c>
      <c r="K1623">
        <v>1.7140810153949073</v>
      </c>
      <c r="L1623">
        <v>0</v>
      </c>
      <c r="M1623">
        <v>1.4832760723093976E-3</v>
      </c>
      <c r="N1623">
        <v>0.13100270233107467</v>
      </c>
      <c r="O1623">
        <v>1.7253381835434321E-2</v>
      </c>
      <c r="P1623">
        <v>1.9091442697574113E-2</v>
      </c>
      <c r="Q1623">
        <v>2.0048635490196127E-3</v>
      </c>
      <c r="R1623">
        <v>1.4742513036650287E-3</v>
      </c>
      <c r="S1623">
        <v>0.14546500282985994</v>
      </c>
      <c r="T1623">
        <v>1.0751431029735938</v>
      </c>
      <c r="U1623">
        <v>2.2643253413818509E-2</v>
      </c>
      <c r="V1623">
        <v>0.20232198886242797</v>
      </c>
      <c r="W1623">
        <v>8.0636786601111773E-2</v>
      </c>
      <c r="X1623">
        <v>1.4515089007872682E-2</v>
      </c>
      <c r="Y1623">
        <v>4.0124260617645678E-3</v>
      </c>
    </row>
    <row r="1624" spans="1:25" x14ac:dyDescent="0.25">
      <c r="A1624" s="827"/>
      <c r="B1624" s="1066">
        <v>1374</v>
      </c>
      <c r="C1624" s="831">
        <v>1.0321774223480344</v>
      </c>
      <c r="D1624" s="831">
        <v>0.9886957725347203</v>
      </c>
      <c r="E1624" s="831">
        <v>1.0130711412962183</v>
      </c>
      <c r="F1624" s="831">
        <v>0.99656773382447239</v>
      </c>
      <c r="G1624" s="831">
        <v>1.004205256754394</v>
      </c>
      <c r="H1624" s="831">
        <v>0.99316752282063503</v>
      </c>
      <c r="I1624" s="831">
        <v>0.96380874108256875</v>
      </c>
      <c r="K1624">
        <v>1.7166093524656552</v>
      </c>
      <c r="L1624">
        <v>0</v>
      </c>
      <c r="M1624">
        <v>1.3036370310980829E-3</v>
      </c>
      <c r="N1624">
        <v>0.13676280661973106</v>
      </c>
      <c r="O1624">
        <v>1.73694169344711E-2</v>
      </c>
      <c r="P1624">
        <v>1.9823020066452198E-2</v>
      </c>
      <c r="Q1624">
        <v>2.1312852926143639E-3</v>
      </c>
      <c r="R1624">
        <v>1.295561120897354E-3</v>
      </c>
      <c r="S1624">
        <v>0.14283485001517715</v>
      </c>
      <c r="T1624">
        <v>1.0702053897628387</v>
      </c>
      <c r="U1624">
        <v>2.2595464106595402E-2</v>
      </c>
      <c r="V1624">
        <v>0.2038457844230592</v>
      </c>
      <c r="W1624">
        <v>8.1024694626275331E-2</v>
      </c>
      <c r="X1624">
        <v>1.6498626239166758E-2</v>
      </c>
      <c r="Y1624">
        <v>3.5260902894738741E-3</v>
      </c>
    </row>
    <row r="1625" spans="1:25" x14ac:dyDescent="0.25">
      <c r="A1625" s="827"/>
      <c r="B1625" s="1066">
        <v>1375</v>
      </c>
      <c r="C1625" s="831">
        <v>1.0062114516198033</v>
      </c>
      <c r="D1625" s="831">
        <v>1.0326966690477215</v>
      </c>
      <c r="E1625" s="831">
        <v>1.0100951692772822</v>
      </c>
      <c r="F1625" s="831">
        <v>1.0140241241433132</v>
      </c>
      <c r="G1625" s="831">
        <v>1.0224367911823529</v>
      </c>
      <c r="H1625" s="831">
        <v>1.001050710400047</v>
      </c>
      <c r="I1625" s="831">
        <v>1.0198438820139606</v>
      </c>
      <c r="K1625">
        <v>1.7290588903556166</v>
      </c>
      <c r="L1625">
        <v>0</v>
      </c>
      <c r="M1625">
        <v>1.3299531570000827E-3</v>
      </c>
      <c r="N1625">
        <v>0.13824262915713939</v>
      </c>
      <c r="O1625">
        <v>1.7470091370724333E-2</v>
      </c>
      <c r="P1625">
        <v>1.991171590718115E-2</v>
      </c>
      <c r="Q1625">
        <v>2.1448763169490486E-3</v>
      </c>
      <c r="R1625">
        <v>1.3217502148251958E-3</v>
      </c>
      <c r="S1625">
        <v>0.15283141950263834</v>
      </c>
      <c r="T1625">
        <v>1.0704681697584242</v>
      </c>
      <c r="U1625">
        <v>2.3178555422678278E-2</v>
      </c>
      <c r="V1625">
        <v>0.2026193229653272</v>
      </c>
      <c r="W1625">
        <v>8.2067011158295539E-2</v>
      </c>
      <c r="X1625">
        <v>1.6535933368521431E-2</v>
      </c>
      <c r="Y1625">
        <v>3.5973683699129658E-3</v>
      </c>
    </row>
    <row r="1626" spans="1:25" x14ac:dyDescent="0.25">
      <c r="A1626" s="827"/>
      <c r="B1626" s="1066">
        <v>1376</v>
      </c>
      <c r="C1626" s="831">
        <v>1.0214090486146141</v>
      </c>
      <c r="D1626" s="831">
        <v>1.0003838366982096</v>
      </c>
      <c r="E1626" s="831">
        <v>0.99799171004857889</v>
      </c>
      <c r="F1626" s="831">
        <v>1.0402352613631465</v>
      </c>
      <c r="G1626" s="831">
        <v>1.0001708768132886</v>
      </c>
      <c r="H1626" s="831">
        <v>1.0128840377508874</v>
      </c>
      <c r="I1626" s="831">
        <v>0.97936029619634424</v>
      </c>
      <c r="K1626">
        <v>1.7254561131267057</v>
      </c>
      <c r="L1626">
        <v>0</v>
      </c>
      <c r="M1626">
        <v>1.3795613547698789E-3</v>
      </c>
      <c r="N1626">
        <v>0.13811359337177187</v>
      </c>
      <c r="O1626">
        <v>1.7459285567486223E-2</v>
      </c>
      <c r="P1626">
        <v>1.9685309083947288E-2</v>
      </c>
      <c r="Q1626">
        <v>2.1122225389124754E-3</v>
      </c>
      <c r="R1626">
        <v>1.3711734088530975E-3</v>
      </c>
      <c r="S1626">
        <v>0.14731247595243849</v>
      </c>
      <c r="T1626">
        <v>1.0715403610877636</v>
      </c>
      <c r="U1626">
        <v>2.2833680521958041E-2</v>
      </c>
      <c r="V1626">
        <v>0.20388950197447864</v>
      </c>
      <c r="W1626">
        <v>8.2670321382165263E-2</v>
      </c>
      <c r="X1626">
        <v>1.6115867579993278E-2</v>
      </c>
      <c r="Y1626">
        <v>3.7318820117053829E-3</v>
      </c>
    </row>
    <row r="1627" spans="1:25" x14ac:dyDescent="0.25">
      <c r="A1627" s="827"/>
      <c r="B1627" s="1066">
        <v>1377</v>
      </c>
      <c r="C1627" s="831">
        <v>0.99558470786459119</v>
      </c>
      <c r="D1627" s="831">
        <v>1.0052890485162593</v>
      </c>
      <c r="E1627" s="831">
        <v>0.99846201403991086</v>
      </c>
      <c r="F1627" s="831">
        <v>0.97653435839788416</v>
      </c>
      <c r="G1627" s="831">
        <v>1.0145375720325094</v>
      </c>
      <c r="H1627" s="831">
        <v>0.96830540170501922</v>
      </c>
      <c r="I1627" s="831">
        <v>0.99984761922800369</v>
      </c>
      <c r="K1627">
        <v>1.7275338151435879</v>
      </c>
      <c r="L1627">
        <v>0</v>
      </c>
      <c r="M1627">
        <v>1.3487277002319437E-3</v>
      </c>
      <c r="N1627">
        <v>0.13518601852496842</v>
      </c>
      <c r="O1627">
        <v>1.7872530476294623E-2</v>
      </c>
      <c r="P1627">
        <v>1.9778028607934151E-2</v>
      </c>
      <c r="Q1627">
        <v>2.1641065097829973E-3</v>
      </c>
      <c r="R1627">
        <v>1.340146282344714E-3</v>
      </c>
      <c r="S1627">
        <v>0.15077589981678541</v>
      </c>
      <c r="T1627">
        <v>1.071498595665483</v>
      </c>
      <c r="U1627">
        <v>2.3425960356831074E-2</v>
      </c>
      <c r="V1627">
        <v>0.20616926783447037</v>
      </c>
      <c r="W1627">
        <v>8.089190237610612E-2</v>
      </c>
      <c r="X1627">
        <v>1.6132649991379977E-2</v>
      </c>
      <c r="Y1627">
        <v>3.6474364014390682E-3</v>
      </c>
    </row>
    <row r="1628" spans="1:25" x14ac:dyDescent="0.25">
      <c r="A1628" s="827"/>
      <c r="B1628" s="1066">
        <v>1378</v>
      </c>
      <c r="C1628" s="831">
        <v>1.0305038912814017</v>
      </c>
      <c r="D1628" s="831">
        <v>0.99762717350797891</v>
      </c>
      <c r="E1628" s="831">
        <v>1.0462099296914387</v>
      </c>
      <c r="F1628" s="831">
        <v>0.98221622918846074</v>
      </c>
      <c r="G1628" s="831">
        <v>1.0003326727090998</v>
      </c>
      <c r="H1628" s="831">
        <v>0.99297630954825278</v>
      </c>
      <c r="I1628" s="831">
        <v>1.0050718747664424</v>
      </c>
      <c r="K1628">
        <v>1.7252692083235994</v>
      </c>
      <c r="L1628">
        <v>0</v>
      </c>
      <c r="M1628">
        <v>1.2121729907454634E-3</v>
      </c>
      <c r="N1628">
        <v>0.14094524372882467</v>
      </c>
      <c r="O1628">
        <v>1.7326842524128444E-2</v>
      </c>
      <c r="P1628">
        <v>2.0338598039846941E-2</v>
      </c>
      <c r="Q1628">
        <v>2.1985152770420732E-3</v>
      </c>
      <c r="R1628">
        <v>1.2046567209247098E-3</v>
      </c>
      <c r="S1628">
        <v>0.14862221001344517</v>
      </c>
      <c r="T1628">
        <v>1.0673018946151955</v>
      </c>
      <c r="U1628">
        <v>2.2632158981274953E-2</v>
      </c>
      <c r="V1628">
        <v>0.20320582247733501</v>
      </c>
      <c r="W1628">
        <v>8.1668170000376336E-2</v>
      </c>
      <c r="X1628">
        <v>1.7758590456575931E-2</v>
      </c>
      <c r="Y1628">
        <v>3.2786784793757337E-3</v>
      </c>
    </row>
    <row r="1629" spans="1:25" x14ac:dyDescent="0.25">
      <c r="A1629" s="827"/>
      <c r="B1629" s="1066">
        <v>1379</v>
      </c>
      <c r="C1629" s="831">
        <v>1.0127183637562225</v>
      </c>
      <c r="D1629" s="831">
        <v>0.97258290576927875</v>
      </c>
      <c r="E1629" s="831">
        <v>0.98705989165536323</v>
      </c>
      <c r="F1629" s="831">
        <v>1.0108410118765445</v>
      </c>
      <c r="G1629" s="831">
        <v>0.9571241410823782</v>
      </c>
      <c r="H1629" s="831">
        <v>0.9818695140817576</v>
      </c>
      <c r="I1629" s="831">
        <v>0.98506524271689899</v>
      </c>
      <c r="K1629">
        <v>1.7278606820891806</v>
      </c>
      <c r="L1629">
        <v>0</v>
      </c>
      <c r="M1629">
        <v>1.397911614600685E-3</v>
      </c>
      <c r="N1629">
        <v>0.13524429091162071</v>
      </c>
      <c r="O1629">
        <v>1.7835725423581583E-2</v>
      </c>
      <c r="P1629">
        <v>1.9610391598551082E-2</v>
      </c>
      <c r="Q1629">
        <v>2.1291255361079813E-3</v>
      </c>
      <c r="R1629">
        <v>1.3891638759356167E-3</v>
      </c>
      <c r="S1629">
        <v>0.14901170565439847</v>
      </c>
      <c r="T1629">
        <v>1.0725135125656151</v>
      </c>
      <c r="U1629">
        <v>2.3029628703284087E-2</v>
      </c>
      <c r="V1629">
        <v>0.20739271458568304</v>
      </c>
      <c r="W1629">
        <v>8.1563845069701796E-2</v>
      </c>
      <c r="X1629">
        <v>1.5757643646752136E-2</v>
      </c>
      <c r="Y1629">
        <v>3.7808461325481201E-3</v>
      </c>
    </row>
    <row r="1630" spans="1:25" x14ac:dyDescent="0.25">
      <c r="A1630" s="827"/>
      <c r="B1630" s="1066">
        <v>1380</v>
      </c>
      <c r="C1630" s="831">
        <v>0.98932608186056048</v>
      </c>
      <c r="D1630" s="831">
        <v>0.9912905512490281</v>
      </c>
      <c r="E1630" s="831">
        <v>0.98678385018656489</v>
      </c>
      <c r="F1630" s="831">
        <v>1.0297425397168229</v>
      </c>
      <c r="G1630" s="831">
        <v>1.0009225919342966</v>
      </c>
      <c r="H1630" s="831">
        <v>1.0298436782583875</v>
      </c>
      <c r="I1630" s="831">
        <v>0.96569322251737577</v>
      </c>
      <c r="K1630">
        <v>1.7468933323787486</v>
      </c>
      <c r="L1630">
        <v>0</v>
      </c>
      <c r="M1630">
        <v>1.4888349262013011E-3</v>
      </c>
      <c r="N1630">
        <v>0.14395797701928073</v>
      </c>
      <c r="O1630">
        <v>1.8100222736947006E-2</v>
      </c>
      <c r="P1630">
        <v>1.9661058568867049E-2</v>
      </c>
      <c r="Q1630">
        <v>2.1635050364218599E-3</v>
      </c>
      <c r="R1630">
        <v>1.4799382911891198E-3</v>
      </c>
      <c r="S1630">
        <v>0.15173056168741925</v>
      </c>
      <c r="T1630">
        <v>1.0725381440712809</v>
      </c>
      <c r="U1630">
        <v>2.357415651515225E-2</v>
      </c>
      <c r="V1630">
        <v>0.2081565863328827</v>
      </c>
      <c r="W1630">
        <v>8.6835491702217826E-2</v>
      </c>
      <c r="X1630">
        <v>1.6156621176199946E-2</v>
      </c>
      <c r="Y1630">
        <v>4.0279041670902103E-3</v>
      </c>
    </row>
    <row r="1631" spans="1:25" x14ac:dyDescent="0.25">
      <c r="A1631" s="827"/>
      <c r="B1631" s="1066">
        <v>1381</v>
      </c>
      <c r="C1631" s="831">
        <v>1.0301243080790699</v>
      </c>
      <c r="D1631" s="831">
        <v>1.0345632523509289</v>
      </c>
      <c r="E1631" s="831">
        <v>1.0124318392196527</v>
      </c>
      <c r="F1631" s="831">
        <v>0.9873093223669952</v>
      </c>
      <c r="G1631" s="831">
        <v>1.0107659165534773</v>
      </c>
      <c r="H1631" s="831">
        <v>0.99635889964479185</v>
      </c>
      <c r="I1631" s="831">
        <v>1.0128989661571841</v>
      </c>
      <c r="K1631">
        <v>1.7139285609116695</v>
      </c>
      <c r="L1631">
        <v>0</v>
      </c>
      <c r="M1631">
        <v>1.2855868035910403E-3</v>
      </c>
      <c r="N1631">
        <v>0.13460106457575358</v>
      </c>
      <c r="O1631">
        <v>1.7050649403346094E-2</v>
      </c>
      <c r="P1631">
        <v>1.9831467166123651E-2</v>
      </c>
      <c r="Q1631">
        <v>2.0985769467665029E-3</v>
      </c>
      <c r="R1631">
        <v>1.2776190157532217E-3</v>
      </c>
      <c r="S1631">
        <v>0.14783024237809528</v>
      </c>
      <c r="T1631">
        <v>1.0702618122385665</v>
      </c>
      <c r="U1631">
        <v>2.2640498545067837E-2</v>
      </c>
      <c r="V1631">
        <v>0.20004093703750978</v>
      </c>
      <c r="W1631">
        <v>7.977855912230894E-2</v>
      </c>
      <c r="X1631">
        <v>1.6325463492083379E-2</v>
      </c>
      <c r="Y1631">
        <v>3.477257793884918E-3</v>
      </c>
    </row>
    <row r="1632" spans="1:25" x14ac:dyDescent="0.25">
      <c r="A1632" s="827"/>
      <c r="B1632" s="1066">
        <v>1382</v>
      </c>
      <c r="C1632" s="831">
        <v>1.035213580575268</v>
      </c>
      <c r="D1632" s="831">
        <v>0.99674602396803114</v>
      </c>
      <c r="E1632" s="831">
        <v>1.0020069785491448</v>
      </c>
      <c r="F1632" s="831">
        <v>0.97948241871709418</v>
      </c>
      <c r="G1632" s="831">
        <v>0.98795346453277733</v>
      </c>
      <c r="H1632" s="831">
        <v>1.0220896498842886</v>
      </c>
      <c r="I1632" s="831">
        <v>1.0146920977698262</v>
      </c>
      <c r="K1632">
        <v>1.7278802007222056</v>
      </c>
      <c r="L1632">
        <v>0</v>
      </c>
      <c r="M1632">
        <v>1.3642176502051482E-3</v>
      </c>
      <c r="N1632">
        <v>0.13830215964055675</v>
      </c>
      <c r="O1632">
        <v>1.7254921597432565E-2</v>
      </c>
      <c r="P1632">
        <v>1.9777392146894598E-2</v>
      </c>
      <c r="Q1632">
        <v>2.0953146232458009E-3</v>
      </c>
      <c r="R1632">
        <v>1.3560001445943142E-3</v>
      </c>
      <c r="S1632">
        <v>0.15146849903225529</v>
      </c>
      <c r="T1632">
        <v>1.0711840531101404</v>
      </c>
      <c r="U1632">
        <v>2.2529194299540471E-2</v>
      </c>
      <c r="V1632">
        <v>0.20280869588272765</v>
      </c>
      <c r="W1632">
        <v>8.2556063521583053E-2</v>
      </c>
      <c r="X1632">
        <v>1.6221538985179824E-2</v>
      </c>
      <c r="Y1632">
        <v>3.6905853882581931E-3</v>
      </c>
    </row>
    <row r="1633" spans="1:25" x14ac:dyDescent="0.25">
      <c r="A1633" s="827"/>
      <c r="B1633" s="1066">
        <v>1383</v>
      </c>
      <c r="C1633" s="831">
        <v>0.98916022777258517</v>
      </c>
      <c r="D1633" s="831">
        <v>0.98501053974421282</v>
      </c>
      <c r="E1633" s="831">
        <v>0.98140005962314558</v>
      </c>
      <c r="F1633" s="831">
        <v>1.0056062991654926</v>
      </c>
      <c r="G1633" s="831">
        <v>1.0117852486520589</v>
      </c>
      <c r="H1633" s="831">
        <v>0.97941308370300317</v>
      </c>
      <c r="I1633" s="831">
        <v>0.96343431342440922</v>
      </c>
      <c r="K1633">
        <v>1.7322639416640473</v>
      </c>
      <c r="L1633">
        <v>0</v>
      </c>
      <c r="M1633">
        <v>1.4364029086159364E-3</v>
      </c>
      <c r="N1633">
        <v>0.13653676685892405</v>
      </c>
      <c r="O1633">
        <v>1.8155521006241064E-2</v>
      </c>
      <c r="P1633">
        <v>1.9549110643953004E-2</v>
      </c>
      <c r="Q1633">
        <v>2.1571677965771634E-3</v>
      </c>
      <c r="R1633">
        <v>1.4273823253503877E-3</v>
      </c>
      <c r="S1633">
        <v>0.14825178430571964</v>
      </c>
      <c r="T1633">
        <v>1.0730191192148752</v>
      </c>
      <c r="U1633">
        <v>2.3578109231930388E-2</v>
      </c>
      <c r="V1633">
        <v>0.20877527913374813</v>
      </c>
      <c r="W1633">
        <v>8.2666379366511736E-2</v>
      </c>
      <c r="X1633">
        <v>1.5698860535686081E-2</v>
      </c>
      <c r="Y1633">
        <v>3.8848641531466629E-3</v>
      </c>
    </row>
    <row r="1634" spans="1:25" x14ac:dyDescent="0.25">
      <c r="A1634" s="827"/>
      <c r="B1634" s="1066">
        <v>1384</v>
      </c>
      <c r="C1634" s="831">
        <v>0.99510274588007597</v>
      </c>
      <c r="D1634" s="831">
        <v>0.96406660423126667</v>
      </c>
      <c r="E1634" s="831">
        <v>0.97070600821983022</v>
      </c>
      <c r="F1634" s="831">
        <v>1.016592742593116</v>
      </c>
      <c r="G1634" s="831">
        <v>0.98213359592811456</v>
      </c>
      <c r="H1634" s="831">
        <v>0.99988679043971129</v>
      </c>
      <c r="I1634" s="831">
        <v>1.0268197082564678</v>
      </c>
      <c r="K1634">
        <v>1.749927728891796</v>
      </c>
      <c r="L1634">
        <v>0</v>
      </c>
      <c r="M1634">
        <v>1.5053583973235907E-3</v>
      </c>
      <c r="N1634">
        <v>0.13842017380334282</v>
      </c>
      <c r="O1634">
        <v>1.8224192185978046E-2</v>
      </c>
      <c r="P1634">
        <v>1.9576628423250739E-2</v>
      </c>
      <c r="Q1634">
        <v>2.1380452414890999E-3</v>
      </c>
      <c r="R1634">
        <v>1.4961147705371855E-3</v>
      </c>
      <c r="S1634">
        <v>0.16001456114694781</v>
      </c>
      <c r="T1634">
        <v>1.0739777303601494</v>
      </c>
      <c r="U1634">
        <v>2.3437306343353063E-2</v>
      </c>
      <c r="V1634">
        <v>0.2101521524267331</v>
      </c>
      <c r="W1634">
        <v>8.4432632876155211E-2</v>
      </c>
      <c r="X1634">
        <v>1.5491618499882986E-2</v>
      </c>
      <c r="Y1634">
        <v>4.0719312113006619E-3</v>
      </c>
    </row>
    <row r="1635" spans="1:25" x14ac:dyDescent="0.25">
      <c r="A1635" s="827"/>
      <c r="B1635" s="1066">
        <v>1385</v>
      </c>
      <c r="C1635" s="831">
        <v>0.97827367163637347</v>
      </c>
      <c r="D1635" s="831">
        <v>1.0031805973112999</v>
      </c>
      <c r="E1635" s="831">
        <v>0.98179060633118953</v>
      </c>
      <c r="F1635" s="831">
        <v>1.0290790133321837</v>
      </c>
      <c r="G1635" s="831">
        <v>0.97935677146444022</v>
      </c>
      <c r="H1635" s="831">
        <v>1.0136267114363078</v>
      </c>
      <c r="I1635" s="831">
        <v>0.99421684676364763</v>
      </c>
      <c r="K1635">
        <v>1.7487210744519606</v>
      </c>
      <c r="L1635">
        <v>0</v>
      </c>
      <c r="M1635">
        <v>1.4895129350472533E-3</v>
      </c>
      <c r="N1635">
        <v>0.14178643647585909</v>
      </c>
      <c r="O1635">
        <v>1.8206091388133387E-2</v>
      </c>
      <c r="P1635">
        <v>1.9655688953068032E-2</v>
      </c>
      <c r="Q1635">
        <v>2.1672896399915886E-3</v>
      </c>
      <c r="R1635">
        <v>1.4804610455543192E-3</v>
      </c>
      <c r="S1635">
        <v>0.15601436845211469</v>
      </c>
      <c r="T1635">
        <v>1.0729841920277636</v>
      </c>
      <c r="U1635">
        <v>2.3840494305945335E-2</v>
      </c>
      <c r="V1635">
        <v>0.20827149041505144</v>
      </c>
      <c r="W1635">
        <v>8.5821564826877389E-2</v>
      </c>
      <c r="X1635">
        <v>1.5953182924501111E-2</v>
      </c>
      <c r="Y1635">
        <v>4.029326932146352E-3</v>
      </c>
    </row>
    <row r="1636" spans="1:25" x14ac:dyDescent="0.25">
      <c r="A1636" s="827"/>
      <c r="B1636" s="1066">
        <v>1386</v>
      </c>
      <c r="C1636" s="831">
        <v>0.99141964120508319</v>
      </c>
      <c r="D1636" s="831">
        <v>0.98471423271144132</v>
      </c>
      <c r="E1636" s="831">
        <v>0.99835734665180365</v>
      </c>
      <c r="F1636" s="831">
        <v>0.98075732558166717</v>
      </c>
      <c r="G1636" s="831">
        <v>1.0306816957248222</v>
      </c>
      <c r="H1636" s="831">
        <v>1.0188468052125907</v>
      </c>
      <c r="I1636" s="831">
        <v>1.0074753568999322</v>
      </c>
      <c r="K1636">
        <v>1.7523719675522804</v>
      </c>
      <c r="L1636">
        <v>0</v>
      </c>
      <c r="M1636">
        <v>1.4388087187068032E-3</v>
      </c>
      <c r="N1636">
        <v>0.14421535863441429</v>
      </c>
      <c r="O1636">
        <v>1.8116618366573897E-2</v>
      </c>
      <c r="P1636">
        <v>1.9903328296168993E-2</v>
      </c>
      <c r="Q1636">
        <v>2.189706109067914E-3</v>
      </c>
      <c r="R1636">
        <v>1.4301229614750823E-3</v>
      </c>
      <c r="S1636">
        <v>0.15759158667049888</v>
      </c>
      <c r="T1636">
        <v>1.0715078899478976</v>
      </c>
      <c r="U1636">
        <v>2.3524375480350915E-2</v>
      </c>
      <c r="V1636">
        <v>0.20855149696900033</v>
      </c>
      <c r="W1636">
        <v>8.6301018991335743E-2</v>
      </c>
      <c r="X1636">
        <v>1.6586950582975948E-2</v>
      </c>
      <c r="Y1636">
        <v>3.8923232612276255E-3</v>
      </c>
    </row>
    <row r="1637" spans="1:25" x14ac:dyDescent="0.25">
      <c r="A1637" s="827"/>
      <c r="B1637" s="1066">
        <v>1387</v>
      </c>
      <c r="C1637" s="831">
        <v>0.96693032562279302</v>
      </c>
      <c r="D1637" s="831">
        <v>1.0233815715962606</v>
      </c>
      <c r="E1637" s="831">
        <v>1.0124705359394981</v>
      </c>
      <c r="F1637" s="831">
        <v>1.0135176803362775</v>
      </c>
      <c r="G1637" s="831">
        <v>1.0034132593150489</v>
      </c>
      <c r="H1637" s="831">
        <v>0.96332367195934987</v>
      </c>
      <c r="I1637" s="831">
        <v>0.97644340209769132</v>
      </c>
      <c r="K1637">
        <v>1.7349884333494165</v>
      </c>
      <c r="L1637">
        <v>0</v>
      </c>
      <c r="M1637">
        <v>1.3305925115431889E-3</v>
      </c>
      <c r="N1637">
        <v>0.13930090943109122</v>
      </c>
      <c r="O1637">
        <v>1.8254333343614641E-2</v>
      </c>
      <c r="P1637">
        <v>1.9989489567863526E-2</v>
      </c>
      <c r="Q1637">
        <v>2.2448415660715495E-3</v>
      </c>
      <c r="R1637">
        <v>1.3220704174991616E-3</v>
      </c>
      <c r="S1637">
        <v>0.15013753812811789</v>
      </c>
      <c r="T1637">
        <v>1.0702583965671673</v>
      </c>
      <c r="U1637">
        <v>2.4120174205190307E-2</v>
      </c>
      <c r="V1637">
        <v>0.2076882756456051</v>
      </c>
      <c r="W1637">
        <v>8.2562007706432475E-2</v>
      </c>
      <c r="X1637">
        <v>1.6842749426269926E-2</v>
      </c>
      <c r="Y1637">
        <v>3.5982398560367185E-3</v>
      </c>
    </row>
    <row r="1638" spans="1:25" x14ac:dyDescent="0.25">
      <c r="A1638" s="827"/>
      <c r="B1638" s="1066">
        <v>1388</v>
      </c>
      <c r="C1638" s="831">
        <v>0.99844945724877254</v>
      </c>
      <c r="D1638" s="831">
        <v>1.0013998578003838</v>
      </c>
      <c r="E1638" s="831">
        <v>0.96698628167294742</v>
      </c>
      <c r="F1638" s="831">
        <v>1.0104528638618773</v>
      </c>
      <c r="G1638" s="831">
        <v>0.96364304293213809</v>
      </c>
      <c r="H1638" s="831">
        <v>0.98818927460150263</v>
      </c>
      <c r="I1638" s="831">
        <v>1.0084364059530251</v>
      </c>
      <c r="K1638">
        <v>1.7307063047698334</v>
      </c>
      <c r="L1638">
        <v>0</v>
      </c>
      <c r="M1638">
        <v>1.4688418602453025E-3</v>
      </c>
      <c r="N1638">
        <v>0.13349247060350164</v>
      </c>
      <c r="O1638">
        <v>1.7852556302354206E-2</v>
      </c>
      <c r="P1638">
        <v>1.9382719610081801E-2</v>
      </c>
      <c r="Q1638">
        <v>2.093062178974492E-3</v>
      </c>
      <c r="R1638">
        <v>1.459687138845241E-3</v>
      </c>
      <c r="S1638">
        <v>0.15331930876149125</v>
      </c>
      <c r="T1638">
        <v>1.0743121708502601</v>
      </c>
      <c r="U1638">
        <v>2.3358746633573645E-2</v>
      </c>
      <c r="V1638">
        <v>0.20621838123112304</v>
      </c>
      <c r="W1638">
        <v>8.1638964813795165E-2</v>
      </c>
      <c r="X1638">
        <v>1.5074291299875552E-2</v>
      </c>
      <c r="Y1638">
        <v>3.9727872062007468E-3</v>
      </c>
    </row>
    <row r="1639" spans="1:25" x14ac:dyDescent="0.25">
      <c r="A1639" s="827"/>
      <c r="B1639" s="1066">
        <v>1389</v>
      </c>
      <c r="C1639" s="831">
        <v>0.99229104498996112</v>
      </c>
      <c r="D1639" s="831">
        <v>1.0181317670182337</v>
      </c>
      <c r="E1639" s="831">
        <v>0.99582223943270487</v>
      </c>
      <c r="F1639" s="831">
        <v>1.0090006810560341</v>
      </c>
      <c r="G1639" s="831">
        <v>0.97894204265018936</v>
      </c>
      <c r="H1639" s="831">
        <v>0.97742687363616765</v>
      </c>
      <c r="I1639" s="831">
        <v>0.98511629381402388</v>
      </c>
      <c r="K1639">
        <v>1.7261070301315276</v>
      </c>
      <c r="L1639">
        <v>0</v>
      </c>
      <c r="M1639">
        <v>1.3657070938449052E-3</v>
      </c>
      <c r="N1639">
        <v>0.1357752865312177</v>
      </c>
      <c r="O1639">
        <v>1.7829180889485489E-2</v>
      </c>
      <c r="P1639">
        <v>1.9706925687405275E-2</v>
      </c>
      <c r="Q1639">
        <v>2.1553554758038515E-3</v>
      </c>
      <c r="R1639">
        <v>1.3570898817366133E-3</v>
      </c>
      <c r="S1639">
        <v>0.14891102440498771</v>
      </c>
      <c r="T1639">
        <v>1.0717331292978218</v>
      </c>
      <c r="U1639">
        <v>2.3503716995187784E-2</v>
      </c>
      <c r="V1639">
        <v>0.20536436575368083</v>
      </c>
      <c r="W1639">
        <v>8.1391679126630645E-2</v>
      </c>
      <c r="X1639">
        <v>1.6051431887885107E-2</v>
      </c>
      <c r="Y1639">
        <v>3.6935512935277791E-3</v>
      </c>
    </row>
    <row r="1640" spans="1:25" x14ac:dyDescent="0.25">
      <c r="A1640" s="827"/>
      <c r="B1640" s="1066">
        <v>1390</v>
      </c>
      <c r="C1640" s="831">
        <v>1.0182587088084019</v>
      </c>
      <c r="D1640" s="831">
        <v>0.99372492340861396</v>
      </c>
      <c r="E1640" s="831">
        <v>0.99050312699778498</v>
      </c>
      <c r="F1640" s="831">
        <v>0.99116112511097354</v>
      </c>
      <c r="G1640" s="831">
        <v>1.0117325683702254</v>
      </c>
      <c r="H1640" s="831">
        <v>1.040638233104741</v>
      </c>
      <c r="I1640" s="831">
        <v>1.0345584840834474</v>
      </c>
      <c r="K1640">
        <v>1.7449033194511692</v>
      </c>
      <c r="L1640">
        <v>0</v>
      </c>
      <c r="M1640">
        <v>1.4486996068690254E-3</v>
      </c>
      <c r="N1640">
        <v>0.14171753180822697</v>
      </c>
      <c r="O1640">
        <v>1.7566381533669496E-2</v>
      </c>
      <c r="P1640">
        <v>1.975004490188648E-2</v>
      </c>
      <c r="Q1640">
        <v>2.1080351639707422E-3</v>
      </c>
      <c r="R1640">
        <v>1.4401308814612232E-3</v>
      </c>
      <c r="S1640">
        <v>0.15856052060567566</v>
      </c>
      <c r="T1640">
        <v>1.0722065096745474</v>
      </c>
      <c r="U1640">
        <v>2.2904324506682516E-2</v>
      </c>
      <c r="V1640">
        <v>0.2048201564912486</v>
      </c>
      <c r="W1640">
        <v>8.5265053980003266E-2</v>
      </c>
      <c r="X1640">
        <v>1.6093767990345113E-2</v>
      </c>
      <c r="Y1640">
        <v>3.9195615203199644E-3</v>
      </c>
    </row>
    <row r="1641" spans="1:25" x14ac:dyDescent="0.25">
      <c r="A1641" s="827"/>
      <c r="B1641" s="1066">
        <v>1391</v>
      </c>
      <c r="C1641" s="831">
        <v>1.020160631143272</v>
      </c>
      <c r="D1641" s="831">
        <v>0.99583629175507893</v>
      </c>
      <c r="E1641" s="831">
        <v>1.033266566135391</v>
      </c>
      <c r="F1641" s="831">
        <v>1.0083127204629088</v>
      </c>
      <c r="G1641" s="831">
        <v>1.0052755757233001</v>
      </c>
      <c r="H1641" s="831">
        <v>0.99462103785085676</v>
      </c>
      <c r="I1641" s="831">
        <v>0.98924692899463285</v>
      </c>
      <c r="K1641">
        <v>1.7276778350596187</v>
      </c>
      <c r="L1641">
        <v>0</v>
      </c>
      <c r="M1641">
        <v>1.2616139179795042E-3</v>
      </c>
      <c r="N1641">
        <v>0.1409224617315194</v>
      </c>
      <c r="O1641">
        <v>1.7516772872845969E-2</v>
      </c>
      <c r="P1641">
        <v>2.0177053221741442E-2</v>
      </c>
      <c r="Q1641">
        <v>2.1941785799408854E-3</v>
      </c>
      <c r="R1641">
        <v>1.2538051630136841E-3</v>
      </c>
      <c r="S1641">
        <v>0.14799025642314015</v>
      </c>
      <c r="T1641">
        <v>1.0684309840663571</v>
      </c>
      <c r="U1641">
        <v>2.2861623146705954E-2</v>
      </c>
      <c r="V1641">
        <v>0.20442876275503477</v>
      </c>
      <c r="W1641">
        <v>8.2361497597985361E-2</v>
      </c>
      <c r="X1641">
        <v>1.7389609082350575E-2</v>
      </c>
      <c r="Y1641">
        <v>3.4124443369623432E-3</v>
      </c>
    </row>
    <row r="1642" spans="1:25" x14ac:dyDescent="0.25">
      <c r="A1642" s="827"/>
      <c r="B1642" s="1066">
        <v>1392</v>
      </c>
      <c r="C1642" s="831">
        <v>1.0242381793514677</v>
      </c>
      <c r="D1642" s="831">
        <v>1.0010967949734428</v>
      </c>
      <c r="E1642" s="831">
        <v>0.99725959457544366</v>
      </c>
      <c r="F1642" s="831">
        <v>1.0382358373785168</v>
      </c>
      <c r="G1642" s="831">
        <v>1.0027303975432016</v>
      </c>
      <c r="H1642" s="831">
        <v>1.0272194097796279</v>
      </c>
      <c r="I1642" s="831">
        <v>0.97903422462156731</v>
      </c>
      <c r="K1642">
        <v>1.7279150687323894</v>
      </c>
      <c r="L1642">
        <v>0</v>
      </c>
      <c r="M1642">
        <v>1.3969234627390782E-3</v>
      </c>
      <c r="N1642">
        <v>0.13954541627303158</v>
      </c>
      <c r="O1642">
        <v>1.7405442610093011E-2</v>
      </c>
      <c r="P1642">
        <v>1.9676293712254277E-2</v>
      </c>
      <c r="Q1642">
        <v>2.1042803878613347E-3</v>
      </c>
      <c r="R1642">
        <v>1.38854799789726E-3</v>
      </c>
      <c r="S1642">
        <v>0.14779639597361102</v>
      </c>
      <c r="T1642">
        <v>1.0716053933270733</v>
      </c>
      <c r="U1642">
        <v>2.277060977464308E-2</v>
      </c>
      <c r="V1642">
        <v>0.2035329217403051</v>
      </c>
      <c r="W1642">
        <v>8.3569286621353558E-2</v>
      </c>
      <c r="X1642">
        <v>1.6138233861453178E-2</v>
      </c>
      <c r="Y1642">
        <v>3.7791699155518533E-3</v>
      </c>
    </row>
    <row r="1643" spans="1:25" x14ac:dyDescent="0.25">
      <c r="A1643" s="827"/>
      <c r="B1643" s="1066">
        <v>1393</v>
      </c>
      <c r="C1643" s="831">
        <v>1.0180757505020979</v>
      </c>
      <c r="D1643" s="831">
        <v>1.0087397001484248</v>
      </c>
      <c r="E1643" s="831">
        <v>0.97628331774823907</v>
      </c>
      <c r="F1643" s="831">
        <v>1.0117344886976198</v>
      </c>
      <c r="G1643" s="831">
        <v>1.0111973026330785</v>
      </c>
      <c r="H1643" s="831">
        <v>0.97694170373288058</v>
      </c>
      <c r="I1643" s="831">
        <v>0.99881518777959621</v>
      </c>
      <c r="K1643">
        <v>1.714699545650967</v>
      </c>
      <c r="L1643">
        <v>0</v>
      </c>
      <c r="M1643">
        <v>1.3920357312401375E-3</v>
      </c>
      <c r="N1643">
        <v>0.13022283608943727</v>
      </c>
      <c r="O1643">
        <v>1.7450611089618324E-2</v>
      </c>
      <c r="P1643">
        <v>1.9391865290794379E-2</v>
      </c>
      <c r="Q1643">
        <v>2.0666868649896054E-3</v>
      </c>
      <c r="R1643">
        <v>1.3832546165514672E-3</v>
      </c>
      <c r="S1643">
        <v>0.14768967300874419</v>
      </c>
      <c r="T1643">
        <v>1.0734772466150704</v>
      </c>
      <c r="U1643">
        <v>2.2908440640886388E-2</v>
      </c>
      <c r="V1643">
        <v>0.20348504279029783</v>
      </c>
      <c r="W1643">
        <v>7.912425820014711E-2</v>
      </c>
      <c r="X1643">
        <v>1.5126903099178877E-2</v>
      </c>
      <c r="Y1643">
        <v>3.7647630764912972E-3</v>
      </c>
    </row>
    <row r="1644" spans="1:25" x14ac:dyDescent="0.25">
      <c r="A1644" s="827"/>
      <c r="B1644" s="1066">
        <v>1394</v>
      </c>
      <c r="C1644" s="831">
        <v>1.0224697283932347</v>
      </c>
      <c r="D1644" s="831">
        <v>0.98743967283955492</v>
      </c>
      <c r="E1644" s="831">
        <v>0.9932121612562117</v>
      </c>
      <c r="F1644" s="831">
        <v>0.96410188780333839</v>
      </c>
      <c r="G1644" s="831">
        <v>0.99036630686156157</v>
      </c>
      <c r="H1644" s="831">
        <v>0.99889197966486898</v>
      </c>
      <c r="I1644" s="831">
        <v>0.97633786939051348</v>
      </c>
      <c r="K1644">
        <v>1.7231795975206496</v>
      </c>
      <c r="L1644">
        <v>0</v>
      </c>
      <c r="M1644">
        <v>1.380951505233862E-3</v>
      </c>
      <c r="N1644">
        <v>0.1362007647983057</v>
      </c>
      <c r="O1644">
        <v>1.7544442604685007E-2</v>
      </c>
      <c r="P1644">
        <v>1.9624415766000054E-2</v>
      </c>
      <c r="Q1644">
        <v>2.1100660583047836E-3</v>
      </c>
      <c r="R1644">
        <v>1.3724465518580081E-3</v>
      </c>
      <c r="S1644">
        <v>0.14653724937349474</v>
      </c>
      <c r="T1644">
        <v>1.0719652828858275</v>
      </c>
      <c r="U1644">
        <v>2.2809993538834099E-2</v>
      </c>
      <c r="V1644">
        <v>0.20496173962877651</v>
      </c>
      <c r="W1644">
        <v>8.1793241561172902E-2</v>
      </c>
      <c r="X1644">
        <v>1.5905559171351179E-2</v>
      </c>
      <c r="Y1644">
        <v>3.7353470872732706E-3</v>
      </c>
    </row>
    <row r="1645" spans="1:25" x14ac:dyDescent="0.25">
      <c r="A1645" s="827"/>
      <c r="B1645" s="1066">
        <v>1395</v>
      </c>
      <c r="C1645" s="831">
        <v>0.96179498703839517</v>
      </c>
      <c r="D1645" s="831">
        <v>1.0102396470714101</v>
      </c>
      <c r="E1645" s="831">
        <v>1.0021313375011272</v>
      </c>
      <c r="F1645" s="831">
        <v>1.0185003148124077</v>
      </c>
      <c r="G1645" s="831">
        <v>1.0088031492554728</v>
      </c>
      <c r="H1645" s="831">
        <v>0.97861346687582629</v>
      </c>
      <c r="I1645" s="831">
        <v>1.0149492515962477</v>
      </c>
      <c r="K1645">
        <v>1.7511412968320763</v>
      </c>
      <c r="L1645">
        <v>0</v>
      </c>
      <c r="M1645">
        <v>1.3970060687934882E-3</v>
      </c>
      <c r="N1645">
        <v>0.14164186700841455</v>
      </c>
      <c r="O1645">
        <v>1.8459343543704425E-2</v>
      </c>
      <c r="P1645">
        <v>1.9995213448877121E-2</v>
      </c>
      <c r="Q1645">
        <v>2.2443188783262112E-3</v>
      </c>
      <c r="R1645">
        <v>1.3882075953503344E-3</v>
      </c>
      <c r="S1645">
        <v>0.15888550291905235</v>
      </c>
      <c r="T1645">
        <v>1.0711730274285829</v>
      </c>
      <c r="U1645">
        <v>2.4248959718660049E-2</v>
      </c>
      <c r="V1645">
        <v>0.20948365693208529</v>
      </c>
      <c r="W1645">
        <v>8.4542435710539071E-2</v>
      </c>
      <c r="X1645">
        <v>1.669752626524235E-2</v>
      </c>
      <c r="Y1645">
        <v>3.778243452032792E-3</v>
      </c>
    </row>
    <row r="1646" spans="1:25" x14ac:dyDescent="0.25">
      <c r="A1646" s="827"/>
      <c r="B1646" s="1066">
        <v>1396</v>
      </c>
      <c r="C1646" s="831">
        <v>0.99668028771749273</v>
      </c>
      <c r="D1646" s="831">
        <v>0.95593426056473585</v>
      </c>
      <c r="E1646" s="831">
        <v>0.97546210783028431</v>
      </c>
      <c r="F1646" s="831">
        <v>0.98483549399346315</v>
      </c>
      <c r="G1646" s="831">
        <v>0.98354098004026025</v>
      </c>
      <c r="H1646" s="831">
        <v>1.036326042185197</v>
      </c>
      <c r="I1646" s="831">
        <v>1.0171720840030363</v>
      </c>
      <c r="K1646">
        <v>1.7618267405985257</v>
      </c>
      <c r="L1646">
        <v>0</v>
      </c>
      <c r="M1646">
        <v>1.5482416140580753E-3</v>
      </c>
      <c r="N1646">
        <v>0.144521801579511</v>
      </c>
      <c r="O1646">
        <v>1.8265639814028449E-2</v>
      </c>
      <c r="P1646">
        <v>1.9670840708397842E-2</v>
      </c>
      <c r="Q1646">
        <v>2.1518046268025294E-3</v>
      </c>
      <c r="R1646">
        <v>1.5390754133623303E-3</v>
      </c>
      <c r="S1646">
        <v>0.16154527569258134</v>
      </c>
      <c r="T1646">
        <v>1.0735508651897143</v>
      </c>
      <c r="U1646">
        <v>2.3400209862396586E-2</v>
      </c>
      <c r="V1646">
        <v>0.21079277248625528</v>
      </c>
      <c r="W1646">
        <v>8.7862602132763243E-2</v>
      </c>
      <c r="X1646">
        <v>1.5885238787672874E-2</v>
      </c>
      <c r="Y1646">
        <v>4.1888559190986037E-3</v>
      </c>
    </row>
    <row r="1647" spans="1:25" x14ac:dyDescent="0.25">
      <c r="A1647" s="827"/>
      <c r="B1647" s="1066">
        <v>1397</v>
      </c>
      <c r="C1647" s="831">
        <v>1.0036237725111008</v>
      </c>
      <c r="D1647" s="831">
        <v>0.96697022728643767</v>
      </c>
      <c r="E1647" s="831">
        <v>0.98830825411132539</v>
      </c>
      <c r="F1647" s="831">
        <v>0.98109575686344697</v>
      </c>
      <c r="G1647" s="831">
        <v>1.0371854884674929</v>
      </c>
      <c r="H1647" s="831">
        <v>0.96651608082865159</v>
      </c>
      <c r="I1647" s="831">
        <v>0.9969440962983992</v>
      </c>
      <c r="K1647">
        <v>1.7315687123758607</v>
      </c>
      <c r="L1647">
        <v>0</v>
      </c>
      <c r="M1647">
        <v>1.3885279055122688E-3</v>
      </c>
      <c r="N1647">
        <v>0.13484659253505418</v>
      </c>
      <c r="O1647">
        <v>1.804476402818497E-2</v>
      </c>
      <c r="P1647">
        <v>1.9683587922925138E-2</v>
      </c>
      <c r="Q1647">
        <v>2.1557628019710923E-3</v>
      </c>
      <c r="R1647">
        <v>1.3797050888512911E-3</v>
      </c>
      <c r="S1647">
        <v>0.15143071304146596</v>
      </c>
      <c r="T1647">
        <v>1.0724021555269243</v>
      </c>
      <c r="U1647">
        <v>2.3238317522062506E-2</v>
      </c>
      <c r="V1647">
        <v>0.20892046926101049</v>
      </c>
      <c r="W1647">
        <v>8.1253962819635595E-2</v>
      </c>
      <c r="X1647">
        <v>1.5846107301092663E-2</v>
      </c>
      <c r="Y1647">
        <v>3.7551024321929105E-3</v>
      </c>
    </row>
    <row r="1648" spans="1:25" x14ac:dyDescent="0.25">
      <c r="A1648" s="827"/>
      <c r="B1648" s="1066">
        <v>1398</v>
      </c>
      <c r="C1648" s="831">
        <v>1.0242963654131865</v>
      </c>
      <c r="D1648" s="831">
        <v>0.99582133933682382</v>
      </c>
      <c r="E1648" s="831">
        <v>1.0072824027554141</v>
      </c>
      <c r="F1648" s="831">
        <v>1.0178896282535095</v>
      </c>
      <c r="G1648" s="831">
        <v>1.007616799545797</v>
      </c>
      <c r="H1648" s="831">
        <v>0.99997012718007428</v>
      </c>
      <c r="I1648" s="831">
        <v>0.98722162068062236</v>
      </c>
      <c r="K1648">
        <v>1.7236401018095144</v>
      </c>
      <c r="L1648">
        <v>0</v>
      </c>
      <c r="M1648">
        <v>1.3345663095833977E-3</v>
      </c>
      <c r="N1648">
        <v>0.1375158678769246</v>
      </c>
      <c r="O1648">
        <v>1.7446165262109667E-2</v>
      </c>
      <c r="P1648">
        <v>1.9813429720739708E-2</v>
      </c>
      <c r="Q1648">
        <v>2.1296104765591724E-3</v>
      </c>
      <c r="R1648">
        <v>1.3263502124836229E-3</v>
      </c>
      <c r="S1648">
        <v>0.14746267957516127</v>
      </c>
      <c r="T1648">
        <v>1.0707168464985455</v>
      </c>
      <c r="U1648">
        <v>2.2769316269998889E-2</v>
      </c>
      <c r="V1648">
        <v>0.20400546737003028</v>
      </c>
      <c r="W1648">
        <v>8.1791890092508271E-2</v>
      </c>
      <c r="X1648">
        <v>1.6387156716885339E-2</v>
      </c>
      <c r="Y1648">
        <v>3.6098880471503851E-3</v>
      </c>
    </row>
    <row r="1649" spans="1:25" x14ac:dyDescent="0.25">
      <c r="A1649" s="827"/>
      <c r="B1649" s="1066">
        <v>1399</v>
      </c>
      <c r="C1649" s="831">
        <v>0.99671159131603237</v>
      </c>
      <c r="D1649" s="831">
        <v>1.0312548128668468</v>
      </c>
      <c r="E1649" s="831">
        <v>0.98885397548747656</v>
      </c>
      <c r="F1649" s="831">
        <v>1.001421937063683</v>
      </c>
      <c r="G1649" s="831">
        <v>0.99886746378662472</v>
      </c>
      <c r="H1649" s="831">
        <v>0.99803186402668842</v>
      </c>
      <c r="I1649" s="831">
        <v>1.0090623049165701</v>
      </c>
      <c r="K1649">
        <v>1.7293930558700916</v>
      </c>
      <c r="L1649">
        <v>0</v>
      </c>
      <c r="M1649">
        <v>1.4006943813121226E-3</v>
      </c>
      <c r="N1649">
        <v>0.13628255314706361</v>
      </c>
      <c r="O1649">
        <v>1.7647726464057295E-2</v>
      </c>
      <c r="P1649">
        <v>1.9637891939074684E-2</v>
      </c>
      <c r="Q1649">
        <v>2.120661930071985E-3</v>
      </c>
      <c r="R1649">
        <v>1.3920299562173433E-3</v>
      </c>
      <c r="S1649">
        <v>0.15252886664992063</v>
      </c>
      <c r="T1649">
        <v>1.0723534942508279</v>
      </c>
      <c r="U1649">
        <v>2.3399474934879351E-2</v>
      </c>
      <c r="V1649">
        <v>0.20373495474716918</v>
      </c>
      <c r="W1649">
        <v>8.208832000216279E-2</v>
      </c>
      <c r="X1649">
        <v>1.5819129571684656E-2</v>
      </c>
      <c r="Y1649">
        <v>3.7886466582718699E-3</v>
      </c>
    </row>
    <row r="1650" spans="1:25" x14ac:dyDescent="0.25">
      <c r="A1650" s="827"/>
      <c r="B1650" s="1066">
        <v>1400</v>
      </c>
      <c r="C1650" s="831">
        <v>0.98572567480673956</v>
      </c>
      <c r="D1650" s="831">
        <v>1.001910698242144</v>
      </c>
      <c r="E1650" s="831">
        <v>0.97871319895963094</v>
      </c>
      <c r="F1650" s="831">
        <v>0.96991097043968866</v>
      </c>
      <c r="G1650" s="831">
        <v>1.0293595329406853</v>
      </c>
      <c r="H1650" s="831">
        <v>0.97808059744933984</v>
      </c>
      <c r="I1650" s="831">
        <v>0.99228961636105439</v>
      </c>
      <c r="K1650">
        <v>1.7332851832007854</v>
      </c>
      <c r="L1650">
        <v>0</v>
      </c>
      <c r="M1650">
        <v>1.4364809441780265E-3</v>
      </c>
      <c r="N1650">
        <v>0.13540351928520339</v>
      </c>
      <c r="O1650">
        <v>1.807882167730002E-2</v>
      </c>
      <c r="P1650">
        <v>1.9548294683108189E-2</v>
      </c>
      <c r="Q1650">
        <v>2.1451965903016069E-3</v>
      </c>
      <c r="R1650">
        <v>1.4274350087993353E-3</v>
      </c>
      <c r="S1650">
        <v>0.15204956808242934</v>
      </c>
      <c r="T1650">
        <v>1.0732595646223988</v>
      </c>
      <c r="U1650">
        <v>2.3660262174743291E-2</v>
      </c>
      <c r="V1650">
        <v>0.20756303242483523</v>
      </c>
      <c r="W1650">
        <v>8.2133232399825562E-2</v>
      </c>
      <c r="X1650">
        <v>1.5567729655888618E-2</v>
      </c>
      <c r="Y1650">
        <v>3.8850075401276035E-3</v>
      </c>
    </row>
    <row r="1651" spans="1:25" x14ac:dyDescent="0.25">
      <c r="A1651" s="827"/>
      <c r="B1651" s="1066">
        <v>1401</v>
      </c>
      <c r="C1651" s="831">
        <v>0.97525740762754742</v>
      </c>
      <c r="D1651" s="831">
        <v>0.99900319092987133</v>
      </c>
      <c r="E1651" s="831">
        <v>0.97975078173019547</v>
      </c>
      <c r="F1651" s="831">
        <v>0.95676039771657084</v>
      </c>
      <c r="G1651" s="831">
        <v>0.99242358434324152</v>
      </c>
      <c r="H1651" s="831">
        <v>0.99364771451236189</v>
      </c>
      <c r="I1651" s="831">
        <v>1.0268460947147449</v>
      </c>
      <c r="K1651">
        <v>1.750335503925591</v>
      </c>
      <c r="L1651">
        <v>0</v>
      </c>
      <c r="M1651">
        <v>1.4737358030822458E-3</v>
      </c>
      <c r="N1651">
        <v>0.13937906675712514</v>
      </c>
      <c r="O1651">
        <v>1.8296945967953341E-2</v>
      </c>
      <c r="P1651">
        <v>1.9697547117660155E-2</v>
      </c>
      <c r="Q1651">
        <v>2.1728530124482661E-3</v>
      </c>
      <c r="R1651">
        <v>1.4646028199923075E-3</v>
      </c>
      <c r="S1651">
        <v>0.16040256962236313</v>
      </c>
      <c r="T1651">
        <v>1.0731666798683961</v>
      </c>
      <c r="U1651">
        <v>2.3914227890909929E-2</v>
      </c>
      <c r="V1651">
        <v>0.20900462696271987</v>
      </c>
      <c r="W1651">
        <v>8.4483844397025082E-2</v>
      </c>
      <c r="X1651">
        <v>1.5840109242248119E-2</v>
      </c>
      <c r="Y1651">
        <v>3.9861660698292068E-3</v>
      </c>
    </row>
    <row r="1652" spans="1:25" x14ac:dyDescent="0.25">
      <c r="A1652" s="827"/>
      <c r="B1652" s="1066">
        <v>1402</v>
      </c>
      <c r="C1652" s="831">
        <v>1.0038383020096457</v>
      </c>
      <c r="D1652" s="831">
        <v>0.98742955917657016</v>
      </c>
      <c r="E1652" s="831">
        <v>1.0062624989988957</v>
      </c>
      <c r="F1652" s="831">
        <v>1.0055771049530815</v>
      </c>
      <c r="G1652" s="831">
        <v>1.0021369483817466</v>
      </c>
      <c r="H1652" s="831">
        <v>1.0023704073065018</v>
      </c>
      <c r="I1652" s="831">
        <v>0.99286569553782156</v>
      </c>
      <c r="K1652">
        <v>1.738311986588668</v>
      </c>
      <c r="L1652">
        <v>0</v>
      </c>
      <c r="M1652">
        <v>1.3732246300559433E-3</v>
      </c>
      <c r="N1652">
        <v>0.14105393330961372</v>
      </c>
      <c r="O1652">
        <v>1.7870153767377297E-2</v>
      </c>
      <c r="P1652">
        <v>1.9908900163814448E-2</v>
      </c>
      <c r="Q1652">
        <v>2.1776209677688359E-3</v>
      </c>
      <c r="R1652">
        <v>1.3647966205198737E-3</v>
      </c>
      <c r="S1652">
        <v>0.15203272934596504</v>
      </c>
      <c r="T1652">
        <v>1.0708070900914577</v>
      </c>
      <c r="U1652">
        <v>2.3233351279396675E-2</v>
      </c>
      <c r="V1652">
        <v>0.20693680971966588</v>
      </c>
      <c r="W1652">
        <v>8.3954557983606445E-2</v>
      </c>
      <c r="X1652">
        <v>1.6630741473566385E-2</v>
      </c>
      <c r="Y1652">
        <v>3.7145264959700555E-3</v>
      </c>
    </row>
    <row r="1653" spans="1:25" x14ac:dyDescent="0.25">
      <c r="A1653" s="827"/>
      <c r="B1653" s="1066">
        <v>1403</v>
      </c>
      <c r="C1653" s="831">
        <v>1.007095558254959</v>
      </c>
      <c r="D1653" s="831">
        <v>0.9755312816458247</v>
      </c>
      <c r="E1653" s="831">
        <v>1.0140361604538883</v>
      </c>
      <c r="F1653" s="831">
        <v>1.0028521684524356</v>
      </c>
      <c r="G1653" s="831">
        <v>1.0072283431374551</v>
      </c>
      <c r="H1653" s="831">
        <v>0.98032204642320397</v>
      </c>
      <c r="I1653" s="831">
        <v>1.0118705370333352</v>
      </c>
      <c r="K1653">
        <v>1.7369742186734147</v>
      </c>
      <c r="L1653">
        <v>0</v>
      </c>
      <c r="M1653">
        <v>1.32416402595813E-3</v>
      </c>
      <c r="N1653">
        <v>0.13932312783975148</v>
      </c>
      <c r="O1653">
        <v>1.7910655280340353E-2</v>
      </c>
      <c r="P1653">
        <v>2.0045732986389706E-2</v>
      </c>
      <c r="Q1653">
        <v>2.1973748642981363E-3</v>
      </c>
      <c r="R1653">
        <v>1.3158626233175773E-3</v>
      </c>
      <c r="S1653">
        <v>0.15361453884080481</v>
      </c>
      <c r="T1653">
        <v>1.0701202499730735</v>
      </c>
      <c r="U1653">
        <v>2.3158207487991689E-2</v>
      </c>
      <c r="V1653">
        <v>0.20771501735319986</v>
      </c>
      <c r="W1653">
        <v>8.2487576293236983E-2</v>
      </c>
      <c r="X1653">
        <v>1.6828694870295712E-2</v>
      </c>
      <c r="Y1653">
        <v>3.5813442866732478E-3</v>
      </c>
    </row>
    <row r="1654" spans="1:25" x14ac:dyDescent="0.25">
      <c r="A1654" s="827"/>
      <c r="B1654" s="1066">
        <v>1404</v>
      </c>
      <c r="C1654" s="831">
        <v>1.016655811880212</v>
      </c>
      <c r="D1654" s="831">
        <v>1.0085361873113423</v>
      </c>
      <c r="E1654" s="831">
        <v>1.0187553289758275</v>
      </c>
      <c r="F1654" s="831">
        <v>0.97511774870617673</v>
      </c>
      <c r="G1654" s="831">
        <v>0.99941625162055026</v>
      </c>
      <c r="H1654" s="831">
        <v>0.98584947245000187</v>
      </c>
      <c r="I1654" s="831">
        <v>0.98940770417097812</v>
      </c>
      <c r="K1654">
        <v>1.7216799806260195</v>
      </c>
      <c r="L1654">
        <v>0</v>
      </c>
      <c r="M1654">
        <v>1.2864975041394901E-3</v>
      </c>
      <c r="N1654">
        <v>0.13736207045052976</v>
      </c>
      <c r="O1654">
        <v>1.7476579514357882E-2</v>
      </c>
      <c r="P1654">
        <v>1.9960763029759351E-2</v>
      </c>
      <c r="Q1654">
        <v>2.160132234745303E-3</v>
      </c>
      <c r="R1654">
        <v>1.2784555952401531E-3</v>
      </c>
      <c r="S1654">
        <v>0.14713515034362729</v>
      </c>
      <c r="T1654">
        <v>1.069704404250295</v>
      </c>
      <c r="U1654">
        <v>2.2940436306728321E-2</v>
      </c>
      <c r="V1654">
        <v>0.20365116039239456</v>
      </c>
      <c r="W1654">
        <v>8.1067302767457355E-2</v>
      </c>
      <c r="X1654">
        <v>1.6750488557553143E-2</v>
      </c>
      <c r="Y1654">
        <v>3.4795346874699901E-3</v>
      </c>
    </row>
    <row r="1655" spans="1:25" x14ac:dyDescent="0.25">
      <c r="A1655" s="827"/>
      <c r="B1655" s="1066">
        <v>1405</v>
      </c>
      <c r="C1655" s="831">
        <v>0.99733135687330443</v>
      </c>
      <c r="D1655" s="831">
        <v>1.0246958545587368</v>
      </c>
      <c r="E1655" s="831">
        <v>0.97023892716173121</v>
      </c>
      <c r="F1655" s="831">
        <v>0.95611399335891845</v>
      </c>
      <c r="G1655" s="831">
        <v>1.0208598279040859</v>
      </c>
      <c r="H1655" s="831">
        <v>1.0012479908039962</v>
      </c>
      <c r="I1655" s="831">
        <v>1.0019734690867537</v>
      </c>
      <c r="K1655">
        <v>1.7284225708780045</v>
      </c>
      <c r="L1655">
        <v>0</v>
      </c>
      <c r="M1655">
        <v>1.4645053714230705E-3</v>
      </c>
      <c r="N1655">
        <v>0.13446468271917725</v>
      </c>
      <c r="O1655">
        <v>1.7687640835911959E-2</v>
      </c>
      <c r="P1655">
        <v>1.9383569415154196E-2</v>
      </c>
      <c r="Q1655">
        <v>2.0845371679104338E-3</v>
      </c>
      <c r="R1655">
        <v>1.4554799470945037E-3</v>
      </c>
      <c r="S1655">
        <v>0.15199275854543765</v>
      </c>
      <c r="T1655">
        <v>1.0740196971397424</v>
      </c>
      <c r="U1655">
        <v>2.3384933941534517E-2</v>
      </c>
      <c r="V1655">
        <v>0.2042423514355739</v>
      </c>
      <c r="W1655">
        <v>8.2046654188123944E-2</v>
      </c>
      <c r="X1655">
        <v>1.5163434296608562E-2</v>
      </c>
      <c r="Y1655">
        <v>3.961336617155628E-3</v>
      </c>
    </row>
    <row r="1656" spans="1:25" x14ac:dyDescent="0.25">
      <c r="A1656" s="827"/>
      <c r="B1656" s="1066">
        <v>1406</v>
      </c>
      <c r="C1656" s="831">
        <v>1.0026280899372932</v>
      </c>
      <c r="D1656" s="831">
        <v>1.0169588255094877</v>
      </c>
      <c r="E1656" s="831">
        <v>1.028412410111484</v>
      </c>
      <c r="F1656" s="831">
        <v>1.0119259757874823</v>
      </c>
      <c r="G1656" s="831">
        <v>0.98311930697113814</v>
      </c>
      <c r="H1656" s="831">
        <v>1.0095525682485182</v>
      </c>
      <c r="I1656" s="831">
        <v>1.0337583456066122</v>
      </c>
      <c r="K1656">
        <v>1.7422401746472906</v>
      </c>
      <c r="L1656">
        <v>0</v>
      </c>
      <c r="M1656">
        <v>1.3039636968984465E-3</v>
      </c>
      <c r="N1656">
        <v>0.1434864927311334</v>
      </c>
      <c r="O1656">
        <v>1.7654559866577116E-2</v>
      </c>
      <c r="P1656">
        <v>2.0243454626678415E-2</v>
      </c>
      <c r="Q1656">
        <v>2.2046321446363626E-3</v>
      </c>
      <c r="R1656">
        <v>1.295998625968547E-3</v>
      </c>
      <c r="S1656">
        <v>0.15708633117481224</v>
      </c>
      <c r="T1656">
        <v>1.0688560672021554</v>
      </c>
      <c r="U1656">
        <v>2.3261394860542794E-2</v>
      </c>
      <c r="V1656">
        <v>0.20436721172310088</v>
      </c>
      <c r="W1656">
        <v>8.4133103041656443E-2</v>
      </c>
      <c r="X1656">
        <v>1.7427611312872071E-2</v>
      </c>
      <c r="Y1656">
        <v>3.5272810340541542E-3</v>
      </c>
    </row>
    <row r="1657" spans="1:25" x14ac:dyDescent="0.25">
      <c r="A1657" s="827"/>
      <c r="B1657" s="1066">
        <v>1407</v>
      </c>
      <c r="C1657" s="831">
        <v>1.0140933510752377</v>
      </c>
      <c r="D1657" s="831">
        <v>0.97809311414223454</v>
      </c>
      <c r="E1657" s="831">
        <v>1.0278535851020976</v>
      </c>
      <c r="F1657" s="831">
        <v>0.98718775749596777</v>
      </c>
      <c r="G1657" s="831">
        <v>0.95606084444218209</v>
      </c>
      <c r="H1657" s="831">
        <v>0.99854068201484669</v>
      </c>
      <c r="I1657" s="831">
        <v>1.0131141056025483</v>
      </c>
      <c r="K1657">
        <v>1.7400573282247682</v>
      </c>
      <c r="L1657">
        <v>0</v>
      </c>
      <c r="M1657">
        <v>1.2993825211218952E-3</v>
      </c>
      <c r="N1657">
        <v>0.14272767462769612</v>
      </c>
      <c r="O1657">
        <v>1.7765885547939571E-2</v>
      </c>
      <c r="P1657">
        <v>2.0220515596285325E-2</v>
      </c>
      <c r="Q1657">
        <v>2.2102260027868689E-3</v>
      </c>
      <c r="R1657">
        <v>1.2913833741573712E-3</v>
      </c>
      <c r="S1657">
        <v>0.15389523623822146</v>
      </c>
      <c r="T1657">
        <v>1.0689050614294422</v>
      </c>
      <c r="U1657">
        <v>2.2998403326059118E-2</v>
      </c>
      <c r="V1657">
        <v>0.20671663439781032</v>
      </c>
      <c r="W1657">
        <v>8.3719556874585169E-2</v>
      </c>
      <c r="X1657">
        <v>1.7391413490864562E-2</v>
      </c>
      <c r="Y1657">
        <v>3.5147198400414851E-3</v>
      </c>
    </row>
    <row r="1658" spans="1:25" x14ac:dyDescent="0.25">
      <c r="A1658" s="827"/>
      <c r="B1658" s="1066">
        <v>1408</v>
      </c>
      <c r="C1658" s="831">
        <v>0.97688578344751997</v>
      </c>
      <c r="D1658" s="831">
        <v>1.0238424614467767</v>
      </c>
      <c r="E1658" s="831">
        <v>1.0015852394041633</v>
      </c>
      <c r="F1658" s="831">
        <v>0.98132734859826121</v>
      </c>
      <c r="G1658" s="831">
        <v>1.0057721151879311</v>
      </c>
      <c r="H1658" s="831">
        <v>1.0001522093368964</v>
      </c>
      <c r="I1658" s="831">
        <v>0.98142305175541977</v>
      </c>
      <c r="K1658">
        <v>1.7401836623494442</v>
      </c>
      <c r="L1658">
        <v>0</v>
      </c>
      <c r="M1658">
        <v>1.3988414710525813E-3</v>
      </c>
      <c r="N1658">
        <v>0.14160561046585382</v>
      </c>
      <c r="O1658">
        <v>1.8064628564436382E-2</v>
      </c>
      <c r="P1658">
        <v>1.9847765972399636E-2</v>
      </c>
      <c r="Q1658">
        <v>2.1975111980510253E-3</v>
      </c>
      <c r="R1658">
        <v>1.3902118522039189E-3</v>
      </c>
      <c r="S1658">
        <v>0.15196550590686606</v>
      </c>
      <c r="T1658">
        <v>1.071221448908029</v>
      </c>
      <c r="U1658">
        <v>2.3874365144301527E-2</v>
      </c>
      <c r="V1658">
        <v>0.20653421220366341</v>
      </c>
      <c r="W1658">
        <v>8.4552342310764764E-2</v>
      </c>
      <c r="X1658">
        <v>1.6545202915442585E-2</v>
      </c>
      <c r="Y1658">
        <v>3.7836983784851532E-3</v>
      </c>
    </row>
    <row r="1659" spans="1:25" x14ac:dyDescent="0.25">
      <c r="A1659" s="827"/>
      <c r="B1659" s="1066">
        <v>1409</v>
      </c>
      <c r="C1659" s="831">
        <v>1.0192505196238786</v>
      </c>
      <c r="D1659" s="831">
        <v>0.99502626381945136</v>
      </c>
      <c r="E1659" s="831">
        <v>1.04466734040745</v>
      </c>
      <c r="F1659" s="831">
        <v>0.99518357481804132</v>
      </c>
      <c r="G1659" s="831">
        <v>1.0007071129708593</v>
      </c>
      <c r="H1659" s="831">
        <v>0.991428997836727</v>
      </c>
      <c r="I1659" s="831">
        <v>0.98139408663643235</v>
      </c>
      <c r="K1659">
        <v>1.7276299045833499</v>
      </c>
      <c r="L1659">
        <v>0</v>
      </c>
      <c r="M1659">
        <v>1.2291069883248987E-3</v>
      </c>
      <c r="N1659">
        <v>0.1422311099565203</v>
      </c>
      <c r="O1659">
        <v>1.75388810886138E-2</v>
      </c>
      <c r="P1659">
        <v>2.0315116694436551E-2</v>
      </c>
      <c r="Q1659">
        <v>2.221580424390877E-3</v>
      </c>
      <c r="R1659">
        <v>1.2214754485130523E-3</v>
      </c>
      <c r="S1659">
        <v>0.14677510811383837</v>
      </c>
      <c r="T1659">
        <v>1.0674361253127937</v>
      </c>
      <c r="U1659">
        <v>2.2882036799853317E-2</v>
      </c>
      <c r="V1659">
        <v>0.20459800508761511</v>
      </c>
      <c r="W1659">
        <v>8.2497572870272456E-2</v>
      </c>
      <c r="X1659">
        <v>1.7817546263245866E-2</v>
      </c>
      <c r="Y1659">
        <v>3.3244535115791434E-3</v>
      </c>
    </row>
    <row r="1660" spans="1:25" x14ac:dyDescent="0.25">
      <c r="A1660" s="827"/>
      <c r="B1660" s="1066">
        <v>1410</v>
      </c>
      <c r="C1660" s="831">
        <v>1.0085835162103447</v>
      </c>
      <c r="D1660" s="831">
        <v>1.0311140827516638</v>
      </c>
      <c r="E1660" s="831">
        <v>1.0185026957238386</v>
      </c>
      <c r="F1660" s="831">
        <v>1.024367298348587</v>
      </c>
      <c r="G1660" s="831">
        <v>1.013112916383542</v>
      </c>
      <c r="H1660" s="831">
        <v>0.97682168775040568</v>
      </c>
      <c r="I1660" s="831">
        <v>0.98656060459038375</v>
      </c>
      <c r="K1660">
        <v>1.7168252202302055</v>
      </c>
      <c r="L1660">
        <v>0</v>
      </c>
      <c r="M1660">
        <v>1.2728196732844335E-3</v>
      </c>
      <c r="N1660">
        <v>0.13578559913006372</v>
      </c>
      <c r="O1660">
        <v>1.7441071291977462E-2</v>
      </c>
      <c r="P1660">
        <v>1.9927172863921545E-2</v>
      </c>
      <c r="Q1660">
        <v>2.1590759733812535E-3</v>
      </c>
      <c r="R1660">
        <v>1.2647753853372559E-3</v>
      </c>
      <c r="S1660">
        <v>0.14591159276706217</v>
      </c>
      <c r="T1660">
        <v>1.0697266445332003</v>
      </c>
      <c r="U1660">
        <v>2.3124042306318194E-2</v>
      </c>
      <c r="V1660">
        <v>0.20250861862034891</v>
      </c>
      <c r="W1660">
        <v>8.0150588136744402E-2</v>
      </c>
      <c r="X1660">
        <v>1.6656557229339109E-2</v>
      </c>
      <c r="Y1660">
        <v>3.4423016657942878E-3</v>
      </c>
    </row>
    <row r="1661" spans="1:25" x14ac:dyDescent="0.25">
      <c r="A1661" s="827"/>
      <c r="B1661" s="1066">
        <v>1411</v>
      </c>
      <c r="C1661" s="831">
        <v>1.0109758417463295</v>
      </c>
      <c r="D1661" s="831">
        <v>1.0037366168575796</v>
      </c>
      <c r="E1661" s="831">
        <v>1.0106365566129933</v>
      </c>
      <c r="F1661" s="831">
        <v>0.99730889880548046</v>
      </c>
      <c r="G1661" s="831">
        <v>1.0095953468730101</v>
      </c>
      <c r="H1661" s="831">
        <v>1.0060845807544672</v>
      </c>
      <c r="I1661" s="831">
        <v>0.96102190524787101</v>
      </c>
      <c r="K1661">
        <v>1.7267502925582665</v>
      </c>
      <c r="L1661">
        <v>0</v>
      </c>
      <c r="M1661">
        <v>1.3459992126359549E-3</v>
      </c>
      <c r="N1661">
        <v>0.14015255112174982</v>
      </c>
      <c r="O1661">
        <v>1.7612757157766154E-2</v>
      </c>
      <c r="P1661">
        <v>1.9843282069016852E-2</v>
      </c>
      <c r="Q1661">
        <v>2.1585714286352334E-3</v>
      </c>
      <c r="R1661">
        <v>1.3377577765953514E-3</v>
      </c>
      <c r="S1661">
        <v>0.14537985931801325</v>
      </c>
      <c r="T1661">
        <v>1.0704203400255596</v>
      </c>
      <c r="U1661">
        <v>2.3069322663553021E-2</v>
      </c>
      <c r="V1661">
        <v>0.2046735003772247</v>
      </c>
      <c r="W1661">
        <v>8.3170233027013721E-2</v>
      </c>
      <c r="X1661">
        <v>1.66371811296122E-2</v>
      </c>
      <c r="Y1661">
        <v>3.6409356761600109E-3</v>
      </c>
    </row>
    <row r="1662" spans="1:25" x14ac:dyDescent="0.25">
      <c r="A1662" s="827"/>
      <c r="B1662" s="1066">
        <v>1412</v>
      </c>
      <c r="C1662" s="831">
        <v>0.99293274630205519</v>
      </c>
      <c r="D1662" s="831">
        <v>1.0210170900674671</v>
      </c>
      <c r="E1662" s="831">
        <v>1.0162342527178176</v>
      </c>
      <c r="F1662" s="831">
        <v>1.0367708875736175</v>
      </c>
      <c r="G1662" s="831">
        <v>1.0186488648001313</v>
      </c>
      <c r="H1662" s="831">
        <v>0.9816516823034207</v>
      </c>
      <c r="I1662" s="831">
        <v>1.0261050573874433</v>
      </c>
      <c r="K1662">
        <v>1.7350795641352341</v>
      </c>
      <c r="L1662">
        <v>0</v>
      </c>
      <c r="M1662">
        <v>1.3113213198246425E-3</v>
      </c>
      <c r="N1662">
        <v>0.138915490506034</v>
      </c>
      <c r="O1662">
        <v>1.7794885256795935E-2</v>
      </c>
      <c r="P1662">
        <v>2.0064157482169984E-2</v>
      </c>
      <c r="Q1662">
        <v>2.1961579506582394E-3</v>
      </c>
      <c r="R1662">
        <v>1.3030809956433463E-3</v>
      </c>
      <c r="S1662">
        <v>0.15513574887414439</v>
      </c>
      <c r="T1662">
        <v>1.0699264526338894</v>
      </c>
      <c r="U1662">
        <v>2.348852727957905E-2</v>
      </c>
      <c r="V1662">
        <v>0.20504038114859877</v>
      </c>
      <c r="W1662">
        <v>8.2123919089542835E-2</v>
      </c>
      <c r="X1662">
        <v>1.6855527328395837E-2</v>
      </c>
      <c r="Y1662">
        <v>3.5465569096064216E-3</v>
      </c>
    </row>
    <row r="1663" spans="1:25" x14ac:dyDescent="0.25">
      <c r="A1663" s="827"/>
      <c r="B1663" s="1066">
        <v>1413</v>
      </c>
      <c r="C1663" s="831">
        <v>1.0085004705293434</v>
      </c>
      <c r="D1663" s="831">
        <v>0.99153706585012202</v>
      </c>
      <c r="E1663" s="831">
        <v>1.0092414221459847</v>
      </c>
      <c r="F1663" s="831">
        <v>0.99440374794741626</v>
      </c>
      <c r="G1663" s="831">
        <v>0.98308610536998631</v>
      </c>
      <c r="H1663" s="831">
        <v>1.0221013661336407</v>
      </c>
      <c r="I1663" s="831">
        <v>0.99465876451504132</v>
      </c>
      <c r="K1663">
        <v>1.7413509188136347</v>
      </c>
      <c r="L1663">
        <v>0</v>
      </c>
      <c r="M1663">
        <v>1.3824533693508241E-3</v>
      </c>
      <c r="N1663">
        <v>0.14334006929082255</v>
      </c>
      <c r="O1663">
        <v>1.77540855620353E-2</v>
      </c>
      <c r="P1663">
        <v>1.9945464997738114E-2</v>
      </c>
      <c r="Q1663">
        <v>2.1706799372387441E-3</v>
      </c>
      <c r="R1663">
        <v>1.3741296794264289E-3</v>
      </c>
      <c r="S1663">
        <v>0.15274416421770889</v>
      </c>
      <c r="T1663">
        <v>1.0705436179402237</v>
      </c>
      <c r="U1663">
        <v>2.3125946471856007E-2</v>
      </c>
      <c r="V1663">
        <v>0.20605473045734923</v>
      </c>
      <c r="W1663">
        <v>8.5142468781825048E-2</v>
      </c>
      <c r="X1663">
        <v>1.679808684108763E-2</v>
      </c>
      <c r="Y1663">
        <v>3.7399280056716585E-3</v>
      </c>
    </row>
    <row r="1664" spans="1:25" x14ac:dyDescent="0.25">
      <c r="A1664" s="827"/>
      <c r="B1664" s="1066">
        <v>1414</v>
      </c>
      <c r="C1664" s="831">
        <v>0.99746395052656545</v>
      </c>
      <c r="D1664" s="831">
        <v>0.97979588254582728</v>
      </c>
      <c r="E1664" s="831">
        <v>0.98727675707932405</v>
      </c>
      <c r="F1664" s="831">
        <v>0.99973783295363172</v>
      </c>
      <c r="G1664" s="831">
        <v>0.97465764752220907</v>
      </c>
      <c r="H1664" s="831">
        <v>0.96649236508843839</v>
      </c>
      <c r="I1664" s="831">
        <v>0.99837838748644492</v>
      </c>
      <c r="K1664">
        <v>1.7313803856358425</v>
      </c>
      <c r="L1664">
        <v>0</v>
      </c>
      <c r="M1664">
        <v>1.3917519198653125E-3</v>
      </c>
      <c r="N1664">
        <v>0.13472529482722245</v>
      </c>
      <c r="O1664">
        <v>1.8047811703153019E-2</v>
      </c>
      <c r="P1664">
        <v>1.9668111372001761E-2</v>
      </c>
      <c r="Q1664">
        <v>2.1562386378424876E-3</v>
      </c>
      <c r="R1664">
        <v>1.3828987649974422E-3</v>
      </c>
      <c r="S1664">
        <v>0.15174948998283549</v>
      </c>
      <c r="T1664">
        <v>1.0724941634197929</v>
      </c>
      <c r="U1664">
        <v>2.3381825364206004E-2</v>
      </c>
      <c r="V1664">
        <v>0.2083542492044391</v>
      </c>
      <c r="W1664">
        <v>8.1238681694887821E-2</v>
      </c>
      <c r="X1664">
        <v>1.580957801846149E-2</v>
      </c>
      <c r="Y1664">
        <v>3.7637945658676756E-3</v>
      </c>
    </row>
    <row r="1665" spans="1:25" x14ac:dyDescent="0.25">
      <c r="A1665" s="827"/>
      <c r="B1665" s="1066">
        <v>1415</v>
      </c>
      <c r="C1665" s="831">
        <v>0.98075113074114351</v>
      </c>
      <c r="D1665" s="831">
        <v>0.98610878449906625</v>
      </c>
      <c r="E1665" s="831">
        <v>1.0199609192572678</v>
      </c>
      <c r="F1665" s="831">
        <v>1.0346588459422583</v>
      </c>
      <c r="G1665" s="831">
        <v>1.0137132300652494</v>
      </c>
      <c r="H1665" s="831">
        <v>1.011150010839901</v>
      </c>
      <c r="I1665" s="831">
        <v>0.9725768939598447</v>
      </c>
      <c r="K1665">
        <v>1.7529255391832599</v>
      </c>
      <c r="L1665">
        <v>0</v>
      </c>
      <c r="M1665">
        <v>1.3782995821326016E-3</v>
      </c>
      <c r="N1665">
        <v>0.14774109829589024</v>
      </c>
      <c r="O1665">
        <v>1.8301932762335431E-2</v>
      </c>
      <c r="P1665">
        <v>2.0154440649305858E-2</v>
      </c>
      <c r="Q1665">
        <v>2.260683615098904E-3</v>
      </c>
      <c r="R1665">
        <v>1.3699147955885994E-3</v>
      </c>
      <c r="S1665">
        <v>0.15314561231383844</v>
      </c>
      <c r="T1665">
        <v>1.0695983047656987</v>
      </c>
      <c r="U1665">
        <v>2.3780271230152552E-2</v>
      </c>
      <c r="V1665">
        <v>0.20961519567843639</v>
      </c>
      <c r="W1665">
        <v>8.7121783983835993E-2</v>
      </c>
      <c r="X1665">
        <v>1.7486144193907815E-2</v>
      </c>
      <c r="Y1665">
        <v>3.7284564813011697E-3</v>
      </c>
    </row>
    <row r="1666" spans="1:25" x14ac:dyDescent="0.25">
      <c r="A1666" s="827"/>
      <c r="B1666" s="1066">
        <v>1416</v>
      </c>
      <c r="C1666" s="831">
        <v>0.98714755804748444</v>
      </c>
      <c r="D1666" s="831">
        <v>0.99033527369272345</v>
      </c>
      <c r="E1666" s="831">
        <v>1.0216304127637186</v>
      </c>
      <c r="F1666" s="831">
        <v>1.0190106714615714</v>
      </c>
      <c r="G1666" s="831">
        <v>0.99363899515513243</v>
      </c>
      <c r="H1666" s="831">
        <v>0.97522980679625537</v>
      </c>
      <c r="I1666" s="831">
        <v>1.0330550390496869</v>
      </c>
      <c r="K1666">
        <v>1.746453491612745</v>
      </c>
      <c r="L1666">
        <v>0</v>
      </c>
      <c r="M1666">
        <v>1.3135251847233842E-3</v>
      </c>
      <c r="N1666">
        <v>0.14149772756599407</v>
      </c>
      <c r="O1666">
        <v>1.8148100423622016E-2</v>
      </c>
      <c r="P1666">
        <v>2.023519243228759E-2</v>
      </c>
      <c r="Q1666">
        <v>2.2461963322600318E-3</v>
      </c>
      <c r="R1666">
        <v>1.3052372238764284E-3</v>
      </c>
      <c r="S1666">
        <v>0.1586170383598606</v>
      </c>
      <c r="T1666">
        <v>1.0694514698135025</v>
      </c>
      <c r="U1666">
        <v>2.3626182031421611E-2</v>
      </c>
      <c r="V1666">
        <v>0.20848903123093307</v>
      </c>
      <c r="W1666">
        <v>8.3346222841352097E-2</v>
      </c>
      <c r="X1666">
        <v>1.7252193090300055E-2</v>
      </c>
      <c r="Y1666">
        <v>3.5524254520564254E-3</v>
      </c>
    </row>
    <row r="1667" spans="1:25" x14ac:dyDescent="0.25">
      <c r="A1667" s="827"/>
      <c r="B1667" s="1066">
        <v>1417</v>
      </c>
      <c r="C1667" s="831">
        <v>0.99729975614211208</v>
      </c>
      <c r="D1667" s="831">
        <v>1.0130466111813345</v>
      </c>
      <c r="E1667" s="831">
        <v>1.0027816059091266</v>
      </c>
      <c r="F1667" s="831">
        <v>1.0187412049778077</v>
      </c>
      <c r="G1667" s="831">
        <v>0.9801522128668726</v>
      </c>
      <c r="H1667" s="831">
        <v>1.0283467743728485</v>
      </c>
      <c r="I1667" s="831">
        <v>1.0168435905164253</v>
      </c>
      <c r="K1667">
        <v>1.7461340303555326</v>
      </c>
      <c r="L1667">
        <v>0</v>
      </c>
      <c r="M1667">
        <v>1.412030410543998E-3</v>
      </c>
      <c r="N1667">
        <v>0.14349882814793624</v>
      </c>
      <c r="O1667">
        <v>1.7779844569999544E-2</v>
      </c>
      <c r="P1667">
        <v>1.9908514173466729E-2</v>
      </c>
      <c r="Q1667">
        <v>2.1636047563791702E-3</v>
      </c>
      <c r="R1667">
        <v>1.4035655024020137E-3</v>
      </c>
      <c r="S1667">
        <v>0.15695758097384885</v>
      </c>
      <c r="T1667">
        <v>1.0711153840537571</v>
      </c>
      <c r="U1667">
        <v>2.3385674923377568E-2</v>
      </c>
      <c r="V1667">
        <v>0.20528490155893844</v>
      </c>
      <c r="W1667">
        <v>8.5612772929316308E-2</v>
      </c>
      <c r="X1667">
        <v>1.6615346564360575E-2</v>
      </c>
      <c r="Y1667">
        <v>3.8200426122947636E-3</v>
      </c>
    </row>
    <row r="1668" spans="1:25" x14ac:dyDescent="0.25">
      <c r="A1668" s="827"/>
      <c r="B1668" s="1066">
        <v>1418</v>
      </c>
      <c r="C1668" s="831">
        <v>0.97831027511969371</v>
      </c>
      <c r="D1668" s="831">
        <v>0.97685252813388423</v>
      </c>
      <c r="E1668" s="831">
        <v>0.97447659372495343</v>
      </c>
      <c r="F1668" s="831">
        <v>0.99850398358458403</v>
      </c>
      <c r="G1668" s="831">
        <v>0.97605914882562006</v>
      </c>
      <c r="H1668" s="831">
        <v>0.97558751810935374</v>
      </c>
      <c r="I1668" s="831">
        <v>0.99988644067115695</v>
      </c>
      <c r="K1668">
        <v>1.7442945083464849</v>
      </c>
      <c r="L1668">
        <v>0</v>
      </c>
      <c r="M1668">
        <v>1.4733801458695691E-3</v>
      </c>
      <c r="N1668">
        <v>0.13705958173323429</v>
      </c>
      <c r="O1668">
        <v>1.842631649315642E-2</v>
      </c>
      <c r="P1668">
        <v>1.9586507087244735E-2</v>
      </c>
      <c r="Q1668">
        <v>2.1724759683419055E-3</v>
      </c>
      <c r="R1668">
        <v>1.4640974195716831E-3</v>
      </c>
      <c r="S1668">
        <v>0.15582251222646962</v>
      </c>
      <c r="T1668">
        <v>1.0736392464678477</v>
      </c>
      <c r="U1668">
        <v>2.3839602313744226E-2</v>
      </c>
      <c r="V1668">
        <v>0.21079359116007945</v>
      </c>
      <c r="W1668">
        <v>8.3383118864092179E-2</v>
      </c>
      <c r="X1668">
        <v>1.5596048222081153E-2</v>
      </c>
      <c r="Y1668">
        <v>3.9847905364894711E-3</v>
      </c>
    </row>
    <row r="1669" spans="1:25" x14ac:dyDescent="0.25">
      <c r="A1669" s="827"/>
      <c r="B1669" s="1066">
        <v>1419</v>
      </c>
      <c r="C1669" s="831">
        <v>0.97378837998271106</v>
      </c>
      <c r="D1669" s="831">
        <v>0.95989797244592545</v>
      </c>
      <c r="E1669" s="831">
        <v>0.98606934363733256</v>
      </c>
      <c r="F1669" s="831">
        <v>0.9943908027906625</v>
      </c>
      <c r="G1669" s="831">
        <v>1.0027341614597527</v>
      </c>
      <c r="H1669" s="831">
        <v>0.99527858550539738</v>
      </c>
      <c r="I1669" s="831">
        <v>1.023551956019696</v>
      </c>
      <c r="K1669">
        <v>1.7633474052480531</v>
      </c>
      <c r="L1669">
        <v>0</v>
      </c>
      <c r="M1669">
        <v>1.4855557596928134E-3</v>
      </c>
      <c r="N1669">
        <v>0.1432940855104006</v>
      </c>
      <c r="O1669">
        <v>1.8659844110497342E-2</v>
      </c>
      <c r="P1669">
        <v>1.987341965680885E-2</v>
      </c>
      <c r="Q1669">
        <v>2.2228332422387568E-3</v>
      </c>
      <c r="R1669">
        <v>1.4763947969867225E-3</v>
      </c>
      <c r="S1669">
        <v>0.16293721652675147</v>
      </c>
      <c r="T1669">
        <v>1.0726019136506479</v>
      </c>
      <c r="U1669">
        <v>2.3950304170519326E-2</v>
      </c>
      <c r="V1669">
        <v>0.21301900160620846</v>
      </c>
      <c r="W1669">
        <v>8.6477703482287366E-2</v>
      </c>
      <c r="X1669">
        <v>1.6301984310414293E-2</v>
      </c>
      <c r="Y1669">
        <v>4.0182599439838335E-3</v>
      </c>
    </row>
    <row r="1670" spans="1:25" x14ac:dyDescent="0.25">
      <c r="A1670" s="827"/>
      <c r="B1670" s="1066">
        <v>1420</v>
      </c>
      <c r="C1670" s="831">
        <v>0.97961258182738298</v>
      </c>
      <c r="D1670" s="831">
        <v>1.0176467272602707</v>
      </c>
      <c r="E1670" s="831">
        <v>0.98125622538948098</v>
      </c>
      <c r="F1670" s="831">
        <v>1.0127247795248211</v>
      </c>
      <c r="G1670" s="831">
        <v>1.0190302739040129</v>
      </c>
      <c r="H1670" s="831">
        <v>0.97969722728987785</v>
      </c>
      <c r="I1670" s="831">
        <v>0.97920004485600176</v>
      </c>
      <c r="K1670">
        <v>1.7311649178458117</v>
      </c>
      <c r="L1670">
        <v>0</v>
      </c>
      <c r="M1670">
        <v>1.4300179820066772E-3</v>
      </c>
      <c r="N1670">
        <v>0.13586692082398677</v>
      </c>
      <c r="O1670">
        <v>1.8063822363044588E-2</v>
      </c>
      <c r="P1670">
        <v>1.9548718816849435E-2</v>
      </c>
      <c r="Q1670">
        <v>2.1516969847099475E-3</v>
      </c>
      <c r="R1670">
        <v>1.4210162431081248E-3</v>
      </c>
      <c r="S1670">
        <v>0.15012360282821591</v>
      </c>
      <c r="T1670">
        <v>1.073031983974059</v>
      </c>
      <c r="U1670">
        <v>2.3807909709363889E-2</v>
      </c>
      <c r="V1670">
        <v>0.2067902734426883</v>
      </c>
      <c r="W1670">
        <v>8.2269022947135964E-2</v>
      </c>
      <c r="X1670">
        <v>1.5652429918793818E-2</v>
      </c>
      <c r="Y1670">
        <v>3.8675377758616704E-3</v>
      </c>
    </row>
    <row r="1671" spans="1:25" x14ac:dyDescent="0.25">
      <c r="A1671" s="827"/>
      <c r="B1671" s="1066">
        <v>1421</v>
      </c>
      <c r="C1671" s="831">
        <v>0.99731620155784528</v>
      </c>
      <c r="D1671" s="831">
        <v>0.9980944351342258</v>
      </c>
      <c r="E1671" s="831">
        <v>0.99054824137923403</v>
      </c>
      <c r="F1671" s="831">
        <v>1.0028435450983748</v>
      </c>
      <c r="G1671" s="831">
        <v>1.0117285608717344</v>
      </c>
      <c r="H1671" s="831">
        <v>0.95680546337406513</v>
      </c>
      <c r="I1671" s="831">
        <v>1.0376754701796389</v>
      </c>
      <c r="K1671">
        <v>1.7298716000753538</v>
      </c>
      <c r="L1671">
        <v>0</v>
      </c>
      <c r="M1671">
        <v>1.3571370685193994E-3</v>
      </c>
      <c r="N1671">
        <v>0.1327096415712424</v>
      </c>
      <c r="O1671">
        <v>1.7899629841810722E-2</v>
      </c>
      <c r="P1671">
        <v>1.9744710573214599E-2</v>
      </c>
      <c r="Q1671">
        <v>2.1488986008964899E-3</v>
      </c>
      <c r="R1671">
        <v>1.3484034684808311E-3</v>
      </c>
      <c r="S1671">
        <v>0.15581469322012476</v>
      </c>
      <c r="T1671">
        <v>1.072202490186682</v>
      </c>
      <c r="U1671">
        <v>2.3385289301299354E-2</v>
      </c>
      <c r="V1671">
        <v>0.20664591849218067</v>
      </c>
      <c r="W1671">
        <v>7.9842931164623876E-2</v>
      </c>
      <c r="X1671">
        <v>1.5816220983194785E-2</v>
      </c>
      <c r="Y1671">
        <v>3.6699097401209002E-3</v>
      </c>
    </row>
    <row r="1672" spans="1:25" x14ac:dyDescent="0.25">
      <c r="A1672" s="827"/>
      <c r="B1672" s="1066">
        <v>1422</v>
      </c>
      <c r="C1672" s="831">
        <v>0.9806001690092867</v>
      </c>
      <c r="D1672" s="831">
        <v>1.032515036791297</v>
      </c>
      <c r="E1672" s="831">
        <v>0.98420601483327508</v>
      </c>
      <c r="F1672" s="831">
        <v>0.98813630952716658</v>
      </c>
      <c r="G1672" s="831">
        <v>0.98640586974071798</v>
      </c>
      <c r="H1672" s="831">
        <v>1.0039022128701165</v>
      </c>
      <c r="I1672" s="831">
        <v>1.0011897479283498</v>
      </c>
      <c r="K1672">
        <v>1.737879845296892</v>
      </c>
      <c r="L1672">
        <v>0</v>
      </c>
      <c r="M1672">
        <v>1.4453428963207477E-3</v>
      </c>
      <c r="N1672">
        <v>0.13861077767161634</v>
      </c>
      <c r="O1672">
        <v>1.7927797613734562E-2</v>
      </c>
      <c r="P1672">
        <v>1.9623842784883702E-2</v>
      </c>
      <c r="Q1672">
        <v>2.1444114844099498E-3</v>
      </c>
      <c r="R1672">
        <v>1.4364536949124961E-3</v>
      </c>
      <c r="S1672">
        <v>0.15417178963739153</v>
      </c>
      <c r="T1672">
        <v>1.0727683057709512</v>
      </c>
      <c r="U1672">
        <v>2.378393216255123E-2</v>
      </c>
      <c r="V1672">
        <v>0.20535494432923862</v>
      </c>
      <c r="W1672">
        <v>8.3759173186795446E-2</v>
      </c>
      <c r="X1672">
        <v>1.5834206426010591E-2</v>
      </c>
      <c r="Y1672">
        <v>3.9095534307185499E-3</v>
      </c>
    </row>
    <row r="1673" spans="1:25" x14ac:dyDescent="0.25">
      <c r="A1673" s="827"/>
      <c r="B1673" s="1066">
        <v>1423</v>
      </c>
      <c r="C1673" s="831">
        <v>0.98744541133930885</v>
      </c>
      <c r="D1673" s="831">
        <v>1.0162076287058832</v>
      </c>
      <c r="E1673" s="831">
        <v>1.0380291760250726</v>
      </c>
      <c r="F1673" s="831">
        <v>0.9758900439524234</v>
      </c>
      <c r="G1673" s="831">
        <v>1.0313258148599251</v>
      </c>
      <c r="H1673" s="831">
        <v>0.97865417715013581</v>
      </c>
      <c r="I1673" s="831">
        <v>0.99337033953096332</v>
      </c>
      <c r="K1673">
        <v>1.7361209987935964</v>
      </c>
      <c r="L1673">
        <v>0</v>
      </c>
      <c r="M1673">
        <v>1.2580498019940671E-3</v>
      </c>
      <c r="N1673">
        <v>0.14260045950003239</v>
      </c>
      <c r="O1673">
        <v>1.7932000852339192E-2</v>
      </c>
      <c r="P1673">
        <v>2.0318025993595158E-2</v>
      </c>
      <c r="Q1673">
        <v>2.26049693148162E-3</v>
      </c>
      <c r="R1673">
        <v>1.2501230412845824E-3</v>
      </c>
      <c r="S1673">
        <v>0.15110176878413503</v>
      </c>
      <c r="T1673">
        <v>1.0680147869423227</v>
      </c>
      <c r="U1673">
        <v>2.3619055423701841E-2</v>
      </c>
      <c r="V1673">
        <v>0.20606111332298538</v>
      </c>
      <c r="W1673">
        <v>8.3077667070022593E-2</v>
      </c>
      <c r="X1673">
        <v>1.7741127918261629E-2</v>
      </c>
      <c r="Y1673">
        <v>3.4024228154268289E-3</v>
      </c>
    </row>
    <row r="1674" spans="1:25" x14ac:dyDescent="0.25">
      <c r="A1674" s="827"/>
      <c r="B1674" s="1066">
        <v>1424</v>
      </c>
      <c r="C1674" s="831">
        <v>1.0052519929370145</v>
      </c>
      <c r="D1674" s="831">
        <v>1.0279612311673121</v>
      </c>
      <c r="E1674" s="831">
        <v>0.98709519415652414</v>
      </c>
      <c r="F1674" s="831">
        <v>0.97838296028434157</v>
      </c>
      <c r="G1674" s="831">
        <v>1.0072908067127992</v>
      </c>
      <c r="H1674" s="831">
        <v>1.0225730596693867</v>
      </c>
      <c r="I1674" s="831">
        <v>0.99648644611905568</v>
      </c>
      <c r="K1674">
        <v>1.7308869979837922</v>
      </c>
      <c r="L1674">
        <v>0</v>
      </c>
      <c r="M1674">
        <v>1.4302761172453266E-3</v>
      </c>
      <c r="N1674">
        <v>0.13842158971622295</v>
      </c>
      <c r="O1674">
        <v>1.7523080716298867E-2</v>
      </c>
      <c r="P1674">
        <v>1.9586058964026015E-2</v>
      </c>
      <c r="Q1674">
        <v>2.1013969219713172E-3</v>
      </c>
      <c r="R1674">
        <v>1.4216432536480169E-3</v>
      </c>
      <c r="S1674">
        <v>0.1512707370631009</v>
      </c>
      <c r="T1674">
        <v>1.072510362688657</v>
      </c>
      <c r="U1674">
        <v>2.3200678100783936E-2</v>
      </c>
      <c r="V1674">
        <v>0.20312689834041159</v>
      </c>
      <c r="W1674">
        <v>8.347799252286818E-2</v>
      </c>
      <c r="X1674">
        <v>1.5807591521189494E-2</v>
      </c>
      <c r="Y1674">
        <v>3.8692442918572879E-3</v>
      </c>
    </row>
    <row r="1675" spans="1:25" x14ac:dyDescent="0.25">
      <c r="A1675" s="827"/>
      <c r="B1675" s="1066">
        <v>1425</v>
      </c>
      <c r="C1675" s="831">
        <v>1.0049151428674468</v>
      </c>
      <c r="D1675" s="831">
        <v>0.97962280250453782</v>
      </c>
      <c r="E1675" s="831">
        <v>0.99413611877750485</v>
      </c>
      <c r="F1675" s="831">
        <v>0.99505866633639617</v>
      </c>
      <c r="G1675" s="831">
        <v>0.95716623462584827</v>
      </c>
      <c r="H1675" s="831">
        <v>0.98032221372400785</v>
      </c>
      <c r="I1675" s="831">
        <v>1.0358293529357705</v>
      </c>
      <c r="K1675">
        <v>1.7382770562852088</v>
      </c>
      <c r="L1675">
        <v>0</v>
      </c>
      <c r="M1675">
        <v>1.3812440050997288E-3</v>
      </c>
      <c r="N1675">
        <v>0.13660648365680922</v>
      </c>
      <c r="O1675">
        <v>1.7915428795063484E-2</v>
      </c>
      <c r="P1675">
        <v>1.9824115542250591E-2</v>
      </c>
      <c r="Q1675">
        <v>2.1552765194752504E-3</v>
      </c>
      <c r="R1675">
        <v>1.3725817712628792E-3</v>
      </c>
      <c r="S1675">
        <v>0.15731889775595839</v>
      </c>
      <c r="T1675">
        <v>1.0718830720528405</v>
      </c>
      <c r="U1675">
        <v>2.3208455026117143E-2</v>
      </c>
      <c r="V1675">
        <v>0.20755837133143012</v>
      </c>
      <c r="W1675">
        <v>8.1984811915045711E-2</v>
      </c>
      <c r="X1675">
        <v>1.6095090814134603E-2</v>
      </c>
      <c r="Y1675">
        <v>3.7357151099182647E-3</v>
      </c>
    </row>
    <row r="1676" spans="1:25" x14ac:dyDescent="0.25">
      <c r="A1676" s="827"/>
      <c r="B1676" s="1066">
        <v>1426</v>
      </c>
      <c r="C1676" s="831">
        <v>0.9933859942284704</v>
      </c>
      <c r="D1676" s="831">
        <v>0.98180035714131419</v>
      </c>
      <c r="E1676" s="831">
        <v>0.99144227206766677</v>
      </c>
      <c r="F1676" s="831">
        <v>1.024865111145731</v>
      </c>
      <c r="G1676" s="831">
        <v>0.96099503995311741</v>
      </c>
      <c r="H1676" s="831">
        <v>1.0078231590470137</v>
      </c>
      <c r="I1676" s="831">
        <v>0.98280284353023606</v>
      </c>
      <c r="K1676">
        <v>1.7438704942803498</v>
      </c>
      <c r="L1676">
        <v>0</v>
      </c>
      <c r="M1676">
        <v>1.443181524225059E-3</v>
      </c>
      <c r="N1676">
        <v>0.14156453195828403</v>
      </c>
      <c r="O1676">
        <v>1.8105093197545722E-2</v>
      </c>
      <c r="P1676">
        <v>1.9744372595975949E-2</v>
      </c>
      <c r="Q1676">
        <v>2.1725797796462607E-3</v>
      </c>
      <c r="R1676">
        <v>1.434376220439361E-3</v>
      </c>
      <c r="S1676">
        <v>0.15282789745875816</v>
      </c>
      <c r="T1676">
        <v>1.0721228518997439</v>
      </c>
      <c r="U1676">
        <v>2.3477810270938027E-2</v>
      </c>
      <c r="V1676">
        <v>0.20861513459413725</v>
      </c>
      <c r="W1676">
        <v>8.5117939847041635E-2</v>
      </c>
      <c r="X1676">
        <v>1.6227188752021209E-2</v>
      </c>
      <c r="Y1676">
        <v>3.9038992300419518E-3</v>
      </c>
    </row>
    <row r="1677" spans="1:25" x14ac:dyDescent="0.25">
      <c r="A1677" s="827"/>
      <c r="B1677" s="1066">
        <v>1427</v>
      </c>
      <c r="C1677" s="831">
        <v>0.98543420531963988</v>
      </c>
      <c r="D1677" s="831">
        <v>1.0148959385291629</v>
      </c>
      <c r="E1677" s="831">
        <v>0.99193610515201847</v>
      </c>
      <c r="F1677" s="831">
        <v>1.0235537690487748</v>
      </c>
      <c r="G1677" s="831">
        <v>1.0108760252021565</v>
      </c>
      <c r="H1677" s="831">
        <v>1.0292858987909099</v>
      </c>
      <c r="I1677" s="831">
        <v>0.99553758610232468</v>
      </c>
      <c r="K1677">
        <v>1.7477802967342249</v>
      </c>
      <c r="L1677">
        <v>0</v>
      </c>
      <c r="M1677">
        <v>1.4621634501394997E-3</v>
      </c>
      <c r="N1677">
        <v>0.14366321831174689</v>
      </c>
      <c r="O1677">
        <v>1.7979095433019062E-2</v>
      </c>
      <c r="P1677">
        <v>1.9759436420191939E-2</v>
      </c>
      <c r="Q1677">
        <v>2.1644162309733925E-3</v>
      </c>
      <c r="R1677">
        <v>1.4534047079173586E-3</v>
      </c>
      <c r="S1677">
        <v>0.15546914803011477</v>
      </c>
      <c r="T1677">
        <v>1.0720788752452826</v>
      </c>
      <c r="U1677">
        <v>2.3667260353255306E-2</v>
      </c>
      <c r="V1677">
        <v>0.20639826719869339</v>
      </c>
      <c r="W1677">
        <v>8.6350455708574511E-2</v>
      </c>
      <c r="X1677">
        <v>1.6303194044377689E-2</v>
      </c>
      <c r="Y1677">
        <v>3.9556885002178513E-3</v>
      </c>
    </row>
    <row r="1678" spans="1:25" x14ac:dyDescent="0.25">
      <c r="A1678" s="827"/>
      <c r="B1678" s="1066">
        <v>1428</v>
      </c>
      <c r="C1678" s="831">
        <v>1.0115893225791788</v>
      </c>
      <c r="D1678" s="831">
        <v>0.99958640174697699</v>
      </c>
      <c r="E1678" s="831">
        <v>1.0240055759661921</v>
      </c>
      <c r="F1678" s="831">
        <v>0.98856319413275007</v>
      </c>
      <c r="G1678" s="831">
        <v>1.0257532612381326</v>
      </c>
      <c r="H1678" s="831">
        <v>0.99930072440923601</v>
      </c>
      <c r="I1678" s="831">
        <v>1.0222004007347631</v>
      </c>
      <c r="K1678">
        <v>1.7365628552020766</v>
      </c>
      <c r="L1678">
        <v>0</v>
      </c>
      <c r="M1678">
        <v>1.3013599824066042E-3</v>
      </c>
      <c r="N1678">
        <v>0.14124615832681381</v>
      </c>
      <c r="O1678">
        <v>1.7635135738458017E-2</v>
      </c>
      <c r="P1678">
        <v>2.0151096414116321E-2</v>
      </c>
      <c r="Q1678">
        <v>2.1895312175262329E-3</v>
      </c>
      <c r="R1678">
        <v>1.2933404811559461E-3</v>
      </c>
      <c r="S1678">
        <v>0.15431482450583811</v>
      </c>
      <c r="T1678">
        <v>1.0692427519599756</v>
      </c>
      <c r="U1678">
        <v>2.3055332216080873E-2</v>
      </c>
      <c r="V1678">
        <v>0.20498460650930425</v>
      </c>
      <c r="W1678">
        <v>8.3065066060105011E-2</v>
      </c>
      <c r="X1678">
        <v>1.7166325314977346E-2</v>
      </c>
      <c r="Y1678">
        <v>3.5200464401314567E-3</v>
      </c>
    </row>
    <row r="1679" spans="1:25" x14ac:dyDescent="0.25">
      <c r="A1679" s="827"/>
      <c r="B1679" s="1066">
        <v>1429</v>
      </c>
      <c r="C1679" s="831">
        <v>0.99757246814349998</v>
      </c>
      <c r="D1679" s="831">
        <v>1.0261246773443149</v>
      </c>
      <c r="E1679" s="831">
        <v>1.0030840228526019</v>
      </c>
      <c r="F1679" s="831">
        <v>1.0032712720978634</v>
      </c>
      <c r="G1679" s="831">
        <v>1.0238859483786602</v>
      </c>
      <c r="H1679" s="831">
        <v>1.020226258638721</v>
      </c>
      <c r="I1679" s="831">
        <v>1.015344764753711</v>
      </c>
      <c r="K1679">
        <v>1.7397556117358688</v>
      </c>
      <c r="L1679">
        <v>0</v>
      </c>
      <c r="M1679">
        <v>1.3915239778309286E-3</v>
      </c>
      <c r="N1679">
        <v>0.14154024290589265</v>
      </c>
      <c r="O1679">
        <v>1.767224092418191E-2</v>
      </c>
      <c r="P1679">
        <v>1.9873072644798925E-2</v>
      </c>
      <c r="Q1679">
        <v>2.1534032145073879E-3</v>
      </c>
      <c r="R1679">
        <v>1.3831069035319865E-3</v>
      </c>
      <c r="S1679">
        <v>0.15526567262441007</v>
      </c>
      <c r="T1679">
        <v>1.0710885815895488</v>
      </c>
      <c r="U1679">
        <v>2.3379281849775599E-2</v>
      </c>
      <c r="V1679">
        <v>0.20409144585433783</v>
      </c>
      <c r="W1679">
        <v>8.442682606159467E-2</v>
      </c>
      <c r="X1679">
        <v>1.6508900090773802E-2</v>
      </c>
      <c r="Y1679">
        <v>3.7643610503458546E-3</v>
      </c>
    </row>
    <row r="1680" spans="1:25" x14ac:dyDescent="0.25">
      <c r="A1680" s="827"/>
      <c r="B1680" s="1066">
        <v>1430</v>
      </c>
      <c r="C1680" s="831">
        <v>1.0435124101050059</v>
      </c>
      <c r="D1680" s="831">
        <v>0.97917209705858832</v>
      </c>
      <c r="E1680" s="831">
        <v>1.0040249931315783</v>
      </c>
      <c r="F1680" s="831">
        <v>0.99820309670163421</v>
      </c>
      <c r="G1680" s="831">
        <v>0.95555287448489024</v>
      </c>
      <c r="H1680" s="831">
        <v>1.033375284478071</v>
      </c>
      <c r="I1680" s="831">
        <v>0.97423215686855102</v>
      </c>
      <c r="K1680">
        <v>1.7258408252456119</v>
      </c>
      <c r="L1680">
        <v>0</v>
      </c>
      <c r="M1680">
        <v>1.3735328093314163E-3</v>
      </c>
      <c r="N1680">
        <v>0.14013379371093845</v>
      </c>
      <c r="O1680">
        <v>1.7256381376756957E-2</v>
      </c>
      <c r="P1680">
        <v>1.9739276814800151E-2</v>
      </c>
      <c r="Q1680">
        <v>2.0966603785863708E-3</v>
      </c>
      <c r="R1680">
        <v>1.3653614775303489E-3</v>
      </c>
      <c r="S1680">
        <v>0.1461078210906247</v>
      </c>
      <c r="T1680">
        <v>1.0710052078202419</v>
      </c>
      <c r="U1680">
        <v>2.2350024467803212E-2</v>
      </c>
      <c r="V1680">
        <v>0.20357115520111269</v>
      </c>
      <c r="W1680">
        <v>8.3534230758805519E-2</v>
      </c>
      <c r="X1680">
        <v>1.6338381107194846E-2</v>
      </c>
      <c r="Y1680">
        <v>3.7160638505475069E-3</v>
      </c>
    </row>
    <row r="1681" spans="1:25" x14ac:dyDescent="0.25">
      <c r="A1681" s="827"/>
      <c r="B1681" s="1066">
        <v>1431</v>
      </c>
      <c r="C1681" s="831">
        <v>0.98225270796569197</v>
      </c>
      <c r="D1681" s="831">
        <v>0.98773181092118523</v>
      </c>
      <c r="E1681" s="831">
        <v>0.98714665709066318</v>
      </c>
      <c r="F1681" s="831">
        <v>0.98453704460662184</v>
      </c>
      <c r="G1681" s="831">
        <v>0.98480177238696853</v>
      </c>
      <c r="H1681" s="831">
        <v>1.0041508073336705</v>
      </c>
      <c r="I1681" s="831">
        <v>1.0102902880534017</v>
      </c>
      <c r="K1681">
        <v>1.7511177340708157</v>
      </c>
      <c r="L1681">
        <v>0</v>
      </c>
      <c r="M1681">
        <v>1.4634127901777612E-3</v>
      </c>
      <c r="N1681">
        <v>0.14163829577126416</v>
      </c>
      <c r="O1681">
        <v>1.8260325782301419E-2</v>
      </c>
      <c r="P1681">
        <v>1.9771207355495476E-2</v>
      </c>
      <c r="Q1681">
        <v>2.1827967009024219E-3</v>
      </c>
      <c r="R1681">
        <v>1.4544469606749106E-3</v>
      </c>
      <c r="S1681">
        <v>0.15821259329898335</v>
      </c>
      <c r="T1681">
        <v>1.0725057709759285</v>
      </c>
      <c r="U1681">
        <v>2.3743918147709299E-2</v>
      </c>
      <c r="V1681">
        <v>0.20928745328017789</v>
      </c>
      <c r="W1681">
        <v>8.5414858415091596E-2</v>
      </c>
      <c r="X1681">
        <v>1.6150955003817646E-2</v>
      </c>
      <c r="Y1681">
        <v>3.9585251686453772E-3</v>
      </c>
    </row>
    <row r="1682" spans="1:25" x14ac:dyDescent="0.25">
      <c r="A1682" s="827"/>
      <c r="B1682" s="1066">
        <v>1432</v>
      </c>
      <c r="C1682" s="831">
        <v>0.96157801293710432</v>
      </c>
      <c r="D1682" s="831">
        <v>0.99599643211655231</v>
      </c>
      <c r="E1682" s="831">
        <v>1.0291655055739755</v>
      </c>
      <c r="F1682" s="831">
        <v>0.97514376808894354</v>
      </c>
      <c r="G1682" s="831">
        <v>0.97793339217652042</v>
      </c>
      <c r="H1682" s="831">
        <v>1.0194579818829528</v>
      </c>
      <c r="I1682" s="831">
        <v>1.0013755081540552</v>
      </c>
      <c r="K1682">
        <v>1.7699471508116058</v>
      </c>
      <c r="L1682">
        <v>0</v>
      </c>
      <c r="M1682">
        <v>1.3837548106006995E-3</v>
      </c>
      <c r="N1682">
        <v>0.1526337004483464</v>
      </c>
      <c r="O1682">
        <v>1.8582600356858704E-2</v>
      </c>
      <c r="P1682">
        <v>2.0409588585241296E-2</v>
      </c>
      <c r="Q1682">
        <v>2.3183037519763461E-3</v>
      </c>
      <c r="R1682">
        <v>1.3753986172685309E-3</v>
      </c>
      <c r="S1682">
        <v>0.16078081035163044</v>
      </c>
      <c r="T1682">
        <v>1.0687900593137161</v>
      </c>
      <c r="U1682">
        <v>2.4254431345685019E-2</v>
      </c>
      <c r="V1682">
        <v>0.21086460022857056</v>
      </c>
      <c r="W1682">
        <v>8.9451363504994275E-2</v>
      </c>
      <c r="X1682">
        <v>1.8126667481743901E-2</v>
      </c>
      <c r="Y1682">
        <v>3.7433816361726129E-3</v>
      </c>
    </row>
    <row r="1683" spans="1:25" x14ac:dyDescent="0.25">
      <c r="A1683" s="827"/>
      <c r="B1683" s="1066">
        <v>1433</v>
      </c>
      <c r="C1683" s="831">
        <v>1.0200683861589401</v>
      </c>
      <c r="D1683" s="831">
        <v>0.9740377824602775</v>
      </c>
      <c r="E1683" s="831">
        <v>0.98726360346256892</v>
      </c>
      <c r="F1683" s="831">
        <v>1.0149663747662889</v>
      </c>
      <c r="G1683" s="831">
        <v>1.0306972455670469</v>
      </c>
      <c r="H1683" s="831">
        <v>0.97721742194508265</v>
      </c>
      <c r="I1683" s="831">
        <v>1.0029821525296649</v>
      </c>
      <c r="K1683">
        <v>1.7249541181287777</v>
      </c>
      <c r="L1683">
        <v>0</v>
      </c>
      <c r="M1683">
        <v>1.3797357979699178E-3</v>
      </c>
      <c r="N1683">
        <v>0.13356642637021487</v>
      </c>
      <c r="O1683">
        <v>1.7695187983962593E-2</v>
      </c>
      <c r="P1683">
        <v>1.9614531554878096E-2</v>
      </c>
      <c r="Q1683">
        <v>2.113047303736531E-3</v>
      </c>
      <c r="R1683">
        <v>1.3710596241117915E-3</v>
      </c>
      <c r="S1683">
        <v>0.15020281664912011</v>
      </c>
      <c r="T1683">
        <v>1.0724953369600845</v>
      </c>
      <c r="U1683">
        <v>2.2863690527773321E-2</v>
      </c>
      <c r="V1683">
        <v>0.20646882108667766</v>
      </c>
      <c r="W1683">
        <v>8.0540621153094447E-2</v>
      </c>
      <c r="X1683">
        <v>1.567074238594381E-2</v>
      </c>
      <c r="Y1683">
        <v>3.7315723271486778E-3</v>
      </c>
    </row>
    <row r="1684" spans="1:25" x14ac:dyDescent="0.25">
      <c r="A1684" s="827"/>
      <c r="B1684" s="1066">
        <v>1434</v>
      </c>
      <c r="C1684" s="831">
        <v>1.002991186684562</v>
      </c>
      <c r="D1684" s="831">
        <v>0.98202892384374307</v>
      </c>
      <c r="E1684" s="831">
        <v>0.99977535226814984</v>
      </c>
      <c r="F1684" s="831">
        <v>0.99907853832562732</v>
      </c>
      <c r="G1684" s="831">
        <v>1.0181127125212439</v>
      </c>
      <c r="H1684" s="831">
        <v>0.98590334625936515</v>
      </c>
      <c r="I1684" s="831">
        <v>0.99490979811846592</v>
      </c>
      <c r="K1684">
        <v>1.7347180128559621</v>
      </c>
      <c r="L1684">
        <v>0</v>
      </c>
      <c r="M1684">
        <v>1.3738200535183889E-3</v>
      </c>
      <c r="N1684">
        <v>0.13828237379212818</v>
      </c>
      <c r="O1684">
        <v>1.7929814224768695E-2</v>
      </c>
      <c r="P1684">
        <v>1.9823978659575432E-2</v>
      </c>
      <c r="Q1684">
        <v>2.1697302409108819E-3</v>
      </c>
      <c r="R1684">
        <v>1.3652514204750936E-3</v>
      </c>
      <c r="S1684">
        <v>0.15164036954263785</v>
      </c>
      <c r="T1684">
        <v>1.0713820086473573</v>
      </c>
      <c r="U1684">
        <v>2.325297391236008E-2</v>
      </c>
      <c r="V1684">
        <v>0.20753920914264432</v>
      </c>
      <c r="W1684">
        <v>8.2670313233232845E-2</v>
      </c>
      <c r="X1684">
        <v>1.6320045781864766E-2</v>
      </c>
      <c r="Y1684">
        <v>3.7157643115234007E-3</v>
      </c>
    </row>
    <row r="1685" spans="1:25" x14ac:dyDescent="0.25">
      <c r="A1685" s="827"/>
      <c r="B1685" s="1066">
        <v>1435</v>
      </c>
      <c r="C1685" s="831">
        <v>1.0037206714944693</v>
      </c>
      <c r="D1685" s="831">
        <v>0.97891491531067132</v>
      </c>
      <c r="E1685" s="831">
        <v>0.99900631730761458</v>
      </c>
      <c r="F1685" s="831">
        <v>0.98896062699407439</v>
      </c>
      <c r="G1685" s="831">
        <v>0.99662468422629624</v>
      </c>
      <c r="H1685" s="831">
        <v>1.0083105905921541</v>
      </c>
      <c r="I1685" s="831">
        <v>1.0010868698648894</v>
      </c>
      <c r="K1685">
        <v>1.7429759623304732</v>
      </c>
      <c r="L1685">
        <v>0</v>
      </c>
      <c r="M1685">
        <v>1.4083251067463155E-3</v>
      </c>
      <c r="N1685">
        <v>0.14143667629763113</v>
      </c>
      <c r="O1685">
        <v>1.7942637601823887E-2</v>
      </c>
      <c r="P1685">
        <v>1.985242986524385E-2</v>
      </c>
      <c r="Q1685">
        <v>2.1690329520176002E-3</v>
      </c>
      <c r="R1685">
        <v>1.399738707629656E-3</v>
      </c>
      <c r="S1685">
        <v>0.15429237038471635</v>
      </c>
      <c r="T1685">
        <v>1.0714502691442727</v>
      </c>
      <c r="U1685">
        <v>2.3236074099756875E-2</v>
      </c>
      <c r="V1685">
        <v>0.20775659010496755</v>
      </c>
      <c r="W1685">
        <v>8.4600596333164343E-2</v>
      </c>
      <c r="X1685">
        <v>1.6438244607566932E-2</v>
      </c>
      <c r="Y1685">
        <v>3.8096273384269639E-3</v>
      </c>
    </row>
    <row r="1686" spans="1:25" x14ac:dyDescent="0.25">
      <c r="A1686" s="827"/>
      <c r="B1686" s="1066">
        <v>1436</v>
      </c>
      <c r="C1686" s="831">
        <v>1.0032541081849373</v>
      </c>
      <c r="D1686" s="831">
        <v>1.0340374822941443</v>
      </c>
      <c r="E1686" s="831">
        <v>1.0476273081576191</v>
      </c>
      <c r="F1686" s="831">
        <v>0.99083571330493547</v>
      </c>
      <c r="G1686" s="831">
        <v>0.96136960114794545</v>
      </c>
      <c r="H1686" s="831">
        <v>1.0240963737567814</v>
      </c>
      <c r="I1686" s="831">
        <v>1.0035128204716086</v>
      </c>
      <c r="K1686">
        <v>1.7396598730776107</v>
      </c>
      <c r="L1686">
        <v>0</v>
      </c>
      <c r="M1686">
        <v>1.2597045104132162E-3</v>
      </c>
      <c r="N1686">
        <v>0.14714234168189413</v>
      </c>
      <c r="O1686">
        <v>1.7511333451207898E-2</v>
      </c>
      <c r="P1686">
        <v>2.0413648812945197E-2</v>
      </c>
      <c r="Q1686">
        <v>2.2315052783575891E-3</v>
      </c>
      <c r="R1686">
        <v>1.2521089057752081E-3</v>
      </c>
      <c r="S1686">
        <v>0.15237644010008461</v>
      </c>
      <c r="T1686">
        <v>1.0671786390722706</v>
      </c>
      <c r="U1686">
        <v>2.3246880035704701E-2</v>
      </c>
      <c r="V1686">
        <v>0.20280978452814935</v>
      </c>
      <c r="W1686">
        <v>8.5178964984871444E-2</v>
      </c>
      <c r="X1686">
        <v>1.8170103052833481E-2</v>
      </c>
      <c r="Y1686">
        <v>3.4078276839302583E-3</v>
      </c>
    </row>
    <row r="1687" spans="1:25" x14ac:dyDescent="0.25">
      <c r="A1687" s="827"/>
      <c r="B1687" s="1066">
        <v>1437</v>
      </c>
      <c r="C1687" s="831">
        <v>1.0353255876688361</v>
      </c>
      <c r="D1687" s="831">
        <v>0.9918758022578773</v>
      </c>
      <c r="E1687" s="831">
        <v>1.018203013363064</v>
      </c>
      <c r="F1687" s="831">
        <v>0.98184827181899592</v>
      </c>
      <c r="G1687" s="831">
        <v>0.97090566461337469</v>
      </c>
      <c r="H1687" s="831">
        <v>0.99724181818324598</v>
      </c>
      <c r="I1687" s="831">
        <v>1.016856093493383</v>
      </c>
      <c r="K1687">
        <v>1.7239751607960285</v>
      </c>
      <c r="L1687">
        <v>0</v>
      </c>
      <c r="M1687">
        <v>1.2890670609814379E-3</v>
      </c>
      <c r="N1687">
        <v>0.13741148269251557</v>
      </c>
      <c r="O1687">
        <v>1.7291401957557472E-2</v>
      </c>
      <c r="P1687">
        <v>1.9986025493956904E-2</v>
      </c>
      <c r="Q1687">
        <v>2.1331553902795026E-3</v>
      </c>
      <c r="R1687">
        <v>1.2811119445775422E-3</v>
      </c>
      <c r="S1687">
        <v>0.15032614327958882</v>
      </c>
      <c r="T1687">
        <v>1.0697530298655706</v>
      </c>
      <c r="U1687">
        <v>2.2526756970062685E-2</v>
      </c>
      <c r="V1687">
        <v>0.20323650373815136</v>
      </c>
      <c r="W1687">
        <v>8.1126725976525996E-2</v>
      </c>
      <c r="X1687">
        <v>1.6705126153520718E-2</v>
      </c>
      <c r="Y1687">
        <v>3.4867643947010412E-3</v>
      </c>
    </row>
    <row r="1688" spans="1:25" x14ac:dyDescent="0.25">
      <c r="A1688" s="827"/>
      <c r="B1688" s="1066">
        <v>1438</v>
      </c>
      <c r="C1688" s="831">
        <v>1.0358927313597883</v>
      </c>
      <c r="D1688" s="831">
        <v>0.99489583205840315</v>
      </c>
      <c r="E1688" s="831">
        <v>1.0150940884304658</v>
      </c>
      <c r="F1688" s="831">
        <v>1.0230511097426915</v>
      </c>
      <c r="G1688" s="831">
        <v>1.0053858891819019</v>
      </c>
      <c r="H1688" s="831">
        <v>0.9867032548629352</v>
      </c>
      <c r="I1688" s="831">
        <v>0.9828919958056086</v>
      </c>
      <c r="K1688">
        <v>1.7142425821509846</v>
      </c>
      <c r="L1688">
        <v>0</v>
      </c>
      <c r="M1688">
        <v>1.2813758874435251E-3</v>
      </c>
      <c r="N1688">
        <v>0.13526927624033983</v>
      </c>
      <c r="O1688">
        <v>1.7258134261575013E-2</v>
      </c>
      <c r="P1688">
        <v>1.985659615837922E-2</v>
      </c>
      <c r="Q1688">
        <v>2.1229999276534987E-3</v>
      </c>
      <c r="R1688">
        <v>1.2733817899718059E-3</v>
      </c>
      <c r="S1688">
        <v>0.14432274544815599</v>
      </c>
      <c r="T1688">
        <v>1.0700269537047988</v>
      </c>
      <c r="U1688">
        <v>2.2514423735446373E-2</v>
      </c>
      <c r="V1688">
        <v>0.20290707456157148</v>
      </c>
      <c r="W1688">
        <v>8.0030087555221008E-2</v>
      </c>
      <c r="X1688">
        <v>1.6476559193204683E-2</v>
      </c>
      <c r="Y1688">
        <v>3.4657254621090071E-3</v>
      </c>
    </row>
    <row r="1689" spans="1:25" x14ac:dyDescent="0.25">
      <c r="A1689" s="827"/>
      <c r="B1689" s="1066">
        <v>1439</v>
      </c>
      <c r="C1689" s="831">
        <v>1.0175321862998448</v>
      </c>
      <c r="D1689" s="831">
        <v>0.98231195704561924</v>
      </c>
      <c r="E1689" s="831">
        <v>1.0031067255600206</v>
      </c>
      <c r="F1689" s="831">
        <v>0.97711338749087584</v>
      </c>
      <c r="G1689" s="831">
        <v>1.045109403959926</v>
      </c>
      <c r="H1689" s="831">
        <v>1.028507016302852</v>
      </c>
      <c r="I1689" s="831">
        <v>1.0339043637339465</v>
      </c>
      <c r="K1689">
        <v>1.7463283822204811</v>
      </c>
      <c r="L1689">
        <v>0</v>
      </c>
      <c r="M1689">
        <v>1.4026439740103581E-3</v>
      </c>
      <c r="N1689">
        <v>0.14269144036681858</v>
      </c>
      <c r="O1689">
        <v>1.7671277276256371E-2</v>
      </c>
      <c r="P1689">
        <v>1.993612423068649E-2</v>
      </c>
      <c r="Q1689">
        <v>2.1456623587498723E-3</v>
      </c>
      <c r="R1689">
        <v>1.3942577488453385E-3</v>
      </c>
      <c r="S1689">
        <v>0.15844602916335027</v>
      </c>
      <c r="T1689">
        <v>1.0710865696442342</v>
      </c>
      <c r="U1689">
        <v>2.2920678296293764E-2</v>
      </c>
      <c r="V1689">
        <v>0.2059563620540574</v>
      </c>
      <c r="W1689">
        <v>8.5112180359248946E-2</v>
      </c>
      <c r="X1689">
        <v>1.6575734720534297E-2</v>
      </c>
      <c r="Y1689">
        <v>3.7947099754136291E-3</v>
      </c>
    </row>
    <row r="1690" spans="1:25" x14ac:dyDescent="0.25">
      <c r="A1690" s="827"/>
      <c r="B1690" s="1066">
        <v>1440</v>
      </c>
      <c r="C1690" s="831">
        <v>0.98958432231675508</v>
      </c>
      <c r="D1690" s="831">
        <v>0.99263763399272364</v>
      </c>
      <c r="E1690" s="831">
        <v>0.96830969587633497</v>
      </c>
      <c r="F1690" s="831">
        <v>0.98274911672161691</v>
      </c>
      <c r="G1690" s="831">
        <v>0.99729822310840088</v>
      </c>
      <c r="H1690" s="831">
        <v>1.0043759257855047</v>
      </c>
      <c r="I1690" s="831">
        <v>1.0285552765736561</v>
      </c>
      <c r="K1690">
        <v>1.7462052795298098</v>
      </c>
      <c r="L1690">
        <v>0</v>
      </c>
      <c r="M1690">
        <v>1.5080919831485626E-3</v>
      </c>
      <c r="N1690">
        <v>0.13764098996637589</v>
      </c>
      <c r="O1690">
        <v>1.8084361178672684E-2</v>
      </c>
      <c r="P1690">
        <v>1.9510699469826715E-2</v>
      </c>
      <c r="Q1690">
        <v>2.1215815633295891E-3</v>
      </c>
      <c r="R1690">
        <v>1.4988507415670588E-3</v>
      </c>
      <c r="S1690">
        <v>0.15956745433141256</v>
      </c>
      <c r="T1690">
        <v>1.0741931233197781</v>
      </c>
      <c r="U1690">
        <v>2.3568004638252465E-2</v>
      </c>
      <c r="V1690">
        <v>0.20800421168817015</v>
      </c>
      <c r="W1690">
        <v>8.4098105388984268E-2</v>
      </c>
      <c r="X1690">
        <v>1.534661160405538E-2</v>
      </c>
      <c r="Y1690">
        <v>4.0793776225313671E-3</v>
      </c>
    </row>
    <row r="1691" spans="1:25" x14ac:dyDescent="0.25">
      <c r="A1691" s="827"/>
      <c r="B1691" s="1066">
        <v>1441</v>
      </c>
      <c r="C1691" s="831">
        <v>0.99011350384153873</v>
      </c>
      <c r="D1691" s="831">
        <v>1.0000555038216028</v>
      </c>
      <c r="E1691" s="831">
        <v>1.0290042901692746</v>
      </c>
      <c r="F1691" s="831">
        <v>1.0360528789517038</v>
      </c>
      <c r="G1691" s="831">
        <v>1.0396282307133375</v>
      </c>
      <c r="H1691" s="831">
        <v>0.99267951138338151</v>
      </c>
      <c r="I1691" s="831">
        <v>1.0342681390342752</v>
      </c>
      <c r="K1691">
        <v>1.7487376227427502</v>
      </c>
      <c r="L1691">
        <v>0</v>
      </c>
      <c r="M1691">
        <v>1.306613479565675E-3</v>
      </c>
      <c r="N1691">
        <v>0.14402868175365663</v>
      </c>
      <c r="O1691">
        <v>1.8013817537041208E-2</v>
      </c>
      <c r="P1691">
        <v>2.0322393518332173E-2</v>
      </c>
      <c r="Q1691">
        <v>2.2477359635652634E-3</v>
      </c>
      <c r="R1691">
        <v>1.2985075879643842E-3</v>
      </c>
      <c r="S1691">
        <v>0.15899568488997126</v>
      </c>
      <c r="T1691">
        <v>1.0688041878352794</v>
      </c>
      <c r="U1691">
        <v>2.3555408352491061E-2</v>
      </c>
      <c r="V1691">
        <v>0.20725221109887845</v>
      </c>
      <c r="W1691">
        <v>8.4417495846461105E-2</v>
      </c>
      <c r="X1691">
        <v>1.7574002237147848E-2</v>
      </c>
      <c r="Y1691">
        <v>3.5341096015277227E-3</v>
      </c>
    </row>
    <row r="1692" spans="1:25" x14ac:dyDescent="0.25">
      <c r="A1692" s="827"/>
      <c r="B1692" s="1066">
        <v>1442</v>
      </c>
      <c r="C1692" s="831">
        <v>0.97631408578119561</v>
      </c>
      <c r="D1692" s="831">
        <v>0.97441883486529646</v>
      </c>
      <c r="E1692" s="831">
        <v>1.0204679769866389</v>
      </c>
      <c r="F1692" s="831">
        <v>0.97686010199948003</v>
      </c>
      <c r="G1692" s="831">
        <v>1.0203732596604171</v>
      </c>
      <c r="H1692" s="831">
        <v>1.0127626080421586</v>
      </c>
      <c r="I1692" s="831">
        <v>1.0199655476425458</v>
      </c>
      <c r="K1692">
        <v>1.767161049054907</v>
      </c>
      <c r="L1692">
        <v>0</v>
      </c>
      <c r="M1692">
        <v>1.3927996431491812E-3</v>
      </c>
      <c r="N1692">
        <v>0.14953307474341287</v>
      </c>
      <c r="O1692">
        <v>1.8484926672400509E-2</v>
      </c>
      <c r="P1692">
        <v>2.0311965429042612E-2</v>
      </c>
      <c r="Q1692">
        <v>2.2821826079703596E-3</v>
      </c>
      <c r="R1692">
        <v>1.3843484401257777E-3</v>
      </c>
      <c r="S1692">
        <v>0.16226291073278426</v>
      </c>
      <c r="T1692">
        <v>1.0695536969622432</v>
      </c>
      <c r="U1692">
        <v>2.3888345193382825E-2</v>
      </c>
      <c r="V1692">
        <v>0.21126261762414209</v>
      </c>
      <c r="W1692">
        <v>8.8148337894517301E-2</v>
      </c>
      <c r="X1692">
        <v>1.7673702294352427E-2</v>
      </c>
      <c r="Y1692">
        <v>3.7677401036817263E-3</v>
      </c>
    </row>
    <row r="1693" spans="1:25" x14ac:dyDescent="0.25">
      <c r="A1693" s="827"/>
      <c r="B1693" s="1066">
        <v>1443</v>
      </c>
      <c r="C1693" s="831">
        <v>0.99601186390839258</v>
      </c>
      <c r="D1693" s="831">
        <v>1.0318377612341061</v>
      </c>
      <c r="E1693" s="831">
        <v>1.0156869864235931</v>
      </c>
      <c r="F1693" s="831">
        <v>1.0389876859977241</v>
      </c>
      <c r="G1693" s="831">
        <v>0.98458721894849566</v>
      </c>
      <c r="H1693" s="831">
        <v>1.0250848189291379</v>
      </c>
      <c r="I1693" s="831">
        <v>1.0177593916091372</v>
      </c>
      <c r="K1693">
        <v>1.7425768676523068</v>
      </c>
      <c r="L1693">
        <v>0</v>
      </c>
      <c r="M1693">
        <v>1.3602018024585114E-3</v>
      </c>
      <c r="N1693">
        <v>0.14388663686363001</v>
      </c>
      <c r="O1693">
        <v>1.7655620886964016E-2</v>
      </c>
      <c r="P1693">
        <v>2.0048199658967088E-2</v>
      </c>
      <c r="Q1693">
        <v>2.17963964066034E-3</v>
      </c>
      <c r="R1693">
        <v>1.352009537639416E-3</v>
      </c>
      <c r="S1693">
        <v>0.15587216533454304</v>
      </c>
      <c r="T1693">
        <v>1.0699746858990575</v>
      </c>
      <c r="U1693">
        <v>2.3415913749043702E-2</v>
      </c>
      <c r="V1693">
        <v>0.20375762055572597</v>
      </c>
      <c r="W1693">
        <v>8.5094262732433937E-2</v>
      </c>
      <c r="X1693">
        <v>1.7020590324468923E-2</v>
      </c>
      <c r="Y1693">
        <v>3.6797242716301894E-3</v>
      </c>
    </row>
    <row r="1694" spans="1:25" x14ac:dyDescent="0.25">
      <c r="A1694" s="827"/>
      <c r="B1694" s="1066">
        <v>1444</v>
      </c>
      <c r="C1694" s="831">
        <v>1.0149539440614588</v>
      </c>
      <c r="D1694" s="831">
        <v>1.0235959729753685</v>
      </c>
      <c r="E1694" s="831">
        <v>0.98906813787052239</v>
      </c>
      <c r="F1694" s="831">
        <v>0.99620969253800373</v>
      </c>
      <c r="G1694" s="831">
        <v>1.0102162135930721</v>
      </c>
      <c r="H1694" s="831">
        <v>1.0065455870662805</v>
      </c>
      <c r="I1694" s="831">
        <v>1.0223670196995571</v>
      </c>
      <c r="K1694">
        <v>1.7262926535952032</v>
      </c>
      <c r="L1694">
        <v>0</v>
      </c>
      <c r="M1694">
        <v>1.3912982576048613E-3</v>
      </c>
      <c r="N1694">
        <v>0.1354662732952813</v>
      </c>
      <c r="O1694">
        <v>1.738896469092225E-2</v>
      </c>
      <c r="P1694">
        <v>1.9622615895604104E-2</v>
      </c>
      <c r="Q1694">
        <v>2.0887616295853545E-3</v>
      </c>
      <c r="R1694">
        <v>1.3827698569939123E-3</v>
      </c>
      <c r="S1694">
        <v>0.15284040443690264</v>
      </c>
      <c r="T1694">
        <v>1.0723344007291677</v>
      </c>
      <c r="U1694">
        <v>2.2978902673135401E-2</v>
      </c>
      <c r="V1694">
        <v>0.2025003664346362</v>
      </c>
      <c r="W1694">
        <v>8.1584593836321329E-2</v>
      </c>
      <c r="X1694">
        <v>1.5732454653480908E-2</v>
      </c>
      <c r="Y1694">
        <v>3.7634437207765782E-3</v>
      </c>
    </row>
    <row r="1695" spans="1:25" x14ac:dyDescent="0.25">
      <c r="A1695" s="827"/>
      <c r="B1695" s="1066">
        <v>1445</v>
      </c>
      <c r="C1695" s="831">
        <v>0.98685984177162445</v>
      </c>
      <c r="D1695" s="831">
        <v>0.99953475920633506</v>
      </c>
      <c r="E1695" s="831">
        <v>0.99279842015814102</v>
      </c>
      <c r="F1695" s="831">
        <v>1.0011923577709634</v>
      </c>
      <c r="G1695" s="831">
        <v>1.0121032091261704</v>
      </c>
      <c r="H1695" s="831">
        <v>1.0116589710378561</v>
      </c>
      <c r="I1695" s="831">
        <v>1.0079990032855131</v>
      </c>
      <c r="K1695">
        <v>1.7478767734936174</v>
      </c>
      <c r="L1695">
        <v>0</v>
      </c>
      <c r="M1695">
        <v>1.4423573287845122E-3</v>
      </c>
      <c r="N1695">
        <v>0.14208426638228469</v>
      </c>
      <c r="O1695">
        <v>1.8077473392404911E-2</v>
      </c>
      <c r="P1695">
        <v>1.980716282401792E-2</v>
      </c>
      <c r="Q1695">
        <v>2.1754435443887684E-3</v>
      </c>
      <c r="R1695">
        <v>1.4335775613111906E-3</v>
      </c>
      <c r="S1695">
        <v>0.15689384684640897</v>
      </c>
      <c r="T1695">
        <v>1.0720021066971428</v>
      </c>
      <c r="U1695">
        <v>2.3633070179889207E-2</v>
      </c>
      <c r="V1695">
        <v>0.20765679986745936</v>
      </c>
      <c r="W1695">
        <v>8.535076416979559E-2</v>
      </c>
      <c r="X1695">
        <v>1.63028938141263E-2</v>
      </c>
      <c r="Y1695">
        <v>3.9017255431729823E-3</v>
      </c>
    </row>
    <row r="1696" spans="1:25" x14ac:dyDescent="0.25">
      <c r="A1696" s="827"/>
      <c r="B1696" s="1066">
        <v>1446</v>
      </c>
      <c r="C1696" s="831">
        <v>1.0287186253193583</v>
      </c>
      <c r="D1696" s="831">
        <v>0.96700537231625794</v>
      </c>
      <c r="E1696" s="831">
        <v>0.96478163196812439</v>
      </c>
      <c r="F1696" s="831">
        <v>0.96286799874761131</v>
      </c>
      <c r="G1696" s="831">
        <v>1.0096637620793292</v>
      </c>
      <c r="H1696" s="831">
        <v>0.9866673877668648</v>
      </c>
      <c r="I1696" s="831">
        <v>1.0160275729468926</v>
      </c>
      <c r="K1696">
        <v>1.7246454895375918</v>
      </c>
      <c r="L1696">
        <v>0</v>
      </c>
      <c r="M1696">
        <v>1.4528520577971795E-3</v>
      </c>
      <c r="N1696">
        <v>0.13113554050930593</v>
      </c>
      <c r="O1696">
        <v>1.7604283981129561E-2</v>
      </c>
      <c r="P1696">
        <v>1.932613244634962E-2</v>
      </c>
      <c r="Q1696">
        <v>2.0533563188381621E-3</v>
      </c>
      <c r="R1696">
        <v>1.4438090343957184E-3</v>
      </c>
      <c r="S1696">
        <v>0.15201301248935553</v>
      </c>
      <c r="T1696">
        <v>1.0745106354080338</v>
      </c>
      <c r="U1696">
        <v>2.2671435438493075E-2</v>
      </c>
      <c r="V1696">
        <v>0.20622877362718503</v>
      </c>
      <c r="W1696">
        <v>8.0321560321130622E-2</v>
      </c>
      <c r="X1696">
        <v>1.4860229781065952E-2</v>
      </c>
      <c r="Y1696">
        <v>3.9295722401048727E-3</v>
      </c>
    </row>
    <row r="1697" spans="1:25" x14ac:dyDescent="0.25">
      <c r="A1697" s="827"/>
      <c r="B1697" s="1066">
        <v>1447</v>
      </c>
      <c r="C1697" s="831">
        <v>1.0037181880291934</v>
      </c>
      <c r="D1697" s="831">
        <v>0.99593695182695685</v>
      </c>
      <c r="E1697" s="831">
        <v>1.026890245408316</v>
      </c>
      <c r="F1697" s="831">
        <v>1.0217009397927488</v>
      </c>
      <c r="G1697" s="831">
        <v>0.99939190125946176</v>
      </c>
      <c r="H1697" s="831">
        <v>0.96158244846927454</v>
      </c>
      <c r="I1697" s="831">
        <v>0.96596004829119153</v>
      </c>
      <c r="K1697">
        <v>1.7218461910120124</v>
      </c>
      <c r="L1697">
        <v>0</v>
      </c>
      <c r="M1697">
        <v>1.2564656327062442E-3</v>
      </c>
      <c r="N1697">
        <v>0.13756731411661494</v>
      </c>
      <c r="O1697">
        <v>1.7802908974722916E-2</v>
      </c>
      <c r="P1697">
        <v>2.0073356950528844E-2</v>
      </c>
      <c r="Q1697">
        <v>2.2160250823710357E-3</v>
      </c>
      <c r="R1697">
        <v>1.2484214739107566E-3</v>
      </c>
      <c r="S1697">
        <v>0.144580916301255</v>
      </c>
      <c r="T1697">
        <v>1.0689895487424728</v>
      </c>
      <c r="U1697">
        <v>2.3236131591973169E-2</v>
      </c>
      <c r="V1697">
        <v>0.20615649627180826</v>
      </c>
      <c r="W1697">
        <v>8.0744854840632013E-2</v>
      </c>
      <c r="X1697">
        <v>1.7088890588470348E-2</v>
      </c>
      <c r="Y1697">
        <v>3.3977917099568089E-3</v>
      </c>
    </row>
    <row r="1698" spans="1:25" x14ac:dyDescent="0.25">
      <c r="A1698" s="827"/>
      <c r="B1698" s="1066">
        <v>1448</v>
      </c>
      <c r="C1698" s="831">
        <v>0.99158759717798517</v>
      </c>
      <c r="D1698" s="831">
        <v>1.0071860200715435</v>
      </c>
      <c r="E1698" s="831">
        <v>1.0056941147212519</v>
      </c>
      <c r="F1698" s="831">
        <v>1.0205924416416967</v>
      </c>
      <c r="G1698" s="831">
        <v>0.9797761524314772</v>
      </c>
      <c r="H1698" s="831">
        <v>1.0233222220462039</v>
      </c>
      <c r="I1698" s="831">
        <v>1.003045514042485</v>
      </c>
      <c r="K1698">
        <v>1.7475919171318193</v>
      </c>
      <c r="L1698">
        <v>0</v>
      </c>
      <c r="M1698">
        <v>1.4082660895927115E-3</v>
      </c>
      <c r="N1698">
        <v>0.14441468930237492</v>
      </c>
      <c r="O1698">
        <v>1.792926926812273E-2</v>
      </c>
      <c r="P1698">
        <v>1.9948888291474492E-2</v>
      </c>
      <c r="Q1698">
        <v>2.1871349011687254E-3</v>
      </c>
      <c r="R1698">
        <v>1.399786283419439E-3</v>
      </c>
      <c r="S1698">
        <v>0.15573149669516553</v>
      </c>
      <c r="T1698">
        <v>1.070857399188599</v>
      </c>
      <c r="U1698">
        <v>2.3520390901094451E-2</v>
      </c>
      <c r="V1698">
        <v>0.2064310915752284</v>
      </c>
      <c r="W1698">
        <v>8.5988158413991433E-2</v>
      </c>
      <c r="X1698">
        <v>1.6782121576728207E-2</v>
      </c>
      <c r="Y1698">
        <v>3.8097568240433983E-3</v>
      </c>
    </row>
    <row r="1699" spans="1:25" x14ac:dyDescent="0.25">
      <c r="A1699" s="827"/>
      <c r="B1699" s="1066">
        <v>1449</v>
      </c>
      <c r="C1699" s="831">
        <v>0.97508409354640835</v>
      </c>
      <c r="D1699" s="831">
        <v>0.99583593182292574</v>
      </c>
      <c r="E1699" s="831">
        <v>1.0254808148369479</v>
      </c>
      <c r="F1699" s="831">
        <v>1.0019545002589543</v>
      </c>
      <c r="G1699" s="831">
        <v>0.97154545927435831</v>
      </c>
      <c r="H1699" s="831">
        <v>1.0057196438245342</v>
      </c>
      <c r="I1699" s="831">
        <v>0.98634856340645338</v>
      </c>
      <c r="K1699">
        <v>1.7546305178112234</v>
      </c>
      <c r="L1699">
        <v>0</v>
      </c>
      <c r="M1699">
        <v>1.3568282453511275E-3</v>
      </c>
      <c r="N1699">
        <v>0.1479488810362285</v>
      </c>
      <c r="O1699">
        <v>1.8326547540772203E-2</v>
      </c>
      <c r="P1699">
        <v>2.0255489625013254E-2</v>
      </c>
      <c r="Q1699">
        <v>2.2780029502794657E-3</v>
      </c>
      <c r="R1699">
        <v>1.3485228388246408E-3</v>
      </c>
      <c r="S1699">
        <v>0.15518545038042827</v>
      </c>
      <c r="T1699">
        <v>1.0691132227571465</v>
      </c>
      <c r="U1699">
        <v>2.3918478470383527E-2</v>
      </c>
      <c r="V1699">
        <v>0.20932558719197814</v>
      </c>
      <c r="W1699">
        <v>8.6920567531821105E-2</v>
      </c>
      <c r="X1699">
        <v>1.769636110685097E-2</v>
      </c>
      <c r="Y1699">
        <v>3.6702346268463271E-3</v>
      </c>
    </row>
    <row r="1700" spans="1:25" x14ac:dyDescent="0.25">
      <c r="A1700" s="827"/>
      <c r="B1700" s="1066">
        <v>1450</v>
      </c>
      <c r="C1700" s="831">
        <v>1.0153737663841185</v>
      </c>
      <c r="D1700" s="831">
        <v>1.0099600058403855</v>
      </c>
      <c r="E1700" s="831">
        <v>0.97809275152323205</v>
      </c>
      <c r="F1700" s="831">
        <v>0.99712478893362289</v>
      </c>
      <c r="G1700" s="831">
        <v>0.99435541932892269</v>
      </c>
      <c r="H1700" s="831">
        <v>1.0004009702151957</v>
      </c>
      <c r="I1700" s="831">
        <v>1.0204079600853924</v>
      </c>
      <c r="K1700">
        <v>1.7262297753379625</v>
      </c>
      <c r="L1700">
        <v>0</v>
      </c>
      <c r="M1700">
        <v>1.4230616419614506E-3</v>
      </c>
      <c r="N1700">
        <v>0.13389790886461336</v>
      </c>
      <c r="O1700">
        <v>1.7487479551477312E-2</v>
      </c>
      <c r="P1700">
        <v>1.9489419012120143E-2</v>
      </c>
      <c r="Q1700">
        <v>2.0750762110266284E-3</v>
      </c>
      <c r="R1700">
        <v>1.4142944586308754E-3</v>
      </c>
      <c r="S1700">
        <v>0.15289308465107254</v>
      </c>
      <c r="T1700">
        <v>1.0733151266037668</v>
      </c>
      <c r="U1700">
        <v>2.2969401682848067E-2</v>
      </c>
      <c r="V1700">
        <v>0.2036566534762764</v>
      </c>
      <c r="W1700">
        <v>8.1254971186952074E-2</v>
      </c>
      <c r="X1700">
        <v>1.5350177986790059E-2</v>
      </c>
      <c r="Y1700">
        <v>3.8492432943502556E-3</v>
      </c>
    </row>
    <row r="1701" spans="1:25" x14ac:dyDescent="0.25">
      <c r="A1701" s="827"/>
      <c r="B1701" s="1066">
        <v>1451</v>
      </c>
      <c r="C1701" s="831">
        <v>1.0256306204340513</v>
      </c>
      <c r="D1701" s="831">
        <v>1.0187847483952739</v>
      </c>
      <c r="E1701" s="831">
        <v>1.0011928598912794</v>
      </c>
      <c r="F1701" s="831">
        <v>0.99312536960205644</v>
      </c>
      <c r="G1701" s="831">
        <v>0.97727480447361303</v>
      </c>
      <c r="H1701" s="831">
        <v>1.0014619826173559</v>
      </c>
      <c r="I1701" s="831">
        <v>1.0283742906120685</v>
      </c>
      <c r="K1701">
        <v>1.7228022132977681</v>
      </c>
      <c r="L1701">
        <v>0</v>
      </c>
      <c r="M1701">
        <v>1.3381947778097151E-3</v>
      </c>
      <c r="N1701">
        <v>0.13530248943082801</v>
      </c>
      <c r="O1701">
        <v>1.72446200207537E-2</v>
      </c>
      <c r="P1701">
        <v>1.9764177326884562E-2</v>
      </c>
      <c r="Q1701">
        <v>2.0960913184820298E-3</v>
      </c>
      <c r="R1701">
        <v>1.3299533810762574E-3</v>
      </c>
      <c r="S1701">
        <v>0.15207244524536259</v>
      </c>
      <c r="T1701">
        <v>1.0712562474046969</v>
      </c>
      <c r="U1701">
        <v>2.2739695396801832E-2</v>
      </c>
      <c r="V1701">
        <v>0.20183285007738239</v>
      </c>
      <c r="W1701">
        <v>8.0810437330397097E-2</v>
      </c>
      <c r="X1701">
        <v>1.6071706458634902E-2</v>
      </c>
      <c r="Y1701">
        <v>3.6196946842753279E-3</v>
      </c>
    </row>
    <row r="1702" spans="1:25" x14ac:dyDescent="0.25">
      <c r="A1702" s="827"/>
      <c r="B1702" s="1066">
        <v>1452</v>
      </c>
      <c r="C1702" s="831">
        <v>1.0139725180716677</v>
      </c>
      <c r="D1702" s="831">
        <v>1.0154643532782401</v>
      </c>
      <c r="E1702" s="831">
        <v>1.0240069120613577</v>
      </c>
      <c r="F1702" s="831">
        <v>1.0321497922696021</v>
      </c>
      <c r="G1702" s="831">
        <v>1.0152359656548278</v>
      </c>
      <c r="H1702" s="831">
        <v>0.99604840801287164</v>
      </c>
      <c r="I1702" s="831">
        <v>1.0014459934180524</v>
      </c>
      <c r="K1702">
        <v>1.7268254305948234</v>
      </c>
      <c r="L1702">
        <v>0</v>
      </c>
      <c r="M1702">
        <v>1.2848855236385803E-3</v>
      </c>
      <c r="N1702">
        <v>0.13945470928513548</v>
      </c>
      <c r="O1702">
        <v>1.7468649645545033E-2</v>
      </c>
      <c r="P1702">
        <v>2.0061826958947534E-2</v>
      </c>
      <c r="Q1702">
        <v>2.1716561935332689E-3</v>
      </c>
      <c r="R1702">
        <v>1.2769315254689446E-3</v>
      </c>
      <c r="S1702">
        <v>0.1496146319918531</v>
      </c>
      <c r="T1702">
        <v>1.0692426346105692</v>
      </c>
      <c r="U1702">
        <v>2.3001143998120421E-2</v>
      </c>
      <c r="V1702">
        <v>0.2033115339755889</v>
      </c>
      <c r="W1702">
        <v>8.2011463970331003E-2</v>
      </c>
      <c r="X1702">
        <v>1.7019747291405003E-2</v>
      </c>
      <c r="Y1702">
        <v>3.4753866719622268E-3</v>
      </c>
    </row>
    <row r="1703" spans="1:25" x14ac:dyDescent="0.25">
      <c r="A1703" s="827"/>
      <c r="B1703" s="1066">
        <v>1453</v>
      </c>
      <c r="C1703" s="831">
        <v>0.99737135848785541</v>
      </c>
      <c r="D1703" s="831">
        <v>0.99362510339527854</v>
      </c>
      <c r="E1703" s="831">
        <v>1.0081754356775563</v>
      </c>
      <c r="F1703" s="831">
        <v>1.0198043779836319</v>
      </c>
      <c r="G1703" s="831">
        <v>0.97825582115201093</v>
      </c>
      <c r="H1703" s="831">
        <v>0.98156446586069834</v>
      </c>
      <c r="I1703" s="831">
        <v>1.0244492980617372</v>
      </c>
      <c r="K1703">
        <v>1.7388243681933817</v>
      </c>
      <c r="L1703">
        <v>0</v>
      </c>
      <c r="M1703">
        <v>1.3441789337484498E-3</v>
      </c>
      <c r="N1703">
        <v>0.13887552318976523</v>
      </c>
      <c r="O1703">
        <v>1.7935080416982045E-2</v>
      </c>
      <c r="P1703">
        <v>1.9992183229778644E-2</v>
      </c>
      <c r="Q1703">
        <v>2.1908512113686836E-3</v>
      </c>
      <c r="R1703">
        <v>1.3357500055957291E-3</v>
      </c>
      <c r="S1703">
        <v>0.15593756398339487</v>
      </c>
      <c r="T1703">
        <v>1.0706378610340295</v>
      </c>
      <c r="U1703">
        <v>2.3383996041016434E-2</v>
      </c>
      <c r="V1703">
        <v>0.20705768568093122</v>
      </c>
      <c r="W1703">
        <v>8.2550401431551762E-2</v>
      </c>
      <c r="X1703">
        <v>1.6636179717354146E-2</v>
      </c>
      <c r="Y1703">
        <v>3.6354711853605706E-3</v>
      </c>
    </row>
    <row r="1704" spans="1:25" x14ac:dyDescent="0.25">
      <c r="A1704" s="827"/>
      <c r="B1704" s="1066">
        <v>1454</v>
      </c>
      <c r="C1704" s="831">
        <v>0.96010149230429598</v>
      </c>
      <c r="D1704" s="831">
        <v>1.0008677149496368</v>
      </c>
      <c r="E1704" s="831">
        <v>0.997603497285942</v>
      </c>
      <c r="F1704" s="831">
        <v>1.0030942448114051</v>
      </c>
      <c r="G1704" s="831">
        <v>1.0159943978829433</v>
      </c>
      <c r="H1704" s="831">
        <v>0.98718858340716797</v>
      </c>
      <c r="I1704" s="831">
        <v>0.98353815210507922</v>
      </c>
      <c r="K1704">
        <v>1.7518717999083888</v>
      </c>
      <c r="L1704">
        <v>0</v>
      </c>
      <c r="M1704">
        <v>1.4312776628364072E-3</v>
      </c>
      <c r="N1704">
        <v>0.14309531619421073</v>
      </c>
      <c r="O1704">
        <v>1.8570085469581336E-2</v>
      </c>
      <c r="P1704">
        <v>1.990202161963885E-2</v>
      </c>
      <c r="Q1704">
        <v>2.2458184104940842E-3</v>
      </c>
      <c r="R1704">
        <v>1.4223484083324108E-3</v>
      </c>
      <c r="S1704">
        <v>0.15546721616408521</v>
      </c>
      <c r="T1704">
        <v>1.071574842672333</v>
      </c>
      <c r="U1704">
        <v>2.4291731744242848E-2</v>
      </c>
      <c r="V1704">
        <v>0.21056888197216544</v>
      </c>
      <c r="W1704">
        <v>8.567500917775249E-2</v>
      </c>
      <c r="X1704">
        <v>1.6618642247932858E-2</v>
      </c>
      <c r="Y1704">
        <v>3.8711634904540293E-3</v>
      </c>
    </row>
    <row r="1705" spans="1:25" x14ac:dyDescent="0.25">
      <c r="A1705" s="827"/>
      <c r="B1705" s="1066">
        <v>1455</v>
      </c>
      <c r="C1705" s="831">
        <v>0.96344242213294184</v>
      </c>
      <c r="D1705" s="831">
        <v>0.99916149728017101</v>
      </c>
      <c r="E1705" s="831">
        <v>0.99286635310118787</v>
      </c>
      <c r="F1705" s="831">
        <v>0.99370491518296489</v>
      </c>
      <c r="G1705" s="831">
        <v>1.0221797919127424</v>
      </c>
      <c r="H1705" s="831">
        <v>0.99958960260104412</v>
      </c>
      <c r="I1705" s="831">
        <v>0.96443860388679847</v>
      </c>
      <c r="K1705">
        <v>1.7506322628382625</v>
      </c>
      <c r="L1705">
        <v>0</v>
      </c>
      <c r="M1705">
        <v>1.4598273903594532E-3</v>
      </c>
      <c r="N1705">
        <v>0.1438250166110428</v>
      </c>
      <c r="O1705">
        <v>1.8519997515638102E-2</v>
      </c>
      <c r="P1705">
        <v>1.9798363313018607E-2</v>
      </c>
      <c r="Q1705">
        <v>2.2287814403190468E-3</v>
      </c>
      <c r="R1705">
        <v>1.450834260930556E-3</v>
      </c>
      <c r="S1705">
        <v>0.15291859697067237</v>
      </c>
      <c r="T1705">
        <v>1.0719960600823872</v>
      </c>
      <c r="U1705">
        <v>2.4207495292422356E-2</v>
      </c>
      <c r="V1705">
        <v>0.21034101572223857</v>
      </c>
      <c r="W1705">
        <v>8.6392405966070812E-2</v>
      </c>
      <c r="X1705">
        <v>1.6464830463012819E-2</v>
      </c>
      <c r="Y1705">
        <v>3.9486925908673951E-3</v>
      </c>
    </row>
    <row r="1706" spans="1:25" x14ac:dyDescent="0.25">
      <c r="A1706" s="827"/>
      <c r="B1706" s="1066">
        <v>1456</v>
      </c>
      <c r="C1706" s="831">
        <v>1.0046182460672564</v>
      </c>
      <c r="D1706" s="831">
        <v>1.0033813843612833</v>
      </c>
      <c r="E1706" s="831">
        <v>0.97027848627785374</v>
      </c>
      <c r="F1706" s="831">
        <v>1.0099783108618512</v>
      </c>
      <c r="G1706" s="831">
        <v>0.97230029737619583</v>
      </c>
      <c r="H1706" s="831">
        <v>1.0346481795299405</v>
      </c>
      <c r="I1706" s="831">
        <v>1.0356344331294853</v>
      </c>
      <c r="K1706">
        <v>1.7454735121697187</v>
      </c>
      <c r="L1706">
        <v>0</v>
      </c>
      <c r="M1706">
        <v>1.5165899567699437E-3</v>
      </c>
      <c r="N1706">
        <v>0.13929334226880383</v>
      </c>
      <c r="O1706">
        <v>1.7727058086360287E-2</v>
      </c>
      <c r="P1706">
        <v>1.9501070477231937E-2</v>
      </c>
      <c r="Q1706">
        <v>2.0856966274693644E-3</v>
      </c>
      <c r="R1706">
        <v>1.5075606261145701E-3</v>
      </c>
      <c r="S1706">
        <v>0.15979215041076344</v>
      </c>
      <c r="T1706">
        <v>1.07401614247462</v>
      </c>
      <c r="U1706">
        <v>2.3215313866339814E-2</v>
      </c>
      <c r="V1706">
        <v>0.20537695123178698</v>
      </c>
      <c r="W1706">
        <v>8.4990620519017762E-2</v>
      </c>
      <c r="X1706">
        <v>1.5381112480923571E-2</v>
      </c>
      <c r="Y1706">
        <v>4.1030830570570245E-3</v>
      </c>
    </row>
    <row r="1707" spans="1:25" x14ac:dyDescent="0.25">
      <c r="A1707" s="827"/>
      <c r="B1707" s="1066">
        <v>1457</v>
      </c>
      <c r="C1707" s="831">
        <v>1.0254601242798964</v>
      </c>
      <c r="D1707" s="831">
        <v>1.0119887383285391</v>
      </c>
      <c r="E1707" s="831">
        <v>1.0470592471678752</v>
      </c>
      <c r="F1707" s="831">
        <v>1.0283480983820565</v>
      </c>
      <c r="G1707" s="831">
        <v>1.0127243192891944</v>
      </c>
      <c r="H1707" s="831">
        <v>0.96204963728985515</v>
      </c>
      <c r="I1707" s="831">
        <v>0.99117151571183948</v>
      </c>
      <c r="K1707">
        <v>1.7126029529089686</v>
      </c>
      <c r="L1707">
        <v>0</v>
      </c>
      <c r="M1707">
        <v>1.1704821735920878E-3</v>
      </c>
      <c r="N1707">
        <v>0.13642810690588586</v>
      </c>
      <c r="O1707">
        <v>1.7299761956136833E-2</v>
      </c>
      <c r="P1707">
        <v>2.0279431999349774E-2</v>
      </c>
      <c r="Q1707">
        <v>2.1994754161008528E-3</v>
      </c>
      <c r="R1707">
        <v>1.1629823958788103E-3</v>
      </c>
      <c r="S1707">
        <v>0.14428261149834007</v>
      </c>
      <c r="T1707">
        <v>1.0672280286089151</v>
      </c>
      <c r="U1707">
        <v>2.2743476168496386E-2</v>
      </c>
      <c r="V1707">
        <v>0.2024429254297582</v>
      </c>
      <c r="W1707">
        <v>7.900633230171332E-2</v>
      </c>
      <c r="X1707">
        <v>1.7535047697446789E-2</v>
      </c>
      <c r="Y1707">
        <v>3.1652547045383549E-3</v>
      </c>
    </row>
    <row r="1708" spans="1:25" x14ac:dyDescent="0.25">
      <c r="A1708" s="827"/>
      <c r="B1708" s="1066">
        <v>1458</v>
      </c>
      <c r="C1708" s="831">
        <v>1.0132055704964626</v>
      </c>
      <c r="D1708" s="831">
        <v>0.96610876781161803</v>
      </c>
      <c r="E1708" s="831">
        <v>1.0076983009901719</v>
      </c>
      <c r="F1708" s="831">
        <v>0.97382012667194762</v>
      </c>
      <c r="G1708" s="831">
        <v>0.99283303082047314</v>
      </c>
      <c r="H1708" s="831">
        <v>0.95631445716638264</v>
      </c>
      <c r="I1708" s="831">
        <v>0.97933539069594822</v>
      </c>
      <c r="K1708">
        <v>1.7231664605234842</v>
      </c>
      <c r="L1708">
        <v>0</v>
      </c>
      <c r="M1708">
        <v>1.3069740760494773E-3</v>
      </c>
      <c r="N1708">
        <v>0.13481103250176094</v>
      </c>
      <c r="O1708">
        <v>1.7881362981328686E-2</v>
      </c>
      <c r="P1708">
        <v>1.9866116427566211E-2</v>
      </c>
      <c r="Q1708">
        <v>2.1781716698021669E-3</v>
      </c>
      <c r="R1708">
        <v>1.2985814887154618E-3</v>
      </c>
      <c r="S1708">
        <v>0.1466849284672625</v>
      </c>
      <c r="T1708">
        <v>1.0706800580847631</v>
      </c>
      <c r="U1708">
        <v>2.3018554750814598E-2</v>
      </c>
      <c r="V1708">
        <v>0.20796404554522985</v>
      </c>
      <c r="W1708">
        <v>8.0160408175776049E-2</v>
      </c>
      <c r="X1708">
        <v>1.6395863771503569E-2</v>
      </c>
      <c r="Y1708">
        <v>3.5343107350107807E-3</v>
      </c>
    </row>
    <row r="1709" spans="1:25" x14ac:dyDescent="0.25">
      <c r="A1709" s="827"/>
      <c r="B1709" s="1066">
        <v>1459</v>
      </c>
      <c r="C1709" s="831">
        <v>0.99044992901148921</v>
      </c>
      <c r="D1709" s="831">
        <v>1.0229767436524577</v>
      </c>
      <c r="E1709" s="831">
        <v>1.0149659437747627</v>
      </c>
      <c r="F1709" s="831">
        <v>0.99536888834942638</v>
      </c>
      <c r="G1709" s="831">
        <v>0.956569533530917</v>
      </c>
      <c r="H1709" s="831">
        <v>0.99551478921836423</v>
      </c>
      <c r="I1709" s="831">
        <v>1.0059007323123654</v>
      </c>
      <c r="K1709">
        <v>1.736942876900768</v>
      </c>
      <c r="L1709">
        <v>0</v>
      </c>
      <c r="M1709">
        <v>1.3355915576530335E-3</v>
      </c>
      <c r="N1709">
        <v>0.1409423023472165</v>
      </c>
      <c r="O1709">
        <v>1.7824044482982221E-2</v>
      </c>
      <c r="P1709">
        <v>2.0024253916721517E-2</v>
      </c>
      <c r="Q1709">
        <v>2.1973194070232355E-3</v>
      </c>
      <c r="R1709">
        <v>1.3273143166582669E-3</v>
      </c>
      <c r="S1709">
        <v>0.15334178313396149</v>
      </c>
      <c r="T1709">
        <v>1.0700382522365224</v>
      </c>
      <c r="U1709">
        <v>2.3547407309706253E-2</v>
      </c>
      <c r="V1709">
        <v>0.20512871677532085</v>
      </c>
      <c r="W1709">
        <v>8.3393686041482201E-2</v>
      </c>
      <c r="X1709">
        <v>1.6900876469928307E-2</v>
      </c>
      <c r="Y1709">
        <v>3.6125120208969088E-3</v>
      </c>
    </row>
    <row r="1710" spans="1:25" x14ac:dyDescent="0.25">
      <c r="A1710" s="827"/>
      <c r="B1710" s="1066">
        <v>1460</v>
      </c>
      <c r="C1710" s="831">
        <v>0.99327545919024807</v>
      </c>
      <c r="D1710" s="831">
        <v>1.0232949315894941</v>
      </c>
      <c r="E1710" s="831">
        <v>0.99052017736490772</v>
      </c>
      <c r="F1710" s="831">
        <v>1.0330248692692885</v>
      </c>
      <c r="G1710" s="831">
        <v>0.99314894079707272</v>
      </c>
      <c r="H1710" s="831">
        <v>0.97329870772939875</v>
      </c>
      <c r="I1710" s="831">
        <v>0.99679982601140582</v>
      </c>
      <c r="K1710">
        <v>1.7241373985555459</v>
      </c>
      <c r="L1710">
        <v>0</v>
      </c>
      <c r="M1710">
        <v>1.3706964749292322E-3</v>
      </c>
      <c r="N1710">
        <v>0.13403684219873024</v>
      </c>
      <c r="O1710">
        <v>1.7770844333724563E-2</v>
      </c>
      <c r="P1710">
        <v>1.9640719247330591E-2</v>
      </c>
      <c r="Q1710">
        <v>2.1377176800626446E-3</v>
      </c>
      <c r="R1710">
        <v>1.3620075574994153E-3</v>
      </c>
      <c r="S1710">
        <v>0.14991874327321031</v>
      </c>
      <c r="T1710">
        <v>1.0722049905547431</v>
      </c>
      <c r="U1710">
        <v>2.3480422960732866E-2</v>
      </c>
      <c r="V1710">
        <v>0.20480119369723898</v>
      </c>
      <c r="W1710">
        <v>8.064298199210776E-2</v>
      </c>
      <c r="X1710">
        <v>1.5804695949251903E-2</v>
      </c>
      <c r="Y1710">
        <v>3.706935585842746E-3</v>
      </c>
    </row>
    <row r="1711" spans="1:25" x14ac:dyDescent="0.25">
      <c r="A1711" s="827"/>
      <c r="B1711" s="1066">
        <v>1461</v>
      </c>
      <c r="C1711" s="831">
        <v>1.0071156463487159</v>
      </c>
      <c r="D1711" s="831">
        <v>1.0042052587243937</v>
      </c>
      <c r="E1711" s="831">
        <v>0.99259435533877483</v>
      </c>
      <c r="F1711" s="831">
        <v>0.98398740491795644</v>
      </c>
      <c r="G1711" s="831">
        <v>1.040473924323144</v>
      </c>
      <c r="H1711" s="831">
        <v>0.96305019551119331</v>
      </c>
      <c r="I1711" s="831">
        <v>1.0306450527743325</v>
      </c>
      <c r="K1711">
        <v>1.7240817062587885</v>
      </c>
      <c r="L1711">
        <v>0</v>
      </c>
      <c r="M1711">
        <v>1.3431804597079683E-3</v>
      </c>
      <c r="N1711">
        <v>0.13218929583958855</v>
      </c>
      <c r="O1711">
        <v>1.767652932416194E-2</v>
      </c>
      <c r="P1711">
        <v>1.9713930963158426E-2</v>
      </c>
      <c r="Q1711">
        <v>2.1275679329930686E-3</v>
      </c>
      <c r="R1711">
        <v>1.3345884550898708E-3</v>
      </c>
      <c r="S1711">
        <v>0.15332399140406358</v>
      </c>
      <c r="T1711">
        <v>1.0720202712627058</v>
      </c>
      <c r="U1711">
        <v>2.3157745570589344E-2</v>
      </c>
      <c r="V1711">
        <v>0.20503838476754752</v>
      </c>
      <c r="W1711">
        <v>7.9417948517886E-2</v>
      </c>
      <c r="X1711">
        <v>1.5792322852921713E-2</v>
      </c>
      <c r="Y1711">
        <v>3.6323098277886465E-3</v>
      </c>
    </row>
    <row r="1712" spans="1:25" x14ac:dyDescent="0.25">
      <c r="A1712" s="827"/>
      <c r="B1712" s="1066">
        <v>1462</v>
      </c>
      <c r="C1712" s="831">
        <v>1.0053163394761548</v>
      </c>
      <c r="D1712" s="831">
        <v>0.95384604351932079</v>
      </c>
      <c r="E1712" s="831">
        <v>1.0177805213294682</v>
      </c>
      <c r="F1712" s="831">
        <v>1.0038472070103874</v>
      </c>
      <c r="G1712" s="831">
        <v>0.96821365430142226</v>
      </c>
      <c r="H1712" s="831">
        <v>0.99728204178535484</v>
      </c>
      <c r="I1712" s="831">
        <v>1.0013286125411229</v>
      </c>
      <c r="K1712">
        <v>1.748386516947517</v>
      </c>
      <c r="L1712">
        <v>0</v>
      </c>
      <c r="M1712">
        <v>1.3525776124351044E-3</v>
      </c>
      <c r="N1712">
        <v>0.14399533910167242</v>
      </c>
      <c r="O1712">
        <v>1.8126776481607699E-2</v>
      </c>
      <c r="P1712">
        <v>2.014771889858032E-2</v>
      </c>
      <c r="Q1712">
        <v>2.2280134608018039E-3</v>
      </c>
      <c r="R1712">
        <v>1.3442578305313381E-3</v>
      </c>
      <c r="S1712">
        <v>0.15495490863031805</v>
      </c>
      <c r="T1712">
        <v>1.0697902336705931</v>
      </c>
      <c r="U1712">
        <v>2.3199193112146094E-2</v>
      </c>
      <c r="V1712">
        <v>0.21003930571256743</v>
      </c>
      <c r="W1712">
        <v>8.5038059982546307E-2</v>
      </c>
      <c r="X1712">
        <v>1.7216660998357232E-2</v>
      </c>
      <c r="Y1712">
        <v>3.6586266802315619E-3</v>
      </c>
    </row>
    <row r="1713" spans="1:25" x14ac:dyDescent="0.25">
      <c r="A1713" s="827"/>
      <c r="B1713" s="1066">
        <v>1463</v>
      </c>
      <c r="C1713" s="831">
        <v>1.0073626729202345</v>
      </c>
      <c r="D1713" s="831">
        <v>0.97434533886639696</v>
      </c>
      <c r="E1713" s="831">
        <v>0.97739787609767681</v>
      </c>
      <c r="F1713" s="831">
        <v>0.99841245280317736</v>
      </c>
      <c r="G1713" s="831">
        <v>1.0064916563025164</v>
      </c>
      <c r="H1713" s="831">
        <v>0.9626699844559109</v>
      </c>
      <c r="I1713" s="831">
        <v>1.0459601561197149</v>
      </c>
      <c r="K1713">
        <v>1.732582032243108</v>
      </c>
      <c r="L1713">
        <v>0</v>
      </c>
      <c r="M1713">
        <v>1.4049521914526726E-3</v>
      </c>
      <c r="N1713">
        <v>0.13187846447457871</v>
      </c>
      <c r="O1713">
        <v>1.7915804585415591E-2</v>
      </c>
      <c r="P1713">
        <v>1.9599756920955266E-2</v>
      </c>
      <c r="Q1713">
        <v>2.1181294381907058E-3</v>
      </c>
      <c r="R1713">
        <v>1.3959837091417865E-3</v>
      </c>
      <c r="S1713">
        <v>0.15749670010476308</v>
      </c>
      <c r="T1713">
        <v>1.0733773708837984</v>
      </c>
      <c r="U1713">
        <v>2.3152066803005227E-2</v>
      </c>
      <c r="V1713">
        <v>0.207799882453055</v>
      </c>
      <c r="W1713">
        <v>8.0068144149065573E-2</v>
      </c>
      <c r="X1713">
        <v>1.5385273442211942E-2</v>
      </c>
      <c r="Y1713">
        <v>3.799407470377901E-3</v>
      </c>
    </row>
    <row r="1714" spans="1:25" x14ac:dyDescent="0.25">
      <c r="A1714" s="827"/>
      <c r="B1714" s="1066">
        <v>1464</v>
      </c>
      <c r="C1714" s="831">
        <v>1.0085648205844031</v>
      </c>
      <c r="D1714" s="831">
        <v>0.99020045979031623</v>
      </c>
      <c r="E1714" s="831">
        <v>0.98315227928284921</v>
      </c>
      <c r="F1714" s="831">
        <v>1.0256204379350868</v>
      </c>
      <c r="G1714" s="831">
        <v>1.0404149120142812</v>
      </c>
      <c r="H1714" s="831">
        <v>0.97230686801527577</v>
      </c>
      <c r="I1714" s="831">
        <v>1.0022626225930231</v>
      </c>
      <c r="K1714">
        <v>1.724485544259609</v>
      </c>
      <c r="L1714">
        <v>0</v>
      </c>
      <c r="M1714">
        <v>1.3900943934273058E-3</v>
      </c>
      <c r="N1714">
        <v>0.13285165917979586</v>
      </c>
      <c r="O1714">
        <v>1.7763815175279529E-2</v>
      </c>
      <c r="P1714">
        <v>1.9560966752504218E-2</v>
      </c>
      <c r="Q1714">
        <v>2.1153014241999113E-3</v>
      </c>
      <c r="R1714">
        <v>1.3812970337233556E-3</v>
      </c>
      <c r="S1714">
        <v>0.15042028845486555</v>
      </c>
      <c r="T1714">
        <v>1.0728624603889534</v>
      </c>
      <c r="U1714">
        <v>2.3124470953477378E-2</v>
      </c>
      <c r="V1714">
        <v>0.20616785246127969</v>
      </c>
      <c r="W1714">
        <v>8.0337644016361051E-2</v>
      </c>
      <c r="X1714">
        <v>1.5530447631246591E-2</v>
      </c>
      <c r="Y1714">
        <v>3.7594351813501846E-3</v>
      </c>
    </row>
    <row r="1715" spans="1:25" x14ac:dyDescent="0.25">
      <c r="A1715" s="827"/>
      <c r="B1715" s="1066">
        <v>1465</v>
      </c>
      <c r="C1715" s="831">
        <v>0.97695116079681832</v>
      </c>
      <c r="D1715" s="831">
        <v>1.0070608682882096</v>
      </c>
      <c r="E1715" s="831">
        <v>1.0328799834214057</v>
      </c>
      <c r="F1715" s="831">
        <v>1.0126309864404102</v>
      </c>
      <c r="G1715" s="831">
        <v>1.0102248921763359</v>
      </c>
      <c r="H1715" s="831">
        <v>0.99840964022960321</v>
      </c>
      <c r="I1715" s="831">
        <v>0.98755584952986764</v>
      </c>
      <c r="K1715">
        <v>1.7492352809464733</v>
      </c>
      <c r="L1715">
        <v>0</v>
      </c>
      <c r="M1715">
        <v>1.3168203757100234E-3</v>
      </c>
      <c r="N1715">
        <v>0.14691530510618175</v>
      </c>
      <c r="O1715">
        <v>1.819890456982513E-2</v>
      </c>
      <c r="P1715">
        <v>2.0318397643137687E-2</v>
      </c>
      <c r="Q1715">
        <v>2.2808468586321884E-3</v>
      </c>
      <c r="R1715">
        <v>1.3086934366907529E-3</v>
      </c>
      <c r="S1715">
        <v>0.15382965965074599</v>
      </c>
      <c r="T1715">
        <v>1.0684648047186562</v>
      </c>
      <c r="U1715">
        <v>2.3872767477220551E-2</v>
      </c>
      <c r="V1715">
        <v>0.20805813194466732</v>
      </c>
      <c r="W1715">
        <v>8.5886187011978046E-2</v>
      </c>
      <c r="X1715">
        <v>1.7856570780451411E-2</v>
      </c>
      <c r="Y1715">
        <v>3.5618321239967686E-3</v>
      </c>
    </row>
    <row r="1716" spans="1:25" x14ac:dyDescent="0.25">
      <c r="A1716" s="827"/>
      <c r="B1716" s="1066">
        <v>1466</v>
      </c>
      <c r="C1716" s="831">
        <v>1.0323717239731331</v>
      </c>
      <c r="D1716" s="831">
        <v>0.99732818426144187</v>
      </c>
      <c r="E1716" s="831">
        <v>0.96814616170993872</v>
      </c>
      <c r="F1716" s="831">
        <v>1.0204950792922407</v>
      </c>
      <c r="G1716" s="831">
        <v>1.0209411046768362</v>
      </c>
      <c r="H1716" s="831">
        <v>0.98427175901467856</v>
      </c>
      <c r="I1716" s="831">
        <v>1.0221265339348644</v>
      </c>
      <c r="K1716">
        <v>1.7151666901024163</v>
      </c>
      <c r="L1716">
        <v>0</v>
      </c>
      <c r="M1716">
        <v>1.4141164967742031E-3</v>
      </c>
      <c r="N1716">
        <v>0.12898164692928668</v>
      </c>
      <c r="O1716">
        <v>1.7297842835045724E-2</v>
      </c>
      <c r="P1716">
        <v>1.9305487042724209E-2</v>
      </c>
      <c r="Q1716">
        <v>2.0297573452902873E-3</v>
      </c>
      <c r="R1716">
        <v>1.4052707156106373E-3</v>
      </c>
      <c r="S1716">
        <v>0.1502700166746109</v>
      </c>
      <c r="T1716">
        <v>1.0742078304595577</v>
      </c>
      <c r="U1716">
        <v>2.2591211437431938E-2</v>
      </c>
      <c r="V1716">
        <v>0.20304507155081705</v>
      </c>
      <c r="W1716">
        <v>7.8816298226207573E-2</v>
      </c>
      <c r="X1716">
        <v>1.4805689742081371E-2</v>
      </c>
      <c r="Y1716">
        <v>3.8246836405252537E-3</v>
      </c>
    </row>
    <row r="1717" spans="1:25" x14ac:dyDescent="0.25">
      <c r="A1717" s="827"/>
      <c r="B1717" s="1066">
        <v>1467</v>
      </c>
      <c r="C1717" s="831">
        <v>1.0125481084989196</v>
      </c>
      <c r="D1717" s="831">
        <v>1.034081212148757</v>
      </c>
      <c r="E1717" s="831">
        <v>0.97740447290394528</v>
      </c>
      <c r="F1717" s="831">
        <v>0.99872675699362867</v>
      </c>
      <c r="G1717" s="831">
        <v>0.99846936692392163</v>
      </c>
      <c r="H1717" s="831">
        <v>1.0023255044621231</v>
      </c>
      <c r="I1717" s="831">
        <v>0.99142278727631294</v>
      </c>
      <c r="K1717">
        <v>1.7175304170728778</v>
      </c>
      <c r="L1717">
        <v>0</v>
      </c>
      <c r="M1717">
        <v>1.4166736049402917E-3</v>
      </c>
      <c r="N1717">
        <v>0.13301127186664183</v>
      </c>
      <c r="O1717">
        <v>1.7350268957185874E-2</v>
      </c>
      <c r="P1717">
        <v>1.9386254577714559E-2</v>
      </c>
      <c r="Q1717">
        <v>2.0612916987364773E-3</v>
      </c>
      <c r="R1717">
        <v>1.4079459616890969E-3</v>
      </c>
      <c r="S1717">
        <v>0.14764898590246145</v>
      </c>
      <c r="T1717">
        <v>1.0733767798818992</v>
      </c>
      <c r="U1717">
        <v>2.3033501028290198E-2</v>
      </c>
      <c r="V1717">
        <v>0.20184747792534524</v>
      </c>
      <c r="W1717">
        <v>8.0755541800992675E-2</v>
      </c>
      <c r="X1717">
        <v>1.5235806298406269E-2</v>
      </c>
      <c r="Y1717">
        <v>3.8319647784561877E-3</v>
      </c>
    </row>
    <row r="1718" spans="1:25" x14ac:dyDescent="0.25">
      <c r="A1718" s="827"/>
      <c r="B1718" s="1066">
        <v>1468</v>
      </c>
      <c r="C1718" s="831">
        <v>1.0048683729409156</v>
      </c>
      <c r="D1718" s="831">
        <v>1.0256772100589264</v>
      </c>
      <c r="E1718" s="831">
        <v>1.0421193998974287</v>
      </c>
      <c r="F1718" s="831">
        <v>0.97782689396293543</v>
      </c>
      <c r="G1718" s="831">
        <v>0.9987713855254633</v>
      </c>
      <c r="H1718" s="831">
        <v>0.96765208395411317</v>
      </c>
      <c r="I1718" s="831">
        <v>1.0293454225073131</v>
      </c>
      <c r="K1718">
        <v>1.7266597230585625</v>
      </c>
      <c r="L1718">
        <v>0</v>
      </c>
      <c r="M1718">
        <v>1.206729786984659E-3</v>
      </c>
      <c r="N1718">
        <v>0.1385191547155751</v>
      </c>
      <c r="O1718">
        <v>1.754738669779457E-2</v>
      </c>
      <c r="P1718">
        <v>2.0348487973064766E-2</v>
      </c>
      <c r="Q1718">
        <v>2.2225974565074375E-3</v>
      </c>
      <c r="R1718">
        <v>1.1990341860760047E-3</v>
      </c>
      <c r="S1718">
        <v>0.1524699869274819</v>
      </c>
      <c r="T1718">
        <v>1.0676580362171666</v>
      </c>
      <c r="U1718">
        <v>2.320953522504238E-2</v>
      </c>
      <c r="V1718">
        <v>0.20336383573045025</v>
      </c>
      <c r="W1718">
        <v>8.048057940615358E-2</v>
      </c>
      <c r="X1718">
        <v>1.7584442517246654E-2</v>
      </c>
      <c r="Y1718">
        <v>3.2633757929856747E-3</v>
      </c>
    </row>
    <row r="1719" spans="1:25" x14ac:dyDescent="0.25">
      <c r="A1719" s="827"/>
      <c r="B1719" s="1066">
        <v>1469</v>
      </c>
      <c r="C1719" s="831">
        <v>1.0133169003229618</v>
      </c>
      <c r="D1719" s="831">
        <v>0.97991723959801547</v>
      </c>
      <c r="E1719" s="831">
        <v>1.0220066829703476</v>
      </c>
      <c r="F1719" s="831">
        <v>0.98122269113237837</v>
      </c>
      <c r="G1719" s="831">
        <v>0.97752302278939673</v>
      </c>
      <c r="H1719" s="831">
        <v>1.0320148982406443</v>
      </c>
      <c r="I1719" s="831">
        <v>1.0062436872791352</v>
      </c>
      <c r="K1719">
        <v>1.7485454324544789</v>
      </c>
      <c r="L1719">
        <v>0</v>
      </c>
      <c r="M1719">
        <v>1.3595358605021383E-3</v>
      </c>
      <c r="N1719">
        <v>0.14667742362371883</v>
      </c>
      <c r="O1719">
        <v>1.7764461667293282E-2</v>
      </c>
      <c r="P1719">
        <v>2.0159414122106076E-2</v>
      </c>
      <c r="Q1719">
        <v>2.1976138626833108E-3</v>
      </c>
      <c r="R1719">
        <v>1.3514366294194624E-3</v>
      </c>
      <c r="S1719">
        <v>0.1552584122468896</v>
      </c>
      <c r="T1719">
        <v>1.0694183907559516</v>
      </c>
      <c r="U1719">
        <v>2.3016025777197493E-2</v>
      </c>
      <c r="V1719">
        <v>0.20662610548928573</v>
      </c>
      <c r="W1719">
        <v>8.637530678160156E-2</v>
      </c>
      <c r="X1719">
        <v>1.7382212354519484E-2</v>
      </c>
      <c r="Y1719">
        <v>3.6781650043146191E-3</v>
      </c>
    </row>
    <row r="1720" spans="1:25" x14ac:dyDescent="0.25">
      <c r="A1720" s="827"/>
      <c r="B1720" s="1066">
        <v>1470</v>
      </c>
      <c r="C1720" s="831">
        <v>1.0020766463474586</v>
      </c>
      <c r="D1720" s="831">
        <v>1.0335797432009028</v>
      </c>
      <c r="E1720" s="831">
        <v>0.98356539476918337</v>
      </c>
      <c r="F1720" s="831">
        <v>1.0241012437015042</v>
      </c>
      <c r="G1720" s="831">
        <v>0.9890772999667915</v>
      </c>
      <c r="H1720" s="831">
        <v>0.96172617273786332</v>
      </c>
      <c r="I1720" s="831">
        <v>0.98598836255919953</v>
      </c>
      <c r="K1720">
        <v>1.7109538139647327</v>
      </c>
      <c r="L1720">
        <v>0</v>
      </c>
      <c r="M1720">
        <v>1.3561402802873873E-3</v>
      </c>
      <c r="N1720">
        <v>0.12976154691267294</v>
      </c>
      <c r="O1720">
        <v>1.7535412497195289E-2</v>
      </c>
      <c r="P1720">
        <v>1.9460260819390552E-2</v>
      </c>
      <c r="Q1720">
        <v>2.0962885497895598E-3</v>
      </c>
      <c r="R1720">
        <v>1.3474332052961513E-3</v>
      </c>
      <c r="S1720">
        <v>0.1455786163389145</v>
      </c>
      <c r="T1720">
        <v>1.07282554223187</v>
      </c>
      <c r="U1720">
        <v>2.3274195624968557E-2</v>
      </c>
      <c r="V1720">
        <v>0.20297202666110875</v>
      </c>
      <c r="W1720">
        <v>7.8446563387317272E-2</v>
      </c>
      <c r="X1720">
        <v>1.5344799012916093E-2</v>
      </c>
      <c r="Y1720">
        <v>3.6672690035793746E-3</v>
      </c>
    </row>
    <row r="1721" spans="1:25" x14ac:dyDescent="0.25">
      <c r="A1721" s="827"/>
      <c r="B1721" s="1066">
        <v>1471</v>
      </c>
      <c r="C1721" s="831">
        <v>0.96050398813720661</v>
      </c>
      <c r="D1721" s="831">
        <v>0.98247153555181155</v>
      </c>
      <c r="E1721" s="831">
        <v>1.0079356865345312</v>
      </c>
      <c r="F1721" s="831">
        <v>0.96221014178801711</v>
      </c>
      <c r="G1721" s="831">
        <v>0.98126363796782523</v>
      </c>
      <c r="H1721" s="831">
        <v>1.0284404454526879</v>
      </c>
      <c r="I1721" s="831">
        <v>1.0104441192324445</v>
      </c>
      <c r="K1721">
        <v>1.7760142359291549</v>
      </c>
      <c r="L1721">
        <v>0</v>
      </c>
      <c r="M1721">
        <v>1.4706727167492679E-3</v>
      </c>
      <c r="N1721">
        <v>0.15187567830172352</v>
      </c>
      <c r="O1721">
        <v>1.8719097329523791E-2</v>
      </c>
      <c r="P1721">
        <v>2.0184422798209846E-2</v>
      </c>
      <c r="Q1721">
        <v>2.2839458753279311E-3</v>
      </c>
      <c r="R1721">
        <v>1.4618790699733549E-3</v>
      </c>
      <c r="S1721">
        <v>0.16402856040183547</v>
      </c>
      <c r="T1721">
        <v>1.070659063000174</v>
      </c>
      <c r="U1721">
        <v>2.4281552379115799E-2</v>
      </c>
      <c r="V1721">
        <v>0.21230950963239362</v>
      </c>
      <c r="W1721">
        <v>9.029268282353145E-2</v>
      </c>
      <c r="X1721">
        <v>1.7409764113932205E-2</v>
      </c>
      <c r="Y1721">
        <v>3.9787529201615714E-3</v>
      </c>
    </row>
    <row r="1722" spans="1:25" x14ac:dyDescent="0.25">
      <c r="A1722" s="827"/>
      <c r="B1722" s="1066">
        <v>1472</v>
      </c>
      <c r="C1722" s="831">
        <v>1.0067533799201891</v>
      </c>
      <c r="D1722" s="831">
        <v>0.99989331761745281</v>
      </c>
      <c r="E1722" s="831">
        <v>1.007137668437931</v>
      </c>
      <c r="F1722" s="831">
        <v>0.98943835498598065</v>
      </c>
      <c r="G1722" s="831">
        <v>1.0072231535068767</v>
      </c>
      <c r="H1722" s="831">
        <v>1.0068431785606486</v>
      </c>
      <c r="I1722" s="831">
        <v>0.99588041036583541</v>
      </c>
      <c r="K1722">
        <v>1.7352330224283419</v>
      </c>
      <c r="L1722">
        <v>0</v>
      </c>
      <c r="M1722">
        <v>1.3650480837920172E-3</v>
      </c>
      <c r="N1722">
        <v>0.14059912878942182</v>
      </c>
      <c r="O1722">
        <v>1.7717382166847095E-2</v>
      </c>
      <c r="P1722">
        <v>1.9893473187542494E-2</v>
      </c>
      <c r="Q1722">
        <v>2.1631281772474739E-3</v>
      </c>
      <c r="R1722">
        <v>1.3566989178123152E-3</v>
      </c>
      <c r="S1722">
        <v>0.15158001002947652</v>
      </c>
      <c r="T1722">
        <v>1.0707296505532584</v>
      </c>
      <c r="U1722">
        <v>2.3166078568469379E-2</v>
      </c>
      <c r="V1722">
        <v>0.20546743368263801</v>
      </c>
      <c r="W1722">
        <v>8.3633997131883603E-2</v>
      </c>
      <c r="X1722">
        <v>1.6598602088927751E-2</v>
      </c>
      <c r="Y1722">
        <v>3.6924872186070616E-3</v>
      </c>
    </row>
    <row r="1723" spans="1:25" x14ac:dyDescent="0.25">
      <c r="A1723" s="827"/>
      <c r="B1723" s="1066">
        <v>1473</v>
      </c>
      <c r="C1723" s="831">
        <v>1.0004547764729901</v>
      </c>
      <c r="D1723" s="831">
        <v>1.0421563437168966</v>
      </c>
      <c r="E1723" s="831">
        <v>1.0010957870709039</v>
      </c>
      <c r="F1723" s="831">
        <v>0.9890798252797538</v>
      </c>
      <c r="G1723" s="831">
        <v>1.0139114487407161</v>
      </c>
      <c r="H1723" s="831">
        <v>1.0027809964909178</v>
      </c>
      <c r="I1723" s="831">
        <v>1.012180717627591</v>
      </c>
      <c r="K1723">
        <v>1.727954659697619</v>
      </c>
      <c r="L1723">
        <v>0</v>
      </c>
      <c r="M1723">
        <v>1.3599781290155365E-3</v>
      </c>
      <c r="N1723">
        <v>0.13746301993544485</v>
      </c>
      <c r="O1723">
        <v>1.749850278817992E-2</v>
      </c>
      <c r="P1723">
        <v>1.977896906815357E-2</v>
      </c>
      <c r="Q1723">
        <v>2.1306386843692442E-3</v>
      </c>
      <c r="R1723">
        <v>1.3515983690707166E-3</v>
      </c>
      <c r="S1723">
        <v>0.15210520171344946</v>
      </c>
      <c r="T1723">
        <v>1.0712648572837149</v>
      </c>
      <c r="U1723">
        <v>2.3311926182735206E-2</v>
      </c>
      <c r="V1723">
        <v>0.20240690136098349</v>
      </c>
      <c r="W1723">
        <v>8.2106279611432118E-2</v>
      </c>
      <c r="X1723">
        <v>1.6218137622771377E-2</v>
      </c>
      <c r="Y1723">
        <v>3.678605206327872E-3</v>
      </c>
    </row>
    <row r="1724" spans="1:25" x14ac:dyDescent="0.25">
      <c r="A1724" s="827"/>
      <c r="B1724" s="1066">
        <v>1474</v>
      </c>
      <c r="C1724" s="831">
        <v>1.0099253884316814</v>
      </c>
      <c r="D1724" s="831">
        <v>0.99122803741600518</v>
      </c>
      <c r="E1724" s="831">
        <v>1.0055056702020533</v>
      </c>
      <c r="F1724" s="831">
        <v>0.99803637815787494</v>
      </c>
      <c r="G1724" s="831">
        <v>0.98365669103129572</v>
      </c>
      <c r="H1724" s="831">
        <v>0.98898297260236734</v>
      </c>
      <c r="I1724" s="831">
        <v>0.98777555395816163</v>
      </c>
      <c r="K1724">
        <v>1.7289919523391544</v>
      </c>
      <c r="L1724">
        <v>0</v>
      </c>
      <c r="M1724">
        <v>1.3465238328051827E-3</v>
      </c>
      <c r="N1724">
        <v>0.13797435292192001</v>
      </c>
      <c r="O1724">
        <v>1.7731542072584896E-2</v>
      </c>
      <c r="P1724">
        <v>1.984352673668819E-2</v>
      </c>
      <c r="Q1724">
        <v>2.1597757361645829E-3</v>
      </c>
      <c r="R1724">
        <v>1.3381451929838899E-3</v>
      </c>
      <c r="S1724">
        <v>0.14915815947249539</v>
      </c>
      <c r="T1724">
        <v>1.0708740815733304</v>
      </c>
      <c r="U1724">
        <v>2.3093317749463514E-2</v>
      </c>
      <c r="V1724">
        <v>0.20593006701797339</v>
      </c>
      <c r="W1724">
        <v>8.216397160205946E-2</v>
      </c>
      <c r="X1724">
        <v>1.6429546000437695E-2</v>
      </c>
      <c r="Y1724">
        <v>3.6419900958578342E-3</v>
      </c>
    </row>
    <row r="1725" spans="1:25" x14ac:dyDescent="0.25">
      <c r="A1725" s="827"/>
      <c r="B1725" s="1066">
        <v>1475</v>
      </c>
      <c r="C1725" s="831">
        <v>0.98149562592729422</v>
      </c>
      <c r="D1725" s="831">
        <v>0.99872024290220618</v>
      </c>
      <c r="E1725" s="831">
        <v>0.9999810616282343</v>
      </c>
      <c r="F1725" s="831">
        <v>1.0158068546133436</v>
      </c>
      <c r="G1725" s="831">
        <v>0.9803465944068156</v>
      </c>
      <c r="H1725" s="831">
        <v>1.0051544273356883</v>
      </c>
      <c r="I1725" s="831">
        <v>0.96697828698534671</v>
      </c>
      <c r="K1725">
        <v>1.7435191864036923</v>
      </c>
      <c r="L1725">
        <v>0</v>
      </c>
      <c r="M1725">
        <v>1.4198200744148773E-3</v>
      </c>
      <c r="N1725">
        <v>0.14301998901097923</v>
      </c>
      <c r="O1725">
        <v>1.8182986960026303E-2</v>
      </c>
      <c r="P1725">
        <v>1.9834719044347634E-2</v>
      </c>
      <c r="Q1725">
        <v>2.2038807575510814E-3</v>
      </c>
      <c r="R1725">
        <v>1.4111221435585009E-3</v>
      </c>
      <c r="S1725">
        <v>0.15092256213211377</v>
      </c>
      <c r="T1725">
        <v>1.0713637534131712</v>
      </c>
      <c r="U1725">
        <v>2.3762233149300718E-2</v>
      </c>
      <c r="V1725">
        <v>0.208329932607489</v>
      </c>
      <c r="W1725">
        <v>8.549059960817669E-2</v>
      </c>
      <c r="X1725">
        <v>1.6576618352914674E-2</v>
      </c>
      <c r="Y1725">
        <v>3.8406092984766354E-3</v>
      </c>
    </row>
    <row r="1726" spans="1:25" x14ac:dyDescent="0.25">
      <c r="A1726" s="827"/>
      <c r="B1726" s="1066">
        <v>1476</v>
      </c>
      <c r="C1726" s="831">
        <v>0.96283597251301811</v>
      </c>
      <c r="D1726" s="831">
        <v>0.96933869018495855</v>
      </c>
      <c r="E1726" s="831">
        <v>1.0062541517908026</v>
      </c>
      <c r="F1726" s="831">
        <v>0.983213558992592</v>
      </c>
      <c r="G1726" s="831">
        <v>0.97884965778963084</v>
      </c>
      <c r="H1726" s="831">
        <v>1.0165227505903713</v>
      </c>
      <c r="I1726" s="831">
        <v>0.97151433124493236</v>
      </c>
      <c r="K1726">
        <v>1.7680320218271348</v>
      </c>
      <c r="L1726">
        <v>0</v>
      </c>
      <c r="M1726">
        <v>1.4641731909796364E-3</v>
      </c>
      <c r="N1726">
        <v>0.15040634508799372</v>
      </c>
      <c r="O1726">
        <v>1.878826780097053E-2</v>
      </c>
      <c r="P1726">
        <v>2.0083018330647139E-2</v>
      </c>
      <c r="Q1726">
        <v>2.285973163727435E-3</v>
      </c>
      <c r="R1726">
        <v>1.4553255981208553E-3</v>
      </c>
      <c r="S1726">
        <v>0.1573365123752114</v>
      </c>
      <c r="T1726">
        <v>1.0708078288351495</v>
      </c>
      <c r="U1726">
        <v>2.4222742568945594E-2</v>
      </c>
      <c r="V1726">
        <v>0.2133506109968992</v>
      </c>
      <c r="W1726">
        <v>8.9521573275895147E-2</v>
      </c>
      <c r="X1726">
        <v>1.7277080454420404E-2</v>
      </c>
      <c r="Y1726">
        <v>3.9609165301304821E-3</v>
      </c>
    </row>
    <row r="1727" spans="1:25" x14ac:dyDescent="0.25">
      <c r="A1727" s="827"/>
      <c r="B1727" s="1066">
        <v>1477</v>
      </c>
      <c r="C1727" s="831">
        <v>1.0033890266862842</v>
      </c>
      <c r="D1727" s="831">
        <v>1.0087455542061319</v>
      </c>
      <c r="E1727" s="831">
        <v>0.99553796812161466</v>
      </c>
      <c r="F1727" s="831">
        <v>0.99040125643975607</v>
      </c>
      <c r="G1727" s="831">
        <v>1.020252273292044</v>
      </c>
      <c r="H1727" s="831">
        <v>1.0067811595433034</v>
      </c>
      <c r="I1727" s="831">
        <v>1.0208126041856402</v>
      </c>
      <c r="K1727">
        <v>1.7370458993041074</v>
      </c>
      <c r="L1727">
        <v>0</v>
      </c>
      <c r="M1727">
        <v>1.3978321467731968E-3</v>
      </c>
      <c r="N1727">
        <v>0.13887253886667569</v>
      </c>
      <c r="O1727">
        <v>1.7705991251202577E-2</v>
      </c>
      <c r="P1727">
        <v>1.9782061516272941E-2</v>
      </c>
      <c r="Q1727">
        <v>2.1382376658304943E-3</v>
      </c>
      <c r="R1727">
        <v>1.3892758061713035E-3</v>
      </c>
      <c r="S1727">
        <v>0.15532202053353825</v>
      </c>
      <c r="T1727">
        <v>1.0717584013658124</v>
      </c>
      <c r="U1727">
        <v>2.3243754195046738E-2</v>
      </c>
      <c r="V1727">
        <v>0.20502027448916077</v>
      </c>
      <c r="W1727">
        <v>8.3264597213418501E-2</v>
      </c>
      <c r="X1727">
        <v>1.6165427777998703E-2</v>
      </c>
      <c r="Y1727">
        <v>3.7811507697518669E-3</v>
      </c>
    </row>
    <row r="1728" spans="1:25" x14ac:dyDescent="0.25">
      <c r="A1728" s="827"/>
      <c r="B1728" s="1066">
        <v>1478</v>
      </c>
      <c r="C1728" s="831">
        <v>0.98361859188286249</v>
      </c>
      <c r="D1728" s="831">
        <v>1.0076037980580241</v>
      </c>
      <c r="E1728" s="831">
        <v>0.98129146766081177</v>
      </c>
      <c r="F1728" s="831">
        <v>0.99180007993939523</v>
      </c>
      <c r="G1728" s="831">
        <v>0.99209994190191508</v>
      </c>
      <c r="H1728" s="831">
        <v>0.99514559900849975</v>
      </c>
      <c r="I1728" s="831">
        <v>1.035191912091977</v>
      </c>
      <c r="K1728">
        <v>1.7451855713926012</v>
      </c>
      <c r="L1728">
        <v>0</v>
      </c>
      <c r="M1728">
        <v>1.4530405286868977E-3</v>
      </c>
      <c r="N1728">
        <v>0.13808373451712555</v>
      </c>
      <c r="O1728">
        <v>1.8071135209197425E-2</v>
      </c>
      <c r="P1728">
        <v>1.9685514480926841E-2</v>
      </c>
      <c r="Q1728">
        <v>2.1509073737305058E-3</v>
      </c>
      <c r="R1728">
        <v>1.4440430810961997E-3</v>
      </c>
      <c r="S1728">
        <v>0.15987525225197133</v>
      </c>
      <c r="T1728">
        <v>1.0730288317781804</v>
      </c>
      <c r="U1728">
        <v>2.371094659125822E-2</v>
      </c>
      <c r="V1728">
        <v>0.20726496773729289</v>
      </c>
      <c r="W1728">
        <v>8.360928698155333E-2</v>
      </c>
      <c r="X1728">
        <v>1.5783782680885646E-2</v>
      </c>
      <c r="Y1728">
        <v>3.9302092380701075E-3</v>
      </c>
    </row>
    <row r="1729" spans="1:25" x14ac:dyDescent="0.25">
      <c r="A1729" s="827"/>
      <c r="B1729" s="1066">
        <v>1479</v>
      </c>
      <c r="C1729" s="831">
        <v>1.0011319758101376</v>
      </c>
      <c r="D1729" s="831">
        <v>1.0156995291168267</v>
      </c>
      <c r="E1729" s="831">
        <v>0.99446886503872123</v>
      </c>
      <c r="F1729" s="831">
        <v>0.98400774805685531</v>
      </c>
      <c r="G1729" s="831">
        <v>0.96657767280923079</v>
      </c>
      <c r="H1729" s="831">
        <v>1.0121185527139303</v>
      </c>
      <c r="I1729" s="831">
        <v>0.99503003600665207</v>
      </c>
      <c r="K1729">
        <v>1.7338895137008785</v>
      </c>
      <c r="L1729">
        <v>0</v>
      </c>
      <c r="M1729">
        <v>1.4072081283004825E-3</v>
      </c>
      <c r="N1729">
        <v>0.13934367827663224</v>
      </c>
      <c r="O1729">
        <v>1.7690850602211611E-2</v>
      </c>
      <c r="P1729">
        <v>1.9713577223336186E-2</v>
      </c>
      <c r="Q1729">
        <v>2.1353026631683158E-3</v>
      </c>
      <c r="R1729">
        <v>1.398635054320443E-3</v>
      </c>
      <c r="S1729">
        <v>0.15168686497859998</v>
      </c>
      <c r="T1729">
        <v>1.0718534732189695</v>
      </c>
      <c r="U1729">
        <v>2.3296157211870203E-2</v>
      </c>
      <c r="V1729">
        <v>0.20463535595541815</v>
      </c>
      <c r="W1729">
        <v>8.3608433918445982E-2</v>
      </c>
      <c r="X1729">
        <v>1.6127769168266404E-2</v>
      </c>
      <c r="Y1729">
        <v>3.8066235579385013E-3</v>
      </c>
    </row>
    <row r="1730" spans="1:25" x14ac:dyDescent="0.25">
      <c r="A1730" s="827"/>
      <c r="B1730" s="1066">
        <v>1480</v>
      </c>
      <c r="C1730" s="831">
        <v>1.0170179353957463</v>
      </c>
      <c r="D1730" s="831">
        <v>1.0207279215225324</v>
      </c>
      <c r="E1730" s="831">
        <v>1.0003333910451917</v>
      </c>
      <c r="F1730" s="831">
        <v>0.98919724536443032</v>
      </c>
      <c r="G1730" s="831">
        <v>1.0134574066289408</v>
      </c>
      <c r="H1730" s="831">
        <v>1.001467422617474</v>
      </c>
      <c r="I1730" s="831">
        <v>0.98300097428224009</v>
      </c>
      <c r="K1730">
        <v>1.7198070676949611</v>
      </c>
      <c r="L1730">
        <v>0</v>
      </c>
      <c r="M1730">
        <v>1.3508173618252382E-3</v>
      </c>
      <c r="N1730">
        <v>0.13621392140882962</v>
      </c>
      <c r="O1730">
        <v>1.7375687646520772E-2</v>
      </c>
      <c r="P1730">
        <v>1.9688463291962811E-2</v>
      </c>
      <c r="Q1730">
        <v>2.1105258129546184E-3</v>
      </c>
      <c r="R1730">
        <v>1.3424969947674057E-3</v>
      </c>
      <c r="S1730">
        <v>0.14647851936882303</v>
      </c>
      <c r="T1730">
        <v>1.0713324904082517</v>
      </c>
      <c r="U1730">
        <v>2.2932268042281701E-2</v>
      </c>
      <c r="V1730">
        <v>0.20253944934283924</v>
      </c>
      <c r="W1730">
        <v>8.1402628996317769E-2</v>
      </c>
      <c r="X1730">
        <v>1.6087599477494982E-2</v>
      </c>
      <c r="Y1730">
        <v>3.6538342657414916E-3</v>
      </c>
    </row>
    <row r="1731" spans="1:25" x14ac:dyDescent="0.25">
      <c r="A1731" s="827"/>
      <c r="B1731" s="1066">
        <v>1481</v>
      </c>
      <c r="C1731" s="831">
        <v>0.97339247074341362</v>
      </c>
      <c r="D1731" s="831">
        <v>0.96969421831762614</v>
      </c>
      <c r="E1731" s="831">
        <v>0.98519915412589987</v>
      </c>
      <c r="F1731" s="831">
        <v>0.99200237628446342</v>
      </c>
      <c r="G1731" s="831">
        <v>0.99413844330885959</v>
      </c>
      <c r="H1731" s="831">
        <v>1.0413015681153868</v>
      </c>
      <c r="I1731" s="831">
        <v>0.979835704125812</v>
      </c>
      <c r="K1731">
        <v>1.7679914979934332</v>
      </c>
      <c r="L1731">
        <v>0</v>
      </c>
      <c r="M1731">
        <v>1.5505572971533416E-3</v>
      </c>
      <c r="N1731">
        <v>0.14919938820525896</v>
      </c>
      <c r="O1731">
        <v>1.8581409882035549E-2</v>
      </c>
      <c r="P1731">
        <v>1.979231357414795E-2</v>
      </c>
      <c r="Q1731">
        <v>2.2134159586476559E-3</v>
      </c>
      <c r="R1731">
        <v>1.5414103900588227E-3</v>
      </c>
      <c r="S1731">
        <v>0.15875493756091152</v>
      </c>
      <c r="T1731">
        <v>1.0726796038504676</v>
      </c>
      <c r="U1731">
        <v>2.3960045510205089E-2</v>
      </c>
      <c r="V1731">
        <v>0.21207317822860744</v>
      </c>
      <c r="W1731">
        <v>9.0095712570069875E-2</v>
      </c>
      <c r="X1731">
        <v>1.6455428604234167E-2</v>
      </c>
      <c r="Y1731">
        <v>4.1952109559415928E-3</v>
      </c>
    </row>
    <row r="1732" spans="1:25" x14ac:dyDescent="0.25">
      <c r="A1732" s="827"/>
      <c r="B1732" s="1066">
        <v>1482</v>
      </c>
      <c r="C1732" s="831">
        <v>0.98719800968119864</v>
      </c>
      <c r="D1732" s="831">
        <v>0.96805862447116886</v>
      </c>
      <c r="E1732" s="831">
        <v>0.99369651490613775</v>
      </c>
      <c r="F1732" s="831">
        <v>0.97656425764229526</v>
      </c>
      <c r="G1732" s="831">
        <v>1.004964484741522</v>
      </c>
      <c r="H1732" s="831">
        <v>1.0038704411744694</v>
      </c>
      <c r="I1732" s="831">
        <v>0.9932561670635367</v>
      </c>
      <c r="K1732">
        <v>1.7520289379962077</v>
      </c>
      <c r="L1732">
        <v>0</v>
      </c>
      <c r="M1732">
        <v>1.4489279058155324E-3</v>
      </c>
      <c r="N1732">
        <v>0.14312660219036308</v>
      </c>
      <c r="O1732">
        <v>1.8335624664179515E-2</v>
      </c>
      <c r="P1732">
        <v>1.9848484351091492E-2</v>
      </c>
      <c r="Q1732">
        <v>2.202673886262674E-3</v>
      </c>
      <c r="R1732">
        <v>1.4400630568181224E-3</v>
      </c>
      <c r="S1732">
        <v>0.1560470459024664</v>
      </c>
      <c r="T1732">
        <v>1.0719221826091707</v>
      </c>
      <c r="U1732">
        <v>2.3624974594341885E-2</v>
      </c>
      <c r="V1732">
        <v>0.21064992749698266</v>
      </c>
      <c r="W1732">
        <v>8.5923833266260227E-2</v>
      </c>
      <c r="X1732">
        <v>1.6437076960085239E-2</v>
      </c>
      <c r="Y1732">
        <v>3.9193769239998311E-3</v>
      </c>
    </row>
    <row r="1733" spans="1:25" x14ac:dyDescent="0.25">
      <c r="A1733" s="827"/>
      <c r="B1733" s="1066">
        <v>1483</v>
      </c>
      <c r="C1733" s="831">
        <v>1.0263742768874078</v>
      </c>
      <c r="D1733" s="831">
        <v>0.9833911643055494</v>
      </c>
      <c r="E1733" s="831">
        <v>0.99709594418035385</v>
      </c>
      <c r="F1733" s="831">
        <v>0.98303012660751821</v>
      </c>
      <c r="G1733" s="831">
        <v>0.99660436442125988</v>
      </c>
      <c r="H1733" s="831">
        <v>1.022240543102054</v>
      </c>
      <c r="I1733" s="831">
        <v>1.0268871079854798</v>
      </c>
      <c r="K1733">
        <v>1.7375013828708179</v>
      </c>
      <c r="L1733">
        <v>0</v>
      </c>
      <c r="M1733">
        <v>1.3989976890302434E-3</v>
      </c>
      <c r="N1733">
        <v>0.13967860252128161</v>
      </c>
      <c r="O1733">
        <v>1.7510312225116318E-2</v>
      </c>
      <c r="P1733">
        <v>1.9797256741653415E-2</v>
      </c>
      <c r="Q1733">
        <v>2.1135034358908495E-3</v>
      </c>
      <c r="R1733">
        <v>1.3905812296621637E-3</v>
      </c>
      <c r="S1733">
        <v>0.15549006829843673</v>
      </c>
      <c r="T1733">
        <v>1.0716199328039138</v>
      </c>
      <c r="U1733">
        <v>2.2723219417609821E-2</v>
      </c>
      <c r="V1733">
        <v>0.20493135350657163</v>
      </c>
      <c r="W1733">
        <v>8.3658433326929349E-2</v>
      </c>
      <c r="X1733">
        <v>1.6202413350619716E-2</v>
      </c>
      <c r="Y1733">
        <v>3.7847037021612505E-3</v>
      </c>
    </row>
    <row r="1734" spans="1:25" x14ac:dyDescent="0.25">
      <c r="A1734" s="827"/>
      <c r="B1734" s="1066">
        <v>1484</v>
      </c>
      <c r="C1734" s="831">
        <v>0.98239718728832826</v>
      </c>
      <c r="D1734" s="831">
        <v>1.0113535431272809</v>
      </c>
      <c r="E1734" s="831">
        <v>0.98626870218293827</v>
      </c>
      <c r="F1734" s="831">
        <v>1.0333589608049651</v>
      </c>
      <c r="G1734" s="831">
        <v>1.0288970663588899</v>
      </c>
      <c r="H1734" s="831">
        <v>0.98393478396576461</v>
      </c>
      <c r="I1734" s="831">
        <v>0.99059295139094594</v>
      </c>
      <c r="K1734">
        <v>1.7350007611829343</v>
      </c>
      <c r="L1734">
        <v>0</v>
      </c>
      <c r="M1734">
        <v>1.4211087920622321E-3</v>
      </c>
      <c r="N1734">
        <v>0.1371492661014877</v>
      </c>
      <c r="O1734">
        <v>1.8063218682915778E-2</v>
      </c>
      <c r="P1734">
        <v>1.964686892456988E-2</v>
      </c>
      <c r="Q1734">
        <v>2.1615008346348051E-3</v>
      </c>
      <c r="R1734">
        <v>1.4122061276575985E-3</v>
      </c>
      <c r="S1734">
        <v>0.15213449000372048</v>
      </c>
      <c r="T1734">
        <v>1.0725841190044099</v>
      </c>
      <c r="U1734">
        <v>2.3740426173938282E-2</v>
      </c>
      <c r="V1734">
        <v>0.20705630527931032</v>
      </c>
      <c r="W1734">
        <v>8.2757917357307517E-2</v>
      </c>
      <c r="X1734">
        <v>1.5871991939183365E-2</v>
      </c>
      <c r="Y1734">
        <v>3.8435595458591165E-3</v>
      </c>
    </row>
    <row r="1735" spans="1:25" x14ac:dyDescent="0.25">
      <c r="A1735" s="827"/>
      <c r="B1735" s="1066">
        <v>1485</v>
      </c>
      <c r="C1735" s="831">
        <v>1.0117286086681487</v>
      </c>
      <c r="D1735" s="831">
        <v>1.0166715743001977</v>
      </c>
      <c r="E1735" s="831">
        <v>0.98610664264714487</v>
      </c>
      <c r="F1735" s="831">
        <v>0.98469125238805233</v>
      </c>
      <c r="G1735" s="831">
        <v>1.022946834082948</v>
      </c>
      <c r="H1735" s="831">
        <v>0.98176004216878676</v>
      </c>
      <c r="I1735" s="831">
        <v>0.98026606697889251</v>
      </c>
      <c r="K1735">
        <v>1.7156544631564334</v>
      </c>
      <c r="L1735">
        <v>0</v>
      </c>
      <c r="M1735">
        <v>1.3740687520323674E-3</v>
      </c>
      <c r="N1735">
        <v>0.13254037871443267</v>
      </c>
      <c r="O1735">
        <v>1.7497991320413693E-2</v>
      </c>
      <c r="P1735">
        <v>1.9499830770869555E-2</v>
      </c>
      <c r="Q1735">
        <v>2.0944138698466386E-3</v>
      </c>
      <c r="R1735">
        <v>1.3654380466996607E-3</v>
      </c>
      <c r="S1735">
        <v>0.14571654079455346</v>
      </c>
      <c r="T1735">
        <v>1.0725985842455545</v>
      </c>
      <c r="U1735">
        <v>2.305215815633134E-2</v>
      </c>
      <c r="V1735">
        <v>0.20343970702483671</v>
      </c>
      <c r="W1735">
        <v>7.9985800877855145E-2</v>
      </c>
      <c r="X1735">
        <v>1.552141584048462E-2</v>
      </c>
      <c r="Y1735">
        <v>3.7162722465853533E-3</v>
      </c>
    </row>
    <row r="1736" spans="1:25" x14ac:dyDescent="0.25">
      <c r="A1736" s="827"/>
      <c r="B1736" s="1066">
        <v>1486</v>
      </c>
      <c r="C1736" s="831">
        <v>1.0027275039034742</v>
      </c>
      <c r="D1736" s="831">
        <v>1.0122714221888618</v>
      </c>
      <c r="E1736" s="831">
        <v>1.016507278130695</v>
      </c>
      <c r="F1736" s="831">
        <v>0.95481898015957611</v>
      </c>
      <c r="G1736" s="831">
        <v>0.98648543924888599</v>
      </c>
      <c r="H1736" s="831">
        <v>1.0060879861407166</v>
      </c>
      <c r="I1736" s="831">
        <v>0.95691437061484097</v>
      </c>
      <c r="K1736">
        <v>1.7289704794424057</v>
      </c>
      <c r="L1736">
        <v>0</v>
      </c>
      <c r="M1736">
        <v>1.3352463037350794E-3</v>
      </c>
      <c r="N1736">
        <v>0.14159240144589036</v>
      </c>
      <c r="O1736">
        <v>1.7689726233947784E-2</v>
      </c>
      <c r="P1736">
        <v>1.9927059957347903E-2</v>
      </c>
      <c r="Q1736">
        <v>2.1822476299980936E-3</v>
      </c>
      <c r="R1736">
        <v>1.3270651169573692E-3</v>
      </c>
      <c r="S1736">
        <v>0.1454376974949497</v>
      </c>
      <c r="T1736">
        <v>1.069902393803235</v>
      </c>
      <c r="U1736">
        <v>2.3259088643237506E-2</v>
      </c>
      <c r="V1736">
        <v>0.20477683903084859</v>
      </c>
      <c r="W1736">
        <v>8.3690993714702969E-2</v>
      </c>
      <c r="X1736">
        <v>1.6908378893563652E-2</v>
      </c>
      <c r="Y1736">
        <v>3.6118337814597268E-3</v>
      </c>
    </row>
    <row r="1737" spans="1:25" x14ac:dyDescent="0.25">
      <c r="A1737" s="827"/>
      <c r="B1737" s="1066">
        <v>1487</v>
      </c>
      <c r="C1737" s="831">
        <v>0.96430512374529997</v>
      </c>
      <c r="D1737" s="831">
        <v>1.0062394506392056</v>
      </c>
      <c r="E1737" s="831">
        <v>1.0168431571559444</v>
      </c>
      <c r="F1737" s="831">
        <v>1.0233673359704962</v>
      </c>
      <c r="G1737" s="831">
        <v>0.98346374212783683</v>
      </c>
      <c r="H1737" s="831">
        <v>1.0187151601674671</v>
      </c>
      <c r="I1737" s="831">
        <v>1.0102630001813349</v>
      </c>
      <c r="K1737">
        <v>1.7648338588810963</v>
      </c>
      <c r="L1737">
        <v>0</v>
      </c>
      <c r="M1737">
        <v>1.4086782849009893E-3</v>
      </c>
      <c r="N1737">
        <v>0.14954713877226497</v>
      </c>
      <c r="O1737">
        <v>1.844437838909229E-2</v>
      </c>
      <c r="P1737">
        <v>2.0225764406674229E-2</v>
      </c>
      <c r="Q1737">
        <v>2.2749952410460426E-3</v>
      </c>
      <c r="R1737">
        <v>1.4001582865519266E-3</v>
      </c>
      <c r="S1737">
        <v>0.16100725987540032</v>
      </c>
      <c r="T1737">
        <v>1.0698728002226594</v>
      </c>
      <c r="U1737">
        <v>2.4185838407370423E-2</v>
      </c>
      <c r="V1737">
        <v>0.20956947295481634</v>
      </c>
      <c r="W1737">
        <v>8.8372721062647056E-2</v>
      </c>
      <c r="X1737">
        <v>1.753124025353545E-2</v>
      </c>
      <c r="Y1737">
        <v>3.8107692939392305E-3</v>
      </c>
    </row>
    <row r="1738" spans="1:25" x14ac:dyDescent="0.25">
      <c r="A1738" s="827"/>
      <c r="B1738" s="1066">
        <v>1488</v>
      </c>
      <c r="C1738" s="831">
        <v>1.0170557707060959</v>
      </c>
      <c r="D1738" s="831">
        <v>1.0127717137463339</v>
      </c>
      <c r="E1738" s="831">
        <v>0.99597264937358376</v>
      </c>
      <c r="F1738" s="831">
        <v>1.0280215338501792</v>
      </c>
      <c r="G1738" s="831">
        <v>0.98480080209737653</v>
      </c>
      <c r="H1738" s="831">
        <v>0.97330654259995242</v>
      </c>
      <c r="I1738" s="831">
        <v>1.0222787793396779</v>
      </c>
      <c r="K1738">
        <v>1.7188470625189607</v>
      </c>
      <c r="L1738">
        <v>0</v>
      </c>
      <c r="M1738">
        <v>1.3295820039645237E-3</v>
      </c>
      <c r="N1738">
        <v>0.13224251012695029</v>
      </c>
      <c r="O1738">
        <v>1.7436616378774538E-2</v>
      </c>
      <c r="P1738">
        <v>1.969785337924335E-2</v>
      </c>
      <c r="Q1738">
        <v>2.1073134982238935E-3</v>
      </c>
      <c r="R1738">
        <v>1.3211608086838497E-3</v>
      </c>
      <c r="S1738">
        <v>0.15080009141521927</v>
      </c>
      <c r="T1738">
        <v>1.0717197589024807</v>
      </c>
      <c r="U1738">
        <v>2.2931414943067864E-2</v>
      </c>
      <c r="V1738">
        <v>0.20323103546690638</v>
      </c>
      <c r="W1738">
        <v>7.9265743912181455E-2</v>
      </c>
      <c r="X1738">
        <v>1.5827381490498879E-2</v>
      </c>
      <c r="Y1738">
        <v>3.5957642006939059E-3</v>
      </c>
    </row>
    <row r="1739" spans="1:25" x14ac:dyDescent="0.25">
      <c r="A1739" s="827"/>
      <c r="B1739" s="1066">
        <v>1489</v>
      </c>
      <c r="C1739" s="831">
        <v>1.0095295050526525</v>
      </c>
      <c r="D1739" s="831">
        <v>0.98176483785061441</v>
      </c>
      <c r="E1739" s="831">
        <v>0.99752705958428578</v>
      </c>
      <c r="F1739" s="831">
        <v>0.98912576785155093</v>
      </c>
      <c r="G1739" s="831">
        <v>1.0054262708863388</v>
      </c>
      <c r="H1739" s="831">
        <v>0.99648861440242198</v>
      </c>
      <c r="I1739" s="831">
        <v>0.96771487928087285</v>
      </c>
      <c r="K1739">
        <v>1.7300215512479966</v>
      </c>
      <c r="L1739">
        <v>0</v>
      </c>
      <c r="M1739">
        <v>1.3862921456046342E-3</v>
      </c>
      <c r="N1739">
        <v>0.13857429960725903</v>
      </c>
      <c r="O1739">
        <v>1.7815865009669214E-2</v>
      </c>
      <c r="P1739">
        <v>1.9722848767014366E-2</v>
      </c>
      <c r="Q1739">
        <v>2.151022663395881E-3</v>
      </c>
      <c r="R1739">
        <v>1.3777377595362856E-3</v>
      </c>
      <c r="S1739">
        <v>0.14729104876089164</v>
      </c>
      <c r="T1739">
        <v>1.0715816326427092</v>
      </c>
      <c r="U1739">
        <v>2.3102373711293187E-2</v>
      </c>
      <c r="V1739">
        <v>0.20685867649757461</v>
      </c>
      <c r="W1739">
        <v>8.2972502002076481E-2</v>
      </c>
      <c r="X1739">
        <v>1.6210087961852113E-2</v>
      </c>
      <c r="Y1739">
        <v>3.7497480103273998E-3</v>
      </c>
    </row>
    <row r="1740" spans="1:25" x14ac:dyDescent="0.25">
      <c r="A1740" s="827"/>
      <c r="B1740" s="1066">
        <v>1490</v>
      </c>
      <c r="C1740" s="831">
        <v>1.0269179764749303</v>
      </c>
      <c r="D1740" s="831">
        <v>1.0303865806684251</v>
      </c>
      <c r="E1740" s="831">
        <v>1.0272462198622323</v>
      </c>
      <c r="F1740" s="831">
        <v>1.0017035223000623</v>
      </c>
      <c r="G1740" s="831">
        <v>1.0052738284598308</v>
      </c>
      <c r="H1740" s="831">
        <v>0.97527459220593737</v>
      </c>
      <c r="I1740" s="831">
        <v>0.97975448349820637</v>
      </c>
      <c r="K1740">
        <v>1.7071420762815275</v>
      </c>
      <c r="L1740">
        <v>0</v>
      </c>
      <c r="M1740">
        <v>1.2256547264294974E-3</v>
      </c>
      <c r="N1740">
        <v>0.13435210670305422</v>
      </c>
      <c r="O1740">
        <v>1.7135138503412875E-2</v>
      </c>
      <c r="P1740">
        <v>1.996262494248309E-2</v>
      </c>
      <c r="Q1740">
        <v>2.1395711284666395E-3</v>
      </c>
      <c r="R1740">
        <v>1.2178966744685923E-3</v>
      </c>
      <c r="S1740">
        <v>0.14225483914441617</v>
      </c>
      <c r="T1740">
        <v>1.0689583247880896</v>
      </c>
      <c r="U1740">
        <v>2.2711188656334255E-2</v>
      </c>
      <c r="V1740">
        <v>0.20071241252540672</v>
      </c>
      <c r="W1740">
        <v>7.8838848376758572E-2</v>
      </c>
      <c r="X1740">
        <v>1.6770066296693732E-2</v>
      </c>
      <c r="Y1740">
        <v>3.3147132683726682E-3</v>
      </c>
    </row>
    <row r="1741" spans="1:25" x14ac:dyDescent="0.25">
      <c r="A1741" s="827"/>
      <c r="B1741" s="1066">
        <v>1491</v>
      </c>
      <c r="C1741" s="831">
        <v>0.98365549641771099</v>
      </c>
      <c r="D1741" s="831">
        <v>1.0246027688899944</v>
      </c>
      <c r="E1741" s="831">
        <v>0.99482366828081525</v>
      </c>
      <c r="F1741" s="831">
        <v>0.99114847715190924</v>
      </c>
      <c r="G1741" s="831">
        <v>0.99404046032121163</v>
      </c>
      <c r="H1741" s="831">
        <v>0.995845095474167</v>
      </c>
      <c r="I1741" s="831">
        <v>0.99424283532410629</v>
      </c>
      <c r="K1741">
        <v>1.736040386290775</v>
      </c>
      <c r="L1741">
        <v>0</v>
      </c>
      <c r="M1741">
        <v>1.4025936551203004E-3</v>
      </c>
      <c r="N1741">
        <v>0.13902566335911018</v>
      </c>
      <c r="O1741">
        <v>1.7934289747591859E-2</v>
      </c>
      <c r="P1741">
        <v>1.9750340308948625E-2</v>
      </c>
      <c r="Q1741">
        <v>2.1669938317848561E-3</v>
      </c>
      <c r="R1741">
        <v>1.3939029457574947E-3</v>
      </c>
      <c r="S1741">
        <v>0.15253494072158252</v>
      </c>
      <c r="T1741">
        <v>1.0718219169451408</v>
      </c>
      <c r="U1741">
        <v>2.3710057010040024E-2</v>
      </c>
      <c r="V1741">
        <v>0.20572316313808742</v>
      </c>
      <c r="W1741">
        <v>8.3397295087566645E-2</v>
      </c>
      <c r="X1741">
        <v>1.6190672531917749E-2</v>
      </c>
      <c r="Y1741">
        <v>3.7937443183693252E-3</v>
      </c>
    </row>
    <row r="1742" spans="1:25" x14ac:dyDescent="0.25">
      <c r="A1742" s="827"/>
      <c r="B1742" s="1066">
        <v>1492</v>
      </c>
      <c r="C1742" s="831">
        <v>1.0126168406774891</v>
      </c>
      <c r="D1742" s="831">
        <v>1.0343230570766295</v>
      </c>
      <c r="E1742" s="831">
        <v>0.99026923170094761</v>
      </c>
      <c r="F1742" s="831">
        <v>0.9885018386913782</v>
      </c>
      <c r="G1742" s="831">
        <v>0.98183862005097378</v>
      </c>
      <c r="H1742" s="831">
        <v>1.0144729587565076</v>
      </c>
      <c r="I1742" s="831">
        <v>0.96595423341154862</v>
      </c>
      <c r="K1742">
        <v>1.7186494630268403</v>
      </c>
      <c r="L1742">
        <v>0</v>
      </c>
      <c r="M1742">
        <v>1.3953718688091213E-3</v>
      </c>
      <c r="N1742">
        <v>0.13637780582973769</v>
      </c>
      <c r="O1742">
        <v>1.7347260931833607E-2</v>
      </c>
      <c r="P1742">
        <v>1.9519453369135919E-2</v>
      </c>
      <c r="Q1742">
        <v>2.0880406761615592E-3</v>
      </c>
      <c r="R1742">
        <v>1.3868782340918061E-3</v>
      </c>
      <c r="S1742">
        <v>0.1446516339037085</v>
      </c>
      <c r="T1742">
        <v>1.0722273499193828</v>
      </c>
      <c r="U1742">
        <v>2.3031937610971675E-2</v>
      </c>
      <c r="V1742">
        <v>0.20181802137237209</v>
      </c>
      <c r="W1742">
        <v>8.2065602789078512E-2</v>
      </c>
      <c r="X1742">
        <v>1.5756224890263053E-2</v>
      </c>
      <c r="Y1742">
        <v>3.7746253689108994E-3</v>
      </c>
    </row>
    <row r="1743" spans="1:25" x14ac:dyDescent="0.25">
      <c r="A1743" s="827"/>
      <c r="B1743" s="1066">
        <v>1493</v>
      </c>
      <c r="C1743" s="831">
        <v>1.0000483588159168</v>
      </c>
      <c r="D1743" s="831">
        <v>1.0007477773094626</v>
      </c>
      <c r="E1743" s="831">
        <v>0.99370701841452758</v>
      </c>
      <c r="F1743" s="831">
        <v>1.0037297033094266</v>
      </c>
      <c r="G1743" s="831">
        <v>0.98171384432546283</v>
      </c>
      <c r="H1743" s="831">
        <v>0.99981537276649757</v>
      </c>
      <c r="I1743" s="831">
        <v>1.0049529137975817</v>
      </c>
      <c r="K1743">
        <v>1.7362233975634374</v>
      </c>
      <c r="L1743">
        <v>0</v>
      </c>
      <c r="M1743">
        <v>1.4032161180237551E-3</v>
      </c>
      <c r="N1743">
        <v>0.13860987434166397</v>
      </c>
      <c r="O1743">
        <v>1.7829272336046687E-2</v>
      </c>
      <c r="P1743">
        <v>1.9747147687426896E-2</v>
      </c>
      <c r="Q1743">
        <v>2.1477563294729487E-3</v>
      </c>
      <c r="R1743">
        <v>1.3945725720060954E-3</v>
      </c>
      <c r="S1743">
        <v>0.15342504801701662</v>
      </c>
      <c r="T1743">
        <v>1.071921248050977</v>
      </c>
      <c r="U1743">
        <v>2.3321400103008646E-2</v>
      </c>
      <c r="V1743">
        <v>0.2061048510304456</v>
      </c>
      <c r="W1743">
        <v>8.3211685157641491E-2</v>
      </c>
      <c r="X1743">
        <v>1.6118191235480445E-2</v>
      </c>
      <c r="Y1743">
        <v>3.7955668202757828E-3</v>
      </c>
    </row>
    <row r="1744" spans="1:25" x14ac:dyDescent="0.25">
      <c r="A1744" s="827"/>
      <c r="B1744" s="1066">
        <v>1494</v>
      </c>
      <c r="C1744" s="831">
        <v>1.0437250517826004</v>
      </c>
      <c r="D1744" s="831">
        <v>1.009400953553232</v>
      </c>
      <c r="E1744" s="831">
        <v>0.99543673595150017</v>
      </c>
      <c r="F1744" s="831">
        <v>0.99226739605755698</v>
      </c>
      <c r="G1744" s="831">
        <v>1.0178428846751049</v>
      </c>
      <c r="H1744" s="831">
        <v>0.98184236251671064</v>
      </c>
      <c r="I1744" s="831">
        <v>1.0015307162376368</v>
      </c>
      <c r="K1744">
        <v>1.7056324997528176</v>
      </c>
      <c r="L1744">
        <v>0</v>
      </c>
      <c r="M1744">
        <v>1.3104183867350832E-3</v>
      </c>
      <c r="N1744">
        <v>0.13012670008674118</v>
      </c>
      <c r="O1744">
        <v>1.7016719872884407E-2</v>
      </c>
      <c r="P1744">
        <v>1.9567912122170253E-2</v>
      </c>
      <c r="Q1744">
        <v>2.0548980912844937E-3</v>
      </c>
      <c r="R1744">
        <v>1.3021929455412523E-3</v>
      </c>
      <c r="S1744">
        <v>0.14474883855418005</v>
      </c>
      <c r="T1744">
        <v>1.0717674017656214</v>
      </c>
      <c r="U1744">
        <v>2.2345471020811591E-2</v>
      </c>
      <c r="V1744">
        <v>0.20084851509464283</v>
      </c>
      <c r="W1744">
        <v>7.8026226498623882E-2</v>
      </c>
      <c r="X1744">
        <v>1.5593902157076286E-2</v>
      </c>
      <c r="Y1744">
        <v>3.5441399299741606E-3</v>
      </c>
    </row>
    <row r="1745" spans="1:25" x14ac:dyDescent="0.25">
      <c r="A1745" s="827"/>
      <c r="B1745" s="1066">
        <v>1495</v>
      </c>
      <c r="C1745" s="831">
        <v>1.0166051335174715</v>
      </c>
      <c r="D1745" s="831">
        <v>0.9750706703940738</v>
      </c>
      <c r="E1745" s="831">
        <v>0.98838548268057191</v>
      </c>
      <c r="F1745" s="831">
        <v>0.98886871699713563</v>
      </c>
      <c r="G1745" s="831">
        <v>0.99985289989236792</v>
      </c>
      <c r="H1745" s="831">
        <v>1.0311340727897378</v>
      </c>
      <c r="I1745" s="831">
        <v>1.0160657919124116</v>
      </c>
      <c r="K1745">
        <v>1.7450244881498265</v>
      </c>
      <c r="L1745">
        <v>0</v>
      </c>
      <c r="M1745">
        <v>1.4566789563642997E-3</v>
      </c>
      <c r="N1745">
        <v>0.14155520836243918</v>
      </c>
      <c r="O1745">
        <v>1.7746921927360597E-2</v>
      </c>
      <c r="P1745">
        <v>1.9720048606754761E-2</v>
      </c>
      <c r="Q1745">
        <v>2.121819295695325E-3</v>
      </c>
      <c r="R1745">
        <v>1.4479971471325799E-3</v>
      </c>
      <c r="S1745">
        <v>0.15652619276816673</v>
      </c>
      <c r="T1745">
        <v>1.0723952684732168</v>
      </c>
      <c r="U1745">
        <v>2.2941579900946221E-2</v>
      </c>
      <c r="V1745">
        <v>0.20673873232207104</v>
      </c>
      <c r="W1745">
        <v>8.5291802099568534E-2</v>
      </c>
      <c r="X1745">
        <v>1.605462530047537E-2</v>
      </c>
      <c r="Y1745">
        <v>3.9409709023636164E-3</v>
      </c>
    </row>
    <row r="1746" spans="1:25" x14ac:dyDescent="0.25">
      <c r="A1746" s="827"/>
      <c r="B1746" s="1066">
        <v>1496</v>
      </c>
      <c r="C1746" s="831">
        <v>0.99663569766034499</v>
      </c>
      <c r="D1746" s="831">
        <v>0.99451163127691511</v>
      </c>
      <c r="E1746" s="831">
        <v>0.9889224565285486</v>
      </c>
      <c r="F1746" s="831">
        <v>0.97772572738793839</v>
      </c>
      <c r="G1746" s="831">
        <v>1.0171984169565826</v>
      </c>
      <c r="H1746" s="831">
        <v>1.003074010905489</v>
      </c>
      <c r="I1746" s="831">
        <v>1.0207856326947236</v>
      </c>
      <c r="K1746">
        <v>1.7426965061399113</v>
      </c>
      <c r="L1746">
        <v>0</v>
      </c>
      <c r="M1746">
        <v>1.4309385424720595E-3</v>
      </c>
      <c r="N1746">
        <v>0.13926177682851354</v>
      </c>
      <c r="O1746">
        <v>1.7941065028647799E-2</v>
      </c>
      <c r="P1746">
        <v>1.9744599383549295E-2</v>
      </c>
      <c r="Q1746">
        <v>2.1497009276648382E-3</v>
      </c>
      <c r="R1746">
        <v>1.4221573448366302E-3</v>
      </c>
      <c r="S1746">
        <v>0.15702249355992218</v>
      </c>
      <c r="T1746">
        <v>1.0723473886759471</v>
      </c>
      <c r="U1746">
        <v>2.3401256801310687E-2</v>
      </c>
      <c r="V1746">
        <v>0.20705446366764207</v>
      </c>
      <c r="W1746">
        <v>8.3878862011867727E-2</v>
      </c>
      <c r="X1746">
        <v>1.6033036973879051E-2</v>
      </c>
      <c r="Y1746">
        <v>3.8706434786025781E-3</v>
      </c>
    </row>
    <row r="1747" spans="1:25" x14ac:dyDescent="0.25">
      <c r="A1747" s="827"/>
      <c r="B1747" s="1066">
        <v>1497</v>
      </c>
      <c r="C1747" s="831">
        <v>0.99242476795259615</v>
      </c>
      <c r="D1747" s="831">
        <v>1.0225071288884011</v>
      </c>
      <c r="E1747" s="831">
        <v>0.99403785679720569</v>
      </c>
      <c r="F1747" s="831">
        <v>0.99766250675551715</v>
      </c>
      <c r="G1747" s="831">
        <v>1.0309669305462099</v>
      </c>
      <c r="H1747" s="831">
        <v>0.97829266233140644</v>
      </c>
      <c r="I1747" s="831">
        <v>1.0227503091943713</v>
      </c>
      <c r="K1747">
        <v>1.7307216652135837</v>
      </c>
      <c r="L1747">
        <v>0</v>
      </c>
      <c r="M1747">
        <v>1.3692211744617607E-3</v>
      </c>
      <c r="N1747">
        <v>0.13537123899673237</v>
      </c>
      <c r="O1747">
        <v>1.7792266634461176E-2</v>
      </c>
      <c r="P1747">
        <v>1.9751349428569268E-2</v>
      </c>
      <c r="Q1747">
        <v>2.147774489245829E-3</v>
      </c>
      <c r="R1747">
        <v>1.36058645148054E-3</v>
      </c>
      <c r="S1747">
        <v>0.15436835439655189</v>
      </c>
      <c r="T1747">
        <v>1.0718918135655047</v>
      </c>
      <c r="U1747">
        <v>2.3500550017930659E-2</v>
      </c>
      <c r="V1747">
        <v>0.2049601771978081</v>
      </c>
      <c r="W1747">
        <v>8.124896113531907E-2</v>
      </c>
      <c r="X1747">
        <v>1.5994746270711371E-2</v>
      </c>
      <c r="Y1747">
        <v>3.7030678037268416E-3</v>
      </c>
    </row>
    <row r="1748" spans="1:25" x14ac:dyDescent="0.25">
      <c r="A1748" s="827"/>
      <c r="B1748" s="1066">
        <v>1498</v>
      </c>
      <c r="C1748" s="831">
        <v>1.0205575250326602</v>
      </c>
      <c r="D1748" s="831">
        <v>1.0044197040692731</v>
      </c>
      <c r="E1748" s="831">
        <v>0.9994440599086718</v>
      </c>
      <c r="F1748" s="831">
        <v>0.98001036978085065</v>
      </c>
      <c r="G1748" s="831">
        <v>0.96580765904134935</v>
      </c>
      <c r="H1748" s="831">
        <v>0.98312526937642997</v>
      </c>
      <c r="I1748" s="831">
        <v>1.0174920549223316</v>
      </c>
      <c r="K1748">
        <v>1.7218662639928395</v>
      </c>
      <c r="L1748">
        <v>0</v>
      </c>
      <c r="M1748">
        <v>1.3336239504017284E-3</v>
      </c>
      <c r="N1748">
        <v>0.13409419592716454</v>
      </c>
      <c r="O1748">
        <v>1.7442023552071476E-2</v>
      </c>
      <c r="P1748">
        <v>1.9748916101554582E-2</v>
      </c>
      <c r="Q1748">
        <v>2.1139158162674122E-3</v>
      </c>
      <c r="R1748">
        <v>1.3252671289145004E-3</v>
      </c>
      <c r="S1748">
        <v>0.15079432861938999</v>
      </c>
      <c r="T1748">
        <v>1.0714114118315994</v>
      </c>
      <c r="U1748">
        <v>2.2852732282344218E-2</v>
      </c>
      <c r="V1748">
        <v>0.2036132606559688</v>
      </c>
      <c r="W1748">
        <v>8.0184645186122935E-2</v>
      </c>
      <c r="X1748">
        <v>1.6012250591128794E-2</v>
      </c>
      <c r="Y1748">
        <v>3.6069402507136364E-3</v>
      </c>
    </row>
    <row r="1749" spans="1:25" x14ac:dyDescent="0.25">
      <c r="A1749" s="827"/>
      <c r="B1749" s="1066">
        <v>1499</v>
      </c>
      <c r="C1749" s="831">
        <v>1.0033435869178073</v>
      </c>
      <c r="D1749" s="831">
        <v>0.99823929431729119</v>
      </c>
      <c r="E1749" s="831">
        <v>0.96615838310629587</v>
      </c>
      <c r="F1749" s="831">
        <v>1.0070833295442341</v>
      </c>
      <c r="G1749" s="831">
        <v>0.99512038369478184</v>
      </c>
      <c r="H1749" s="831">
        <v>0.99095839625382143</v>
      </c>
      <c r="I1749" s="831">
        <v>0.98389054464317904</v>
      </c>
      <c r="K1749">
        <v>1.7258832877074384</v>
      </c>
      <c r="L1749">
        <v>0</v>
      </c>
      <c r="M1749">
        <v>1.4704189842661968E-3</v>
      </c>
      <c r="N1749">
        <v>0.13329374177491538</v>
      </c>
      <c r="O1749">
        <v>1.7790931598626519E-2</v>
      </c>
      <c r="P1749">
        <v>1.9312559966650218E-2</v>
      </c>
      <c r="Q1749">
        <v>2.0835295662658218E-3</v>
      </c>
      <c r="R1749">
        <v>1.4612823960474647E-3</v>
      </c>
      <c r="S1749">
        <v>0.1492482563402979</v>
      </c>
      <c r="T1749">
        <v>1.0743866776925441</v>
      </c>
      <c r="U1749">
        <v>2.3244806866158551E-2</v>
      </c>
      <c r="V1749">
        <v>0.20598263499534483</v>
      </c>
      <c r="W1749">
        <v>8.1564717236263615E-2</v>
      </c>
      <c r="X1749">
        <v>1.5007439288160349E-2</v>
      </c>
      <c r="Y1749">
        <v>3.9771289704288058E-3</v>
      </c>
    </row>
    <row r="1750" spans="1:25" x14ac:dyDescent="0.25">
      <c r="A1750" s="827"/>
      <c r="B1750" s="1066">
        <v>1500</v>
      </c>
      <c r="C1750" s="831">
        <v>0.98682244789167617</v>
      </c>
      <c r="D1750" s="831">
        <v>1.0061831207300174</v>
      </c>
      <c r="E1750" s="831">
        <v>0.98003285413019037</v>
      </c>
      <c r="F1750" s="831">
        <v>1.0076743307936771</v>
      </c>
      <c r="G1750" s="831">
        <v>1.0114030502315543</v>
      </c>
      <c r="H1750" s="831">
        <v>0.9592817542290748</v>
      </c>
      <c r="I1750" s="831">
        <v>1.0328131456468663</v>
      </c>
      <c r="K1750">
        <v>1.7321819482028427</v>
      </c>
      <c r="L1750">
        <v>0</v>
      </c>
      <c r="M1750">
        <v>1.400714604946601E-3</v>
      </c>
      <c r="N1750">
        <v>0.13255942041002622</v>
      </c>
      <c r="O1750">
        <v>1.8023971097151148E-2</v>
      </c>
      <c r="P1750">
        <v>1.9617414324542743E-2</v>
      </c>
      <c r="Q1750">
        <v>2.1423051946509041E-3</v>
      </c>
      <c r="R1750">
        <v>1.3917179314703429E-3</v>
      </c>
      <c r="S1750">
        <v>0.15639604059090051</v>
      </c>
      <c r="T1750">
        <v>1.0731414356458522</v>
      </c>
      <c r="U1750">
        <v>2.3633965713012735E-2</v>
      </c>
      <c r="V1750">
        <v>0.20704229555768289</v>
      </c>
      <c r="W1750">
        <v>8.0334427403752434E-2</v>
      </c>
      <c r="X1750">
        <v>1.5511871508978139E-2</v>
      </c>
      <c r="Y1750">
        <v>3.7877974297694638E-3</v>
      </c>
    </row>
    <row r="1751" spans="1:25" x14ac:dyDescent="0.25">
      <c r="A1751" s="827"/>
      <c r="B1751" s="1066">
        <v>1501</v>
      </c>
      <c r="C1751" s="831">
        <v>1.0351253831681995</v>
      </c>
      <c r="D1751" s="831">
        <v>1.0116581487291911</v>
      </c>
      <c r="E1751" s="831">
        <v>1.0121527906266052</v>
      </c>
      <c r="F1751" s="831">
        <v>0.98069208492834214</v>
      </c>
      <c r="G1751" s="831">
        <v>0.97074350350338434</v>
      </c>
      <c r="H1751" s="831">
        <v>0.96894270823789697</v>
      </c>
      <c r="I1751" s="831">
        <v>1.0178920695048921</v>
      </c>
      <c r="K1751">
        <v>1.7097996745400177</v>
      </c>
      <c r="L1751">
        <v>0</v>
      </c>
      <c r="M1751">
        <v>1.2575456126883214E-3</v>
      </c>
      <c r="N1751">
        <v>0.13152930273741104</v>
      </c>
      <c r="O1751">
        <v>1.7140762244251668E-2</v>
      </c>
      <c r="P1751">
        <v>1.9838930611466795E-2</v>
      </c>
      <c r="Q1751">
        <v>2.1052596841513688E-3</v>
      </c>
      <c r="R1751">
        <v>1.2495455161503953E-3</v>
      </c>
      <c r="S1751">
        <v>0.14729263810852847</v>
      </c>
      <c r="T1751">
        <v>1.0702864449000866</v>
      </c>
      <c r="U1751">
        <v>2.2531113889720424E-2</v>
      </c>
      <c r="V1751">
        <v>0.20150186005729953</v>
      </c>
      <c r="W1751">
        <v>7.7972673693523259E-2</v>
      </c>
      <c r="X1751">
        <v>1.6207837727721875E-2</v>
      </c>
      <c r="Y1751">
        <v>3.4008509823926811E-3</v>
      </c>
    </row>
    <row r="1752" spans="1:25" x14ac:dyDescent="0.25">
      <c r="A1752" s="827"/>
      <c r="B1752" s="1066">
        <v>1502</v>
      </c>
      <c r="C1752" s="831">
        <v>1.0247907878654221</v>
      </c>
      <c r="D1752" s="831">
        <v>1.0109930683127379</v>
      </c>
      <c r="E1752" s="831">
        <v>1.0253319587135237</v>
      </c>
      <c r="F1752" s="831">
        <v>1.0223710982906447</v>
      </c>
      <c r="G1752" s="831">
        <v>1.0029049223898638</v>
      </c>
      <c r="H1752" s="831">
        <v>1.0040801154400867</v>
      </c>
      <c r="I1752" s="831">
        <v>1.0234883137207822</v>
      </c>
      <c r="K1752">
        <v>1.7282669685823104</v>
      </c>
      <c r="L1752">
        <v>0</v>
      </c>
      <c r="M1752">
        <v>1.2805386836911058E-3</v>
      </c>
      <c r="N1752">
        <v>0.13956325937153094</v>
      </c>
      <c r="O1752">
        <v>1.7318771202834156E-2</v>
      </c>
      <c r="P1752">
        <v>2.0101529138668431E-2</v>
      </c>
      <c r="Q1752">
        <v>2.1550801540900651E-3</v>
      </c>
      <c r="R1752">
        <v>1.2726778105517941E-3</v>
      </c>
      <c r="S1752">
        <v>0.15214349935278557</v>
      </c>
      <c r="T1752">
        <v>1.0691262889080622</v>
      </c>
      <c r="U1752">
        <v>2.2758330943706662E-2</v>
      </c>
      <c r="V1752">
        <v>0.20260052526125494</v>
      </c>
      <c r="W1752">
        <v>8.2002186249765643E-2</v>
      </c>
      <c r="X1752">
        <v>1.7041549410557411E-2</v>
      </c>
      <c r="Y1752">
        <v>3.4638094621944888E-3</v>
      </c>
    </row>
    <row r="1753" spans="1:25" x14ac:dyDescent="0.25">
      <c r="A1753" s="827"/>
      <c r="B1753" s="1066">
        <v>1503</v>
      </c>
      <c r="C1753" s="831">
        <v>1.0126260645712182</v>
      </c>
      <c r="D1753" s="831">
        <v>0.98356787041556115</v>
      </c>
      <c r="E1753" s="831">
        <v>1.0211942342101732</v>
      </c>
      <c r="F1753" s="831">
        <v>1.0001363242898207</v>
      </c>
      <c r="G1753" s="831">
        <v>0.97633236577876037</v>
      </c>
      <c r="H1753" s="831">
        <v>1.0037024657878051</v>
      </c>
      <c r="I1753" s="831">
        <v>1.0013927621695706</v>
      </c>
      <c r="K1753">
        <v>1.7382495468417545</v>
      </c>
      <c r="L1753">
        <v>0</v>
      </c>
      <c r="M1753">
        <v>1.3231805394617632E-3</v>
      </c>
      <c r="N1753">
        <v>0.14237098503352683</v>
      </c>
      <c r="O1753">
        <v>1.774659884072588E-2</v>
      </c>
      <c r="P1753">
        <v>2.0104621238100633E-2</v>
      </c>
      <c r="Q1753">
        <v>2.1943084809839426E-3</v>
      </c>
      <c r="R1753">
        <v>1.3150730561580224E-3</v>
      </c>
      <c r="S1753">
        <v>0.15235095352487588</v>
      </c>
      <c r="T1753">
        <v>1.0694898223098523</v>
      </c>
      <c r="U1753">
        <v>2.3031727815715233E-2</v>
      </c>
      <c r="V1753">
        <v>0.20635870907514414</v>
      </c>
      <c r="W1753">
        <v>8.3885258158118869E-2</v>
      </c>
      <c r="X1753">
        <v>1.7145474502867599E-2</v>
      </c>
      <c r="Y1753">
        <v>3.5791953451456849E-3</v>
      </c>
    </row>
    <row r="1754" spans="1:25" x14ac:dyDescent="0.25">
      <c r="A1754" s="827"/>
      <c r="B1754" s="1066">
        <v>1504</v>
      </c>
      <c r="C1754" s="831">
        <v>1.0167564102140183</v>
      </c>
      <c r="D1754" s="831">
        <v>1.0261109558827306</v>
      </c>
      <c r="E1754" s="831">
        <v>0.97259737399142709</v>
      </c>
      <c r="F1754" s="831">
        <v>1.0089783210729759</v>
      </c>
      <c r="G1754" s="831">
        <v>0.98050773906920008</v>
      </c>
      <c r="H1754" s="831">
        <v>0.96304911128718551</v>
      </c>
      <c r="I1754" s="831">
        <v>1.0255030824695219</v>
      </c>
      <c r="K1754">
        <v>1.710403003724118</v>
      </c>
      <c r="L1754">
        <v>0</v>
      </c>
      <c r="M1754">
        <v>1.3740502396283156E-3</v>
      </c>
      <c r="N1754">
        <v>0.12705918958773688</v>
      </c>
      <c r="O1754">
        <v>1.7338909575801892E-2</v>
      </c>
      <c r="P1754">
        <v>1.9351464310281865E-2</v>
      </c>
      <c r="Q1754">
        <v>2.0485946644222975E-3</v>
      </c>
      <c r="R1754">
        <v>1.3652454157242612E-3</v>
      </c>
      <c r="S1754">
        <v>0.14976915418646727</v>
      </c>
      <c r="T1754">
        <v>1.0738078765940582</v>
      </c>
      <c r="U1754">
        <v>2.2938166569703738E-2</v>
      </c>
      <c r="V1754">
        <v>0.20210140887008102</v>
      </c>
      <c r="W1754">
        <v>7.7400488237650847E-2</v>
      </c>
      <c r="X1754">
        <v>1.4880807983246031E-2</v>
      </c>
      <c r="Y1754">
        <v>3.7157479685710993E-3</v>
      </c>
    </row>
    <row r="1755" spans="1:25" x14ac:dyDescent="0.25">
      <c r="A1755" s="827"/>
      <c r="B1755" s="1066">
        <v>1505</v>
      </c>
      <c r="C1755" s="831">
        <v>0.96576052255330158</v>
      </c>
      <c r="D1755" s="831">
        <v>1.0106179745853276</v>
      </c>
      <c r="E1755" s="831">
        <v>0.97765103412686294</v>
      </c>
      <c r="F1755" s="831">
        <v>1.0383170841733182</v>
      </c>
      <c r="G1755" s="831">
        <v>0.99514774709861531</v>
      </c>
      <c r="H1755" s="831">
        <v>1.0081144181193111</v>
      </c>
      <c r="I1755" s="831">
        <v>0.98939042209931827</v>
      </c>
      <c r="K1755">
        <v>1.7508079299334562</v>
      </c>
      <c r="L1755">
        <v>0</v>
      </c>
      <c r="M1755">
        <v>1.5086576250864109E-3</v>
      </c>
      <c r="N1755">
        <v>0.14176317465234686</v>
      </c>
      <c r="O1755">
        <v>1.838043334389463E-2</v>
      </c>
      <c r="P1755">
        <v>1.9617708348802752E-2</v>
      </c>
      <c r="Q1755">
        <v>2.1801703317462897E-3</v>
      </c>
      <c r="R1755">
        <v>1.4994337319426017E-3</v>
      </c>
      <c r="S1755">
        <v>0.15638374799222782</v>
      </c>
      <c r="T1755">
        <v>1.0733546918572252</v>
      </c>
      <c r="U1755">
        <v>2.4149390406477279E-2</v>
      </c>
      <c r="V1755">
        <v>0.2089941834226936</v>
      </c>
      <c r="W1755">
        <v>8.6054361821353786E-2</v>
      </c>
      <c r="X1755">
        <v>1.5858327319679868E-2</v>
      </c>
      <c r="Y1755">
        <v>4.0809643301508705E-3</v>
      </c>
    </row>
    <row r="1756" spans="1:25" x14ac:dyDescent="0.25">
      <c r="A1756" s="827"/>
      <c r="B1756" s="1066">
        <v>1506</v>
      </c>
      <c r="C1756" s="831">
        <v>0.99950572090859691</v>
      </c>
      <c r="D1756" s="831">
        <v>1.0267124781240793</v>
      </c>
      <c r="E1756" s="831">
        <v>1.0181857351567525</v>
      </c>
      <c r="F1756" s="831">
        <v>0.98696082505236926</v>
      </c>
      <c r="G1756" s="831">
        <v>1.0085627777835859</v>
      </c>
      <c r="H1756" s="831">
        <v>0.98981099025625408</v>
      </c>
      <c r="I1756" s="831">
        <v>1.0092932714260776</v>
      </c>
      <c r="K1756">
        <v>1.7301678447948807</v>
      </c>
      <c r="L1756">
        <v>0</v>
      </c>
      <c r="M1756">
        <v>1.3048451034938945E-3</v>
      </c>
      <c r="N1756">
        <v>0.13907699547298147</v>
      </c>
      <c r="O1756">
        <v>1.7633498380950106E-2</v>
      </c>
      <c r="P1756">
        <v>2.0025988832258302E-2</v>
      </c>
      <c r="Q1756">
        <v>2.181455080859534E-3</v>
      </c>
      <c r="R1756">
        <v>1.296709427684103E-3</v>
      </c>
      <c r="S1756">
        <v>0.15182652616794168</v>
      </c>
      <c r="T1756">
        <v>1.0697545512173519</v>
      </c>
      <c r="U1756">
        <v>2.3334061436988983E-2</v>
      </c>
      <c r="V1756">
        <v>0.20383470117914299</v>
      </c>
      <c r="W1756">
        <v>8.2110990963165056E-2</v>
      </c>
      <c r="X1756">
        <v>1.6867996137041655E-2</v>
      </c>
      <c r="Y1756">
        <v>3.5292156020081747E-3</v>
      </c>
    </row>
    <row r="1757" spans="1:25" x14ac:dyDescent="0.25">
      <c r="A1757" s="827"/>
      <c r="B1757" s="1066">
        <v>1507</v>
      </c>
      <c r="C1757" s="831">
        <v>0.97844593812351233</v>
      </c>
      <c r="D1757" s="831">
        <v>0.9740038640276063</v>
      </c>
      <c r="E1757" s="831">
        <v>1.0007843219325587</v>
      </c>
      <c r="F1757" s="831">
        <v>1.0159001254661131</v>
      </c>
      <c r="G1757" s="831">
        <v>1.0004723305253398</v>
      </c>
      <c r="H1757" s="831">
        <v>1.0013190429564853</v>
      </c>
      <c r="I1757" s="831">
        <v>1.0141403381181537</v>
      </c>
      <c r="K1757">
        <v>1.7587721477261054</v>
      </c>
      <c r="L1757">
        <v>0</v>
      </c>
      <c r="M1757">
        <v>1.4325904359341894E-3</v>
      </c>
      <c r="N1757">
        <v>0.14466585156293699</v>
      </c>
      <c r="O1757">
        <v>1.8448221567834631E-2</v>
      </c>
      <c r="P1757">
        <v>2.0009942399579622E-2</v>
      </c>
      <c r="Q1757">
        <v>2.2332084590806415E-3</v>
      </c>
      <c r="R1757">
        <v>1.423798756645629E-3</v>
      </c>
      <c r="S1757">
        <v>0.16015156042743128</v>
      </c>
      <c r="T1757">
        <v>1.0712924851027459</v>
      </c>
      <c r="U1757">
        <v>2.383629691695761E-2</v>
      </c>
      <c r="V1757">
        <v>0.21105874976160297</v>
      </c>
      <c r="W1757">
        <v>8.6426915933922849E-2</v>
      </c>
      <c r="X1757">
        <v>1.6782596412845626E-2</v>
      </c>
      <c r="Y1757">
        <v>3.8751108604554172E-3</v>
      </c>
    </row>
    <row r="1758" spans="1:25" x14ac:dyDescent="0.25">
      <c r="A1758" s="827"/>
      <c r="B1758" s="1066">
        <v>1508</v>
      </c>
      <c r="C1758" s="831">
        <v>1.0122072245545972</v>
      </c>
      <c r="D1758" s="831">
        <v>1.0338118369258067</v>
      </c>
      <c r="E1758" s="831">
        <v>1.0305000153681718</v>
      </c>
      <c r="F1758" s="831">
        <v>1.0241375264753003</v>
      </c>
      <c r="G1758" s="831">
        <v>1.0222560628229185</v>
      </c>
      <c r="H1758" s="831">
        <v>1.0207986151068822</v>
      </c>
      <c r="I1758" s="831">
        <v>0.98748987097498375</v>
      </c>
      <c r="K1758">
        <v>1.7291604621148022</v>
      </c>
      <c r="L1758">
        <v>0</v>
      </c>
      <c r="M1758">
        <v>1.2906513806064349E-3</v>
      </c>
      <c r="N1758">
        <v>0.14295353101940256</v>
      </c>
      <c r="O1758">
        <v>1.7358152393192744E-2</v>
      </c>
      <c r="P1758">
        <v>2.0113003235853289E-2</v>
      </c>
      <c r="Q1758">
        <v>2.1749875627477809E-3</v>
      </c>
      <c r="R1758">
        <v>1.2828441719310094E-3</v>
      </c>
      <c r="S1758">
        <v>0.14840310996759448</v>
      </c>
      <c r="T1758">
        <v>1.0686731440202502</v>
      </c>
      <c r="U1758">
        <v>2.3041258086816997E-2</v>
      </c>
      <c r="V1758">
        <v>0.20190392479967167</v>
      </c>
      <c r="W1758">
        <v>8.3703379824703106E-2</v>
      </c>
      <c r="X1758">
        <v>1.7352299466715272E-2</v>
      </c>
      <c r="Y1758">
        <v>3.4914789465285848E-3</v>
      </c>
    </row>
    <row r="1759" spans="1:25" x14ac:dyDescent="0.25">
      <c r="A1759" s="827"/>
      <c r="B1759" s="1066">
        <v>1509</v>
      </c>
      <c r="C1759" s="831">
        <v>1.0110098491866235</v>
      </c>
      <c r="D1759" s="831">
        <v>0.97909265801618262</v>
      </c>
      <c r="E1759" s="831">
        <v>1.0026391289323149</v>
      </c>
      <c r="F1759" s="831">
        <v>1.0133314080387699</v>
      </c>
      <c r="G1759" s="831">
        <v>0.98347125319004169</v>
      </c>
      <c r="H1759" s="831">
        <v>1.0290134706745955</v>
      </c>
      <c r="I1759" s="831">
        <v>0.97785465753912482</v>
      </c>
      <c r="K1759">
        <v>1.742107201197183</v>
      </c>
      <c r="L1759">
        <v>0</v>
      </c>
      <c r="M1759">
        <v>1.4158863592744402E-3</v>
      </c>
      <c r="N1759">
        <v>0.14382990947362245</v>
      </c>
      <c r="O1759">
        <v>1.7811806249184603E-2</v>
      </c>
      <c r="P1759">
        <v>1.9844431489049245E-2</v>
      </c>
      <c r="Q1759">
        <v>2.1611231879637019E-3</v>
      </c>
      <c r="R1759">
        <v>1.4074274121005247E-3</v>
      </c>
      <c r="S1759">
        <v>0.15106507807487524</v>
      </c>
      <c r="T1759">
        <v>1.071128012632022</v>
      </c>
      <c r="U1759">
        <v>2.3068546678419195E-2</v>
      </c>
      <c r="V1759">
        <v>0.20695012356346582</v>
      </c>
      <c r="W1759">
        <v>8.5818649333395461E-2</v>
      </c>
      <c r="X1759">
        <v>1.6607426004943245E-2</v>
      </c>
      <c r="Y1759">
        <v>3.8305534574159202E-3</v>
      </c>
    </row>
    <row r="1760" spans="1:25" x14ac:dyDescent="0.25">
      <c r="A1760" s="827"/>
      <c r="B1760" s="1066">
        <v>1510</v>
      </c>
      <c r="C1760" s="831">
        <v>0.98386957036301337</v>
      </c>
      <c r="D1760" s="831">
        <v>0.97046978383117766</v>
      </c>
      <c r="E1760" s="831">
        <v>0.98237808673690319</v>
      </c>
      <c r="F1760" s="831">
        <v>1.0107979989177649</v>
      </c>
      <c r="G1760" s="831">
        <v>0.9983483908764631</v>
      </c>
      <c r="H1760" s="831">
        <v>1.0084967914117253</v>
      </c>
      <c r="I1760" s="831">
        <v>1.0107884513460097</v>
      </c>
      <c r="K1760">
        <v>1.7560108270120593</v>
      </c>
      <c r="L1760">
        <v>0</v>
      </c>
      <c r="M1760">
        <v>1.4940055124822648E-3</v>
      </c>
      <c r="N1760">
        <v>0.14247254196266759</v>
      </c>
      <c r="O1760">
        <v>1.8376858710376715E-2</v>
      </c>
      <c r="P1760">
        <v>1.9742981759738182E-2</v>
      </c>
      <c r="Q1760">
        <v>2.1829406613915526E-3</v>
      </c>
      <c r="R1760">
        <v>1.4849049256719321E-3</v>
      </c>
      <c r="S1760">
        <v>0.15951946715235429</v>
      </c>
      <c r="T1760">
        <v>1.0729316635593684</v>
      </c>
      <c r="U1760">
        <v>2.3704898088979423E-2</v>
      </c>
      <c r="V1760">
        <v>0.2107853089090877</v>
      </c>
      <c r="W1760">
        <v>8.6201760282886633E-2</v>
      </c>
      <c r="X1760">
        <v>1.6060084803115195E-2</v>
      </c>
      <c r="Y1760">
        <v>4.0414217089018087E-3</v>
      </c>
    </row>
    <row r="1761" spans="1:25" x14ac:dyDescent="0.25">
      <c r="A1761" s="827"/>
      <c r="B1761" s="1066">
        <v>1511</v>
      </c>
      <c r="C1761" s="831">
        <v>1.0239127418041081</v>
      </c>
      <c r="D1761" s="831">
        <v>1.0131575096894483</v>
      </c>
      <c r="E1761" s="831">
        <v>1.0023058867817416</v>
      </c>
      <c r="F1761" s="831">
        <v>1.0246073766105441</v>
      </c>
      <c r="G1761" s="831">
        <v>0.97982898309103739</v>
      </c>
      <c r="H1761" s="831">
        <v>0.98239533643977128</v>
      </c>
      <c r="I1761" s="831">
        <v>1.0271985786379181</v>
      </c>
      <c r="K1761">
        <v>1.7194033400951465</v>
      </c>
      <c r="L1761">
        <v>0</v>
      </c>
      <c r="M1761">
        <v>1.3151258114245982E-3</v>
      </c>
      <c r="N1761">
        <v>0.13341553707564663</v>
      </c>
      <c r="O1761">
        <v>1.7316863137693629E-2</v>
      </c>
      <c r="P1761">
        <v>1.9776091175282649E-2</v>
      </c>
      <c r="Q1761">
        <v>2.1062779529306274E-3</v>
      </c>
      <c r="R1761">
        <v>1.3068729862483082E-3</v>
      </c>
      <c r="S1761">
        <v>0.15113804488887844</v>
      </c>
      <c r="T1761">
        <v>1.0711575528507267</v>
      </c>
      <c r="U1761">
        <v>2.2777847121239512E-2</v>
      </c>
      <c r="V1761">
        <v>0.20249969386632327</v>
      </c>
      <c r="W1761">
        <v>7.9622852641166558E-2</v>
      </c>
      <c r="X1761">
        <v>1.6043954752431918E-2</v>
      </c>
      <c r="Y1761">
        <v>3.5568774580037616E-3</v>
      </c>
    </row>
    <row r="1762" spans="1:25" x14ac:dyDescent="0.25">
      <c r="A1762" s="827"/>
      <c r="B1762" s="1066">
        <v>1512</v>
      </c>
      <c r="C1762" s="831">
        <v>1.0066080367391619</v>
      </c>
      <c r="D1762" s="831">
        <v>1.0096272654760483</v>
      </c>
      <c r="E1762" s="831">
        <v>0.98797981846305016</v>
      </c>
      <c r="F1762" s="831">
        <v>1.0277980898651127</v>
      </c>
      <c r="G1762" s="831">
        <v>0.9909745963075165</v>
      </c>
      <c r="H1762" s="831">
        <v>1.00789021244502</v>
      </c>
      <c r="I1762" s="831">
        <v>1.0417356628667556</v>
      </c>
      <c r="K1762">
        <v>1.7377069313735622</v>
      </c>
      <c r="L1762">
        <v>0</v>
      </c>
      <c r="M1762">
        <v>1.4166886244283664E-3</v>
      </c>
      <c r="N1762">
        <v>0.13747387290695343</v>
      </c>
      <c r="O1762">
        <v>1.7642393821906844E-2</v>
      </c>
      <c r="P1762">
        <v>1.970891762525517E-2</v>
      </c>
      <c r="Q1762">
        <v>2.1145094366141867E-3</v>
      </c>
      <c r="R1762">
        <v>1.4080257890691041E-3</v>
      </c>
      <c r="S1762">
        <v>0.15802347681171003</v>
      </c>
      <c r="T1762">
        <v>1.0724314471175684</v>
      </c>
      <c r="U1762">
        <v>2.3169423496612388E-2</v>
      </c>
      <c r="V1762">
        <v>0.20460055546292336</v>
      </c>
      <c r="W1762">
        <v>8.2855845503283732E-2</v>
      </c>
      <c r="X1762">
        <v>1.5862969983823638E-2</v>
      </c>
      <c r="Y1762">
        <v>3.8321820422694791E-3</v>
      </c>
    </row>
    <row r="1763" spans="1:25" x14ac:dyDescent="0.25">
      <c r="A1763" s="827"/>
      <c r="B1763" s="1066">
        <v>1513</v>
      </c>
      <c r="C1763" s="831">
        <v>1.0110012385694342</v>
      </c>
      <c r="D1763" s="831">
        <v>1.01143025084136</v>
      </c>
      <c r="E1763" s="831">
        <v>0.99454626385862721</v>
      </c>
      <c r="F1763" s="831">
        <v>1.0248148442381431</v>
      </c>
      <c r="G1763" s="831">
        <v>1.0029428708129504</v>
      </c>
      <c r="H1763" s="831">
        <v>0.97155485240576489</v>
      </c>
      <c r="I1763" s="831">
        <v>1.037558008851738</v>
      </c>
      <c r="K1763">
        <v>1.7239712645685366</v>
      </c>
      <c r="L1763">
        <v>0</v>
      </c>
      <c r="M1763">
        <v>1.3399530322109944E-3</v>
      </c>
      <c r="N1763">
        <v>0.13268227727755361</v>
      </c>
      <c r="O1763">
        <v>1.7551557548044973E-2</v>
      </c>
      <c r="P1763">
        <v>1.9733048512118594E-2</v>
      </c>
      <c r="Q1763">
        <v>2.1179290020130288E-3</v>
      </c>
      <c r="R1763">
        <v>1.3314517602830609E-3</v>
      </c>
      <c r="S1763">
        <v>0.1539267144079757</v>
      </c>
      <c r="T1763">
        <v>1.071846588947162</v>
      </c>
      <c r="U1763">
        <v>2.3068743151397647E-2</v>
      </c>
      <c r="V1763">
        <v>0.20397811618985065</v>
      </c>
      <c r="W1763">
        <v>7.9607254577951231E-2</v>
      </c>
      <c r="X1763">
        <v>1.5843763447861623E-2</v>
      </c>
      <c r="Y1763">
        <v>3.6237727785356764E-3</v>
      </c>
    </row>
    <row r="1764" spans="1:25" x14ac:dyDescent="0.25">
      <c r="A1764" s="827"/>
      <c r="B1764" s="1066">
        <v>1514</v>
      </c>
      <c r="C1764" s="831">
        <v>0.99361864369058328</v>
      </c>
      <c r="D1764" s="831">
        <v>1.0264676622678397</v>
      </c>
      <c r="E1764" s="831">
        <v>1.0212778958564206</v>
      </c>
      <c r="F1764" s="831">
        <v>1.0312729110741632</v>
      </c>
      <c r="G1764" s="831">
        <v>1.0226134344068778</v>
      </c>
      <c r="H1764" s="831">
        <v>1.0334558593159517</v>
      </c>
      <c r="I1764" s="831">
        <v>1.0181564092700257</v>
      </c>
      <c r="K1764">
        <v>1.7487481167929049</v>
      </c>
      <c r="L1764">
        <v>0</v>
      </c>
      <c r="M1764">
        <v>1.3616775957087917E-3</v>
      </c>
      <c r="N1764">
        <v>0.14657421589100583</v>
      </c>
      <c r="O1764">
        <v>1.7739885126146965E-2</v>
      </c>
      <c r="P1764">
        <v>2.0153858015676041E-2</v>
      </c>
      <c r="Q1764">
        <v>2.2013315864230138E-3</v>
      </c>
      <c r="R1764">
        <v>1.3535462769633981E-3</v>
      </c>
      <c r="S1764">
        <v>0.1572552813137128</v>
      </c>
      <c r="T1764">
        <v>1.0694824655137327</v>
      </c>
      <c r="U1764">
        <v>2.347231309154656E-2</v>
      </c>
      <c r="V1764">
        <v>0.20448372969022011</v>
      </c>
      <c r="W1764">
        <v>8.6356938793591034E-2</v>
      </c>
      <c r="X1764">
        <v>1.7352322320109005E-2</v>
      </c>
      <c r="Y1764">
        <v>3.6839067694840878E-3</v>
      </c>
    </row>
    <row r="1765" spans="1:25" x14ac:dyDescent="0.25">
      <c r="A1765" s="827"/>
      <c r="B1765" s="1066">
        <v>1515</v>
      </c>
      <c r="C1765" s="831">
        <v>0.97828369119212133</v>
      </c>
      <c r="D1765" s="831">
        <v>0.97689216692352632</v>
      </c>
      <c r="E1765" s="831">
        <v>0.99424684464700885</v>
      </c>
      <c r="F1765" s="831">
        <v>0.98492609204584625</v>
      </c>
      <c r="G1765" s="831">
        <v>1.0018706008414522</v>
      </c>
      <c r="H1765" s="831">
        <v>1.0052728496759207</v>
      </c>
      <c r="I1765" s="831">
        <v>0.99441529104521453</v>
      </c>
      <c r="K1765">
        <v>1.7552411607122371</v>
      </c>
      <c r="L1765">
        <v>0</v>
      </c>
      <c r="M1765">
        <v>1.45646091941441E-3</v>
      </c>
      <c r="N1765">
        <v>0.14411794069160491</v>
      </c>
      <c r="O1765">
        <v>1.8426477589556071E-2</v>
      </c>
      <c r="P1765">
        <v>1.987600026655174E-2</v>
      </c>
      <c r="Q1765">
        <v>2.2164914893019793E-3</v>
      </c>
      <c r="R1765">
        <v>1.4475557270865692E-3</v>
      </c>
      <c r="S1765">
        <v>0.15716070432476023</v>
      </c>
      <c r="T1765">
        <v>1.0718732221726575</v>
      </c>
      <c r="U1765">
        <v>2.3840250132231795E-2</v>
      </c>
      <c r="V1765">
        <v>0.21079146291061465</v>
      </c>
      <c r="W1765">
        <v>8.6486257164928512E-2</v>
      </c>
      <c r="X1765">
        <v>1.6521489659844287E-2</v>
      </c>
      <c r="Y1765">
        <v>3.9397695025124536E-3</v>
      </c>
    </row>
    <row r="1766" spans="1:25" x14ac:dyDescent="0.25">
      <c r="A1766" s="827"/>
      <c r="B1766" s="1066">
        <v>1516</v>
      </c>
      <c r="C1766" s="831">
        <v>0.99717726845242149</v>
      </c>
      <c r="D1766" s="831">
        <v>1.042561783009095</v>
      </c>
      <c r="E1766" s="831">
        <v>1.0221212023410144</v>
      </c>
      <c r="F1766" s="831">
        <v>0.95866768722046192</v>
      </c>
      <c r="G1766" s="831">
        <v>0.9973007510330002</v>
      </c>
      <c r="H1766" s="831">
        <v>1.0204783620542215</v>
      </c>
      <c r="I1766" s="831">
        <v>0.99415712573381088</v>
      </c>
      <c r="K1766">
        <v>1.7348579246536355</v>
      </c>
      <c r="L1766">
        <v>0</v>
      </c>
      <c r="M1766">
        <v>1.3280508878807671E-3</v>
      </c>
      <c r="N1766">
        <v>0.14331746849664495</v>
      </c>
      <c r="O1766">
        <v>1.7552938747637192E-2</v>
      </c>
      <c r="P1766">
        <v>2.0054278954493427E-2</v>
      </c>
      <c r="Q1766">
        <v>2.1826907111978772E-3</v>
      </c>
      <c r="R1766">
        <v>1.3200095163986754E-3</v>
      </c>
      <c r="S1766">
        <v>0.15110664197814466</v>
      </c>
      <c r="T1766">
        <v>1.0694083240749008</v>
      </c>
      <c r="U1766">
        <v>2.3388547489152894E-2</v>
      </c>
      <c r="V1766">
        <v>0.20271493671337845</v>
      </c>
      <c r="W1766">
        <v>8.4390186388743418E-2</v>
      </c>
      <c r="X1766">
        <v>1.7157321708203995E-2</v>
      </c>
      <c r="Y1766">
        <v>3.5926307626170601E-3</v>
      </c>
    </row>
    <row r="1767" spans="1:25" x14ac:dyDescent="0.25">
      <c r="A1767" s="827"/>
      <c r="B1767" s="1066">
        <v>1517</v>
      </c>
      <c r="C1767" s="831">
        <v>1.0077460451466029</v>
      </c>
      <c r="D1767" s="831">
        <v>0.99107501029767864</v>
      </c>
      <c r="E1767" s="831">
        <v>1.0040207093553311</v>
      </c>
      <c r="F1767" s="831">
        <v>1.006594287225012</v>
      </c>
      <c r="G1767" s="831">
        <v>0.97567631385981157</v>
      </c>
      <c r="H1767" s="831">
        <v>0.99451742651009145</v>
      </c>
      <c r="I1767" s="831">
        <v>0.99088148681083854</v>
      </c>
      <c r="K1767">
        <v>1.7321877388029006</v>
      </c>
      <c r="L1767">
        <v>0</v>
      </c>
      <c r="M1767">
        <v>1.3613359721444884E-3</v>
      </c>
      <c r="N1767">
        <v>0.13885423451092216</v>
      </c>
      <c r="O1767">
        <v>1.7771132238635613E-2</v>
      </c>
      <c r="P1767">
        <v>1.9843847796357478E-2</v>
      </c>
      <c r="Q1767">
        <v>2.1613504071834552E-3</v>
      </c>
      <c r="R1767">
        <v>1.352912411131797E-3</v>
      </c>
      <c r="S1767">
        <v>0.15035260839612433</v>
      </c>
      <c r="T1767">
        <v>1.0710055873043482</v>
      </c>
      <c r="U1767">
        <v>2.3143259167948717E-2</v>
      </c>
      <c r="V1767">
        <v>0.20617652144085682</v>
      </c>
      <c r="W1767">
        <v>8.2771723104923589E-2</v>
      </c>
      <c r="X1767">
        <v>1.6433716400967715E-2</v>
      </c>
      <c r="Y1767">
        <v>3.6821815956442844E-3</v>
      </c>
    </row>
    <row r="1768" spans="1:25" x14ac:dyDescent="0.25">
      <c r="A1768" s="827"/>
      <c r="B1768" s="1066">
        <v>1518</v>
      </c>
      <c r="C1768" s="831">
        <v>1.0249537192685041</v>
      </c>
      <c r="D1768" s="831">
        <v>1.017883040354407</v>
      </c>
      <c r="E1768" s="831">
        <v>1.0173073165219493</v>
      </c>
      <c r="F1768" s="831">
        <v>0.99815775261145445</v>
      </c>
      <c r="G1768" s="831">
        <v>0.9889109473902703</v>
      </c>
      <c r="H1768" s="831">
        <v>1.0062014540229234</v>
      </c>
      <c r="I1768" s="831">
        <v>0.99387466085109033</v>
      </c>
      <c r="K1768">
        <v>1.721536371347137</v>
      </c>
      <c r="L1768">
        <v>0</v>
      </c>
      <c r="M1768">
        <v>1.3009811997225858E-3</v>
      </c>
      <c r="N1768">
        <v>0.1383019488330573</v>
      </c>
      <c r="O1768">
        <v>1.7262916539232648E-2</v>
      </c>
      <c r="P1768">
        <v>1.9919956677189481E-2</v>
      </c>
      <c r="Q1768">
        <v>2.1322510836164544E-3</v>
      </c>
      <c r="R1768">
        <v>1.293007295579122E-3</v>
      </c>
      <c r="S1768">
        <v>0.14744906548026782</v>
      </c>
      <c r="T1768">
        <v>1.0698319111664236</v>
      </c>
      <c r="U1768">
        <v>2.2754713173730592E-2</v>
      </c>
      <c r="V1768">
        <v>0.20197836581118186</v>
      </c>
      <c r="W1768">
        <v>8.1701893059105579E-2</v>
      </c>
      <c r="X1768">
        <v>1.669218380864753E-2</v>
      </c>
      <c r="Y1768">
        <v>3.5191396188259372E-3</v>
      </c>
    </row>
    <row r="1769" spans="1:25" x14ac:dyDescent="0.25">
      <c r="A1769" s="827"/>
      <c r="B1769" s="1066">
        <v>1519</v>
      </c>
      <c r="C1769" s="831">
        <v>1.012831428097239</v>
      </c>
      <c r="D1769" s="831">
        <v>1.0047962973216025</v>
      </c>
      <c r="E1769" s="831">
        <v>1.0033192222374849</v>
      </c>
      <c r="F1769" s="831">
        <v>1.0028197295527044</v>
      </c>
      <c r="G1769" s="831">
        <v>1.0191495861360649</v>
      </c>
      <c r="H1769" s="831">
        <v>1.0238325114718705</v>
      </c>
      <c r="I1769" s="831">
        <v>1.0092591175677315</v>
      </c>
      <c r="K1769">
        <v>1.7373813132835056</v>
      </c>
      <c r="L1769">
        <v>0</v>
      </c>
      <c r="M1769">
        <v>1.3878265228463589E-3</v>
      </c>
      <c r="N1769">
        <v>0.14127194108341129</v>
      </c>
      <c r="O1769">
        <v>1.757209267798528E-2</v>
      </c>
      <c r="P1769">
        <v>1.985257840099593E-2</v>
      </c>
      <c r="Q1769">
        <v>2.1380507173977786E-3</v>
      </c>
      <c r="R1769">
        <v>1.3794755687734409E-3</v>
      </c>
      <c r="S1769">
        <v>0.15359739011406973</v>
      </c>
      <c r="T1769">
        <v>1.0710677388387237</v>
      </c>
      <c r="U1769">
        <v>2.3027057861067911E-2</v>
      </c>
      <c r="V1769">
        <v>0.20438058820898636</v>
      </c>
      <c r="W1769">
        <v>8.4253257725512731E-2</v>
      </c>
      <c r="X1769">
        <v>1.6474490855225985E-2</v>
      </c>
      <c r="Y1769">
        <v>3.7544777542022753E-3</v>
      </c>
    </row>
    <row r="1770" spans="1:25" x14ac:dyDescent="0.25">
      <c r="A1770" s="827"/>
      <c r="B1770" s="1066">
        <v>1520</v>
      </c>
      <c r="C1770" s="831">
        <v>1.0163868964795673</v>
      </c>
      <c r="D1770" s="831">
        <v>1.0008498253050933</v>
      </c>
      <c r="E1770" s="831">
        <v>1.0158880160037871</v>
      </c>
      <c r="F1770" s="831">
        <v>0.98417424027196276</v>
      </c>
      <c r="G1770" s="831">
        <v>0.97886560122347821</v>
      </c>
      <c r="H1770" s="831">
        <v>1.0131906972871194</v>
      </c>
      <c r="I1770" s="831">
        <v>1.0097625235953565</v>
      </c>
      <c r="K1770">
        <v>1.734973887309408</v>
      </c>
      <c r="L1770">
        <v>0</v>
      </c>
      <c r="M1770">
        <v>1.3351692050428594E-3</v>
      </c>
      <c r="N1770">
        <v>0.1413189430465332</v>
      </c>
      <c r="O1770">
        <v>1.7541854555419522E-2</v>
      </c>
      <c r="P1770">
        <v>2.0008100082063197E-2</v>
      </c>
      <c r="Q1770">
        <v>2.1606674531744561E-3</v>
      </c>
      <c r="R1770">
        <v>1.3270533195026393E-3</v>
      </c>
      <c r="S1770">
        <v>0.15262832335025528</v>
      </c>
      <c r="T1770">
        <v>1.0699569668577746</v>
      </c>
      <c r="U1770">
        <v>2.2946505881849519E-2</v>
      </c>
      <c r="V1770">
        <v>0.2043699819006834</v>
      </c>
      <c r="W1770">
        <v>8.3564364326438531E-2</v>
      </c>
      <c r="X1770">
        <v>1.6874494068079247E-2</v>
      </c>
      <c r="Y1770">
        <v>3.6118016726769801E-3</v>
      </c>
    </row>
    <row r="1771" spans="1:25" x14ac:dyDescent="0.25">
      <c r="A1771" s="827"/>
      <c r="B1771" s="1066">
        <v>1521</v>
      </c>
      <c r="C1771" s="831">
        <v>0.98983828787327144</v>
      </c>
      <c r="D1771" s="831">
        <v>0.99143610341323807</v>
      </c>
      <c r="E1771" s="831">
        <v>0.97867530393894653</v>
      </c>
      <c r="F1771" s="831">
        <v>1.0076619471352841</v>
      </c>
      <c r="G1771" s="831">
        <v>1.0072752345232758</v>
      </c>
      <c r="H1771" s="831">
        <v>1.0189418183177523</v>
      </c>
      <c r="I1771" s="831">
        <v>0.97882262038341949</v>
      </c>
      <c r="K1771">
        <v>1.7442804500028213</v>
      </c>
      <c r="L1771">
        <v>0</v>
      </c>
      <c r="M1771">
        <v>1.4975003862633574E-3</v>
      </c>
      <c r="N1771">
        <v>0.14117518394834844</v>
      </c>
      <c r="O1771">
        <v>1.8089652204155374E-2</v>
      </c>
      <c r="P1771">
        <v>1.9565322872225496E-2</v>
      </c>
      <c r="Q1771">
        <v>2.1445473666915865E-3</v>
      </c>
      <c r="R1771">
        <v>1.4884561206503731E-3</v>
      </c>
      <c r="S1771">
        <v>0.15292757219454992</v>
      </c>
      <c r="T1771">
        <v>1.0732629577627086</v>
      </c>
      <c r="U1771">
        <v>2.356195772989653E-2</v>
      </c>
      <c r="V1771">
        <v>0.20808976014142011</v>
      </c>
      <c r="W1771">
        <v>8.5636469658919134E-2</v>
      </c>
      <c r="X1771">
        <v>1.5784983498535882E-2</v>
      </c>
      <c r="Y1771">
        <v>4.0510868909820145E-3</v>
      </c>
    </row>
    <row r="1772" spans="1:25" x14ac:dyDescent="0.25">
      <c r="A1772" s="827"/>
      <c r="B1772" s="1066">
        <v>1522</v>
      </c>
      <c r="C1772" s="831">
        <v>0.9847083469955995</v>
      </c>
      <c r="D1772" s="831">
        <v>1.0031191376052935</v>
      </c>
      <c r="E1772" s="831">
        <v>0.99423785867601122</v>
      </c>
      <c r="F1772" s="831">
        <v>1.0236602464427818</v>
      </c>
      <c r="G1772" s="831">
        <v>0.97925328079256457</v>
      </c>
      <c r="H1772" s="831">
        <v>0.99724365181456953</v>
      </c>
      <c r="I1772" s="831">
        <v>0.99738755671239721</v>
      </c>
      <c r="K1772">
        <v>1.7421244207599527</v>
      </c>
      <c r="L1772">
        <v>0</v>
      </c>
      <c r="M1772">
        <v>1.4183042300610728E-3</v>
      </c>
      <c r="N1772">
        <v>0.14032953978969728</v>
      </c>
      <c r="O1772">
        <v>1.8087623628615431E-2</v>
      </c>
      <c r="P1772">
        <v>1.9791038523299685E-2</v>
      </c>
      <c r="Q1772">
        <v>2.1804673244973241E-3</v>
      </c>
      <c r="R1772">
        <v>1.409543526911917E-3</v>
      </c>
      <c r="S1772">
        <v>0.15430358177492492</v>
      </c>
      <c r="T1772">
        <v>1.0718740215236138</v>
      </c>
      <c r="U1772">
        <v>2.3684706207133862E-2</v>
      </c>
      <c r="V1772">
        <v>0.20756107959605569</v>
      </c>
      <c r="W1772">
        <v>8.421332924623641E-2</v>
      </c>
      <c r="X1772">
        <v>1.6271481024669368E-2</v>
      </c>
      <c r="Y1772">
        <v>3.8363128243554703E-3</v>
      </c>
    </row>
    <row r="1773" spans="1:25" x14ac:dyDescent="0.25">
      <c r="A1773" s="827"/>
      <c r="B1773" s="1066">
        <v>1523</v>
      </c>
      <c r="C1773" s="831">
        <v>1.0240635044995881</v>
      </c>
      <c r="D1773" s="831">
        <v>0.95965840107102074</v>
      </c>
      <c r="E1773" s="831">
        <v>1.0267323759295395</v>
      </c>
      <c r="F1773" s="831">
        <v>0.97541109875550136</v>
      </c>
      <c r="G1773" s="831">
        <v>1.026050871592654</v>
      </c>
      <c r="H1773" s="831">
        <v>1.0083292361768499</v>
      </c>
      <c r="I1773" s="831">
        <v>0.99966413071898663</v>
      </c>
      <c r="K1773">
        <v>1.7407857267433342</v>
      </c>
      <c r="L1773">
        <v>0</v>
      </c>
      <c r="M1773">
        <v>1.3137335313091949E-3</v>
      </c>
      <c r="N1773">
        <v>0.14381259153743756</v>
      </c>
      <c r="O1773">
        <v>1.7745778363834157E-2</v>
      </c>
      <c r="P1773">
        <v>2.0189565831577393E-2</v>
      </c>
      <c r="Q1773">
        <v>2.2017797468403444E-3</v>
      </c>
      <c r="R1773">
        <v>1.3057371643363236E-3</v>
      </c>
      <c r="S1773">
        <v>0.15226958588944856</v>
      </c>
      <c r="T1773">
        <v>1.0690033976490352</v>
      </c>
      <c r="U1773">
        <v>2.2774493765110621E-2</v>
      </c>
      <c r="V1773">
        <v>0.20743035146772923</v>
      </c>
      <c r="W1773">
        <v>8.4419457779386323E-2</v>
      </c>
      <c r="X1773">
        <v>1.739293495472314E-2</v>
      </c>
      <c r="Y1773">
        <v>3.5537861251829306E-3</v>
      </c>
    </row>
    <row r="1774" spans="1:25" x14ac:dyDescent="0.25">
      <c r="A1774" s="827"/>
      <c r="B1774" s="1066">
        <v>1524</v>
      </c>
      <c r="C1774" s="831">
        <v>1.0184012573266754</v>
      </c>
      <c r="D1774" s="831">
        <v>0.98006887774561346</v>
      </c>
      <c r="E1774" s="831">
        <v>1.0318985735127784</v>
      </c>
      <c r="F1774" s="831">
        <v>1.0309515882492586</v>
      </c>
      <c r="G1774" s="831">
        <v>0.98723551353606998</v>
      </c>
      <c r="H1774" s="831">
        <v>1.0063753396160051</v>
      </c>
      <c r="I1774" s="831">
        <v>0.99563120647368519</v>
      </c>
      <c r="K1774">
        <v>1.7374224274468211</v>
      </c>
      <c r="L1774">
        <v>0</v>
      </c>
      <c r="M1774">
        <v>1.2917439369292993E-3</v>
      </c>
      <c r="N1774">
        <v>0.14368828812574347</v>
      </c>
      <c r="O1774">
        <v>1.767453099297063E-2</v>
      </c>
      <c r="P1774">
        <v>2.0224726908472563E-2</v>
      </c>
      <c r="Q1774">
        <v>2.2080420900415254E-3</v>
      </c>
      <c r="R1774">
        <v>1.2838524095275465E-3</v>
      </c>
      <c r="S1774">
        <v>0.15102823866075604</v>
      </c>
      <c r="T1774">
        <v>1.0685506900192088</v>
      </c>
      <c r="U1774">
        <v>2.2901118523287457E-2</v>
      </c>
      <c r="V1774">
        <v>0.20607557107448676</v>
      </c>
      <c r="W1774">
        <v>8.4054853779277267E-2</v>
      </c>
      <c r="X1774">
        <v>1.7530035763078287E-2</v>
      </c>
      <c r="Y1774">
        <v>3.4942230369009245E-3</v>
      </c>
    </row>
    <row r="1775" spans="1:25" x14ac:dyDescent="0.25">
      <c r="A1775" s="827"/>
      <c r="B1775" s="1066">
        <v>1525</v>
      </c>
      <c r="C1775" s="831">
        <v>1.0153487135472616</v>
      </c>
      <c r="D1775" s="831">
        <v>0.99187770529224994</v>
      </c>
      <c r="E1775" s="831">
        <v>0.99435298369600655</v>
      </c>
      <c r="F1775" s="831">
        <v>0.99481822159799449</v>
      </c>
      <c r="G1775" s="831">
        <v>0.99223441015946556</v>
      </c>
      <c r="H1775" s="831">
        <v>1.0172426849208576</v>
      </c>
      <c r="I1775" s="831">
        <v>0.97516816835164566</v>
      </c>
      <c r="K1775">
        <v>1.7311662538883497</v>
      </c>
      <c r="L1775">
        <v>0</v>
      </c>
      <c r="M1775">
        <v>1.4099219156099628E-3</v>
      </c>
      <c r="N1775">
        <v>0.1395680064650113</v>
      </c>
      <c r="O1775">
        <v>1.7631593049021881E-2</v>
      </c>
      <c r="P1775">
        <v>1.9671628078781291E-2</v>
      </c>
      <c r="Q1775">
        <v>2.1237739874332513E-3</v>
      </c>
      <c r="R1775">
        <v>1.4013920524626748E-3</v>
      </c>
      <c r="S1775">
        <v>0.1483835984016654</v>
      </c>
      <c r="T1775">
        <v>1.0718637807577476</v>
      </c>
      <c r="U1775">
        <v>2.2969968432640916E-2</v>
      </c>
      <c r="V1775">
        <v>0.20529392503271615</v>
      </c>
      <c r="W1775">
        <v>8.3749700714993977E-2</v>
      </c>
      <c r="X1775">
        <v>1.6104681633447585E-2</v>
      </c>
      <c r="Y1775">
        <v>3.8141271980374628E-3</v>
      </c>
    </row>
    <row r="1776" spans="1:25" x14ac:dyDescent="0.25">
      <c r="A1776" s="827"/>
      <c r="B1776" s="1066">
        <v>1526</v>
      </c>
      <c r="C1776" s="831">
        <v>1.0387691461237718</v>
      </c>
      <c r="D1776" s="831">
        <v>1.0213071744566606</v>
      </c>
      <c r="E1776" s="831">
        <v>0.99962745936818753</v>
      </c>
      <c r="F1776" s="831">
        <v>1.0104308425457449</v>
      </c>
      <c r="G1776" s="831">
        <v>1.0096310628449976</v>
      </c>
      <c r="H1776" s="831">
        <v>0.99241910229837793</v>
      </c>
      <c r="I1776" s="831">
        <v>1.0079505307202037</v>
      </c>
      <c r="K1776">
        <v>1.7095630350463407</v>
      </c>
      <c r="L1776">
        <v>0</v>
      </c>
      <c r="M1776">
        <v>1.3121966443454256E-3</v>
      </c>
      <c r="N1776">
        <v>0.1320216956616917</v>
      </c>
      <c r="O1776">
        <v>1.7007490559701341E-2</v>
      </c>
      <c r="P1776">
        <v>1.9640790710230699E-2</v>
      </c>
      <c r="Q1776">
        <v>2.0644325936458301E-3</v>
      </c>
      <c r="R1776">
        <v>1.3040400974472857E-3</v>
      </c>
      <c r="S1776">
        <v>0.146392419743614</v>
      </c>
      <c r="T1776">
        <v>1.0713951340711594</v>
      </c>
      <c r="U1776">
        <v>2.2452079930687766E-2</v>
      </c>
      <c r="V1776">
        <v>0.20030919020246601</v>
      </c>
      <c r="W1776">
        <v>7.8935437569379249E-2</v>
      </c>
      <c r="X1776">
        <v>1.5803353282112766E-2</v>
      </c>
      <c r="Y1776">
        <v>3.5491672685489194E-3</v>
      </c>
    </row>
    <row r="1777" spans="1:25" x14ac:dyDescent="0.25">
      <c r="A1777" s="827"/>
      <c r="B1777" s="1066">
        <v>1527</v>
      </c>
      <c r="C1777" s="831">
        <v>1.0193170495576631</v>
      </c>
      <c r="D1777" s="831">
        <v>1.0372619987287841</v>
      </c>
      <c r="E1777" s="831">
        <v>0.96833375523207688</v>
      </c>
      <c r="F1777" s="831">
        <v>0.99607907420519126</v>
      </c>
      <c r="G1777" s="831">
        <v>0.99843917524068415</v>
      </c>
      <c r="H1777" s="831">
        <v>1.012229098243572</v>
      </c>
      <c r="I1777" s="831">
        <v>0.99859666980586004</v>
      </c>
      <c r="K1777">
        <v>1.7161683357508468</v>
      </c>
      <c r="L1777">
        <v>0</v>
      </c>
      <c r="M1777">
        <v>1.4464577730454473E-3</v>
      </c>
      <c r="N1777">
        <v>0.13202908465155683</v>
      </c>
      <c r="O1777">
        <v>1.721118980716824E-2</v>
      </c>
      <c r="P1777">
        <v>1.9255993550286957E-2</v>
      </c>
      <c r="Q1777">
        <v>2.0264297465611637E-3</v>
      </c>
      <c r="R1777">
        <v>1.4376316585113841E-3</v>
      </c>
      <c r="S1777">
        <v>0.14822738116751102</v>
      </c>
      <c r="T1777">
        <v>1.0741909596710928</v>
      </c>
      <c r="U1777">
        <v>2.2880543309291339E-2</v>
      </c>
      <c r="V1777">
        <v>0.20089214783765524</v>
      </c>
      <c r="W1777">
        <v>8.0667895406109913E-2</v>
      </c>
      <c r="X1777">
        <v>1.48827772588274E-2</v>
      </c>
      <c r="Y1777">
        <v>3.9127594593191262E-3</v>
      </c>
    </row>
    <row r="1778" spans="1:25" x14ac:dyDescent="0.25">
      <c r="A1778" s="827"/>
      <c r="B1778" s="1066">
        <v>1528</v>
      </c>
      <c r="C1778" s="831">
        <v>1.0033960961922421</v>
      </c>
      <c r="D1778" s="831">
        <v>1.0406563073813839</v>
      </c>
      <c r="E1778" s="831">
        <v>1.0060547608993853</v>
      </c>
      <c r="F1778" s="831">
        <v>0.99434728345639289</v>
      </c>
      <c r="G1778" s="831">
        <v>1.032962169715147</v>
      </c>
      <c r="H1778" s="831">
        <v>0.99279348252669031</v>
      </c>
      <c r="I1778" s="831">
        <v>1.0089496576161581</v>
      </c>
      <c r="K1778">
        <v>1.7238564703575339</v>
      </c>
      <c r="L1778">
        <v>0</v>
      </c>
      <c r="M1778">
        <v>1.3293934946845044E-3</v>
      </c>
      <c r="N1778">
        <v>0.13645178330934968</v>
      </c>
      <c r="O1778">
        <v>1.7458541397816808E-2</v>
      </c>
      <c r="P1778">
        <v>1.9821472553941184E-2</v>
      </c>
      <c r="Q1778">
        <v>2.1361277633837761E-3</v>
      </c>
      <c r="R1778">
        <v>1.3211207331028838E-3</v>
      </c>
      <c r="S1778">
        <v>0.15055712537174143</v>
      </c>
      <c r="T1778">
        <v>1.0708254760885005</v>
      </c>
      <c r="U1778">
        <v>2.3243590429352038E-2</v>
      </c>
      <c r="V1778">
        <v>0.20223051100237843</v>
      </c>
      <c r="W1778">
        <v>8.1226878059401958E-2</v>
      </c>
      <c r="X1778">
        <v>1.6317582015073828E-2</v>
      </c>
      <c r="Y1778">
        <v>3.5956551281734273E-3</v>
      </c>
    </row>
    <row r="1779" spans="1:25" x14ac:dyDescent="0.25">
      <c r="A1779" s="827"/>
      <c r="B1779" s="1066">
        <v>1529</v>
      </c>
      <c r="C1779" s="831">
        <v>0.9695757786572029</v>
      </c>
      <c r="D1779" s="831">
        <v>0.97865771555144687</v>
      </c>
      <c r="E1779" s="831">
        <v>0.99700396230042398</v>
      </c>
      <c r="F1779" s="831">
        <v>1.041271214944663</v>
      </c>
      <c r="G1779" s="831">
        <v>1.0126097838124184</v>
      </c>
      <c r="H1779" s="831">
        <v>0.96119650431425352</v>
      </c>
      <c r="I1779" s="831">
        <v>0.97650073237767454</v>
      </c>
      <c r="K1779">
        <v>1.7432565695258229</v>
      </c>
      <c r="L1779">
        <v>0</v>
      </c>
      <c r="M1779">
        <v>1.395836110422379E-3</v>
      </c>
      <c r="N1779">
        <v>0.13926986318963369</v>
      </c>
      <c r="O1779">
        <v>1.8576727924484351E-2</v>
      </c>
      <c r="P1779">
        <v>1.9862910590875655E-2</v>
      </c>
      <c r="Q1779">
        <v>2.2411170587985398E-3</v>
      </c>
      <c r="R1779">
        <v>1.3869089092481137E-3</v>
      </c>
      <c r="S1779">
        <v>0.15238046640619715</v>
      </c>
      <c r="T1779">
        <v>1.0716281053536194</v>
      </c>
      <c r="U1779">
        <v>2.405436316757344E-2</v>
      </c>
      <c r="V1779">
        <v>0.21162301364058347</v>
      </c>
      <c r="W1779">
        <v>8.3418885811944843E-2</v>
      </c>
      <c r="X1779">
        <v>1.6435334726713338E-2</v>
      </c>
      <c r="Y1779">
        <v>3.7747088565743057E-3</v>
      </c>
    </row>
    <row r="1780" spans="1:25" x14ac:dyDescent="0.25">
      <c r="A1780" s="827"/>
      <c r="B1780" s="1066">
        <v>1530</v>
      </c>
      <c r="C1780" s="831">
        <v>0.98973338532728938</v>
      </c>
      <c r="D1780" s="831">
        <v>0.98712499025941303</v>
      </c>
      <c r="E1780" s="831">
        <v>0.98837094827915761</v>
      </c>
      <c r="F1780" s="831">
        <v>1.0048619049402252</v>
      </c>
      <c r="G1780" s="831">
        <v>0.96280346663699756</v>
      </c>
      <c r="H1780" s="831">
        <v>1.0073221417264258</v>
      </c>
      <c r="I1780" s="831">
        <v>1.0137039575028126</v>
      </c>
      <c r="K1780">
        <v>1.7487481532190683</v>
      </c>
      <c r="L1780">
        <v>0</v>
      </c>
      <c r="M1780">
        <v>1.4535991033330499E-3</v>
      </c>
      <c r="N1780">
        <v>0.14122862914705031</v>
      </c>
      <c r="O1780">
        <v>1.8127362127415361E-2</v>
      </c>
      <c r="P1780">
        <v>1.9769769832475706E-2</v>
      </c>
      <c r="Q1780">
        <v>2.1694789891406659E-3</v>
      </c>
      <c r="R1780">
        <v>1.444721884056641E-3</v>
      </c>
      <c r="S1780">
        <v>0.15782213664763164</v>
      </c>
      <c r="T1780">
        <v>1.0723965645982059</v>
      </c>
      <c r="U1780">
        <v>2.3564455078567241E-2</v>
      </c>
      <c r="V1780">
        <v>0.20850960353620143</v>
      </c>
      <c r="W1780">
        <v>8.5095880257203424E-2</v>
      </c>
      <c r="X1780">
        <v>1.6141093508490224E-2</v>
      </c>
      <c r="Y1780">
        <v>3.9320567159610931E-3</v>
      </c>
    </row>
    <row r="1781" spans="1:25" x14ac:dyDescent="0.25">
      <c r="A1781" s="827"/>
      <c r="B1781" s="1066">
        <v>1531</v>
      </c>
      <c r="C1781" s="831">
        <v>1.022536852208626</v>
      </c>
      <c r="D1781" s="831">
        <v>1.008869261918818</v>
      </c>
      <c r="E1781" s="831">
        <v>0.96759560155769986</v>
      </c>
      <c r="F1781" s="831">
        <v>1.0251631113025335</v>
      </c>
      <c r="G1781" s="831">
        <v>0.97460080200279209</v>
      </c>
      <c r="H1781" s="831">
        <v>1.0046157357795249</v>
      </c>
      <c r="I1781" s="831">
        <v>0.98763875753418717</v>
      </c>
      <c r="K1781">
        <v>1.7178356136654511</v>
      </c>
      <c r="L1781">
        <v>0</v>
      </c>
      <c r="M1781">
        <v>1.4513368457692002E-3</v>
      </c>
      <c r="N1781">
        <v>0.13216551178090941</v>
      </c>
      <c r="O1781">
        <v>1.7373468256395692E-2</v>
      </c>
      <c r="P1781">
        <v>1.9260965524658981E-2</v>
      </c>
      <c r="Q1781">
        <v>2.0394025408842368E-3</v>
      </c>
      <c r="R1781">
        <v>1.4424337574209544E-3</v>
      </c>
      <c r="S1781">
        <v>0.14730338837549647</v>
      </c>
      <c r="T1781">
        <v>1.0742573514214491</v>
      </c>
      <c r="U1781">
        <v>2.2808496190555635E-2</v>
      </c>
      <c r="V1781">
        <v>0.20301501611738454</v>
      </c>
      <c r="W1781">
        <v>8.0792973380804364E-2</v>
      </c>
      <c r="X1781">
        <v>1.4902113975719737E-2</v>
      </c>
      <c r="Y1781">
        <v>3.9258291895394965E-3</v>
      </c>
    </row>
    <row r="1782" spans="1:25" x14ac:dyDescent="0.25">
      <c r="A1782" s="827"/>
      <c r="B1782" s="1066">
        <v>1532</v>
      </c>
      <c r="C1782" s="831">
        <v>1.0194431799035912</v>
      </c>
      <c r="D1782" s="831">
        <v>1.0107508180000724</v>
      </c>
      <c r="E1782" s="831">
        <v>0.95589155310322171</v>
      </c>
      <c r="F1782" s="831">
        <v>0.97824193660207248</v>
      </c>
      <c r="G1782" s="831">
        <v>0.97457440307613596</v>
      </c>
      <c r="H1782" s="831">
        <v>0.97029366648633375</v>
      </c>
      <c r="I1782" s="831">
        <v>0.95650746310553936</v>
      </c>
      <c r="K1782">
        <v>1.7029598450294849</v>
      </c>
      <c r="L1782">
        <v>0</v>
      </c>
      <c r="M1782">
        <v>1.439664035009211E-3</v>
      </c>
      <c r="N1782">
        <v>0.12637381497578404</v>
      </c>
      <c r="O1782">
        <v>1.7411506360656387E-2</v>
      </c>
      <c r="P1782">
        <v>1.9016998951773587E-2</v>
      </c>
      <c r="Q1782">
        <v>2.0197588624278977E-3</v>
      </c>
      <c r="R1782">
        <v>1.4305187766263279E-3</v>
      </c>
      <c r="S1782">
        <v>0.14068202097367832</v>
      </c>
      <c r="T1782">
        <v>1.0753127727056364</v>
      </c>
      <c r="U1782">
        <v>2.2877712419939668E-2</v>
      </c>
      <c r="V1782">
        <v>0.20316743917431787</v>
      </c>
      <c r="W1782">
        <v>7.7890630759402169E-2</v>
      </c>
      <c r="X1782">
        <v>1.4322934564662475E-2</v>
      </c>
      <c r="Y1782">
        <v>3.8934005395888866E-3</v>
      </c>
    </row>
    <row r="1783" spans="1:25" x14ac:dyDescent="0.25">
      <c r="A1783" s="827"/>
      <c r="B1783" s="1066">
        <v>1533</v>
      </c>
      <c r="C1783" s="831">
        <v>1.0109524837415989</v>
      </c>
      <c r="D1783" s="831">
        <v>1.0182227389088285</v>
      </c>
      <c r="E1783" s="831">
        <v>0.99218883453347773</v>
      </c>
      <c r="F1783" s="831">
        <v>1.0091077420686934</v>
      </c>
      <c r="G1783" s="831">
        <v>0.98034111999338835</v>
      </c>
      <c r="H1783" s="831">
        <v>0.96229440052710591</v>
      </c>
      <c r="I1783" s="831">
        <v>0.99650395360976851</v>
      </c>
      <c r="K1783">
        <v>1.7129885797699951</v>
      </c>
      <c r="L1783">
        <v>0</v>
      </c>
      <c r="M1783">
        <v>1.3298175330529165E-3</v>
      </c>
      <c r="N1783">
        <v>0.13070747220611031</v>
      </c>
      <c r="O1783">
        <v>1.7499360593166081E-2</v>
      </c>
      <c r="P1783">
        <v>1.9596047546671439E-2</v>
      </c>
      <c r="Q1783">
        <v>2.1077613211989078E-3</v>
      </c>
      <c r="R1783">
        <v>1.3212947640009001E-3</v>
      </c>
      <c r="S1783">
        <v>0.14678428088203604</v>
      </c>
      <c r="T1783">
        <v>1.0720563728296291</v>
      </c>
      <c r="U1783">
        <v>2.3069855679057276E-2</v>
      </c>
      <c r="V1783">
        <v>0.20338451763209073</v>
      </c>
      <c r="W1783">
        <v>7.8549592984056352E-2</v>
      </c>
      <c r="X1783">
        <v>1.5645712082120972E-2</v>
      </c>
      <c r="Y1783">
        <v>3.5961287829085588E-3</v>
      </c>
    </row>
    <row r="1784" spans="1:25" x14ac:dyDescent="0.25">
      <c r="A1784" s="827"/>
      <c r="B1784" s="1066">
        <v>1534</v>
      </c>
      <c r="C1784" s="831">
        <v>1.010934649125254</v>
      </c>
      <c r="D1784" s="831">
        <v>1.0255019439406683</v>
      </c>
      <c r="E1784" s="831">
        <v>0.98898971031523952</v>
      </c>
      <c r="F1784" s="831">
        <v>1.0224076565984124</v>
      </c>
      <c r="G1784" s="831">
        <v>0.97974269854471596</v>
      </c>
      <c r="H1784" s="831">
        <v>0.9784269914821887</v>
      </c>
      <c r="I1784" s="831">
        <v>0.97004959960014714</v>
      </c>
      <c r="K1784">
        <v>1.7115987407036648</v>
      </c>
      <c r="L1784">
        <v>0</v>
      </c>
      <c r="M1784">
        <v>1.3568928766333186E-3</v>
      </c>
      <c r="N1784">
        <v>0.13206053574013124</v>
      </c>
      <c r="O1784">
        <v>1.7443436996528245E-2</v>
      </c>
      <c r="P1784">
        <v>1.9500670402442178E-2</v>
      </c>
      <c r="Q1784">
        <v>2.0954540807208133E-3</v>
      </c>
      <c r="R1784">
        <v>1.3483350612633644E-3</v>
      </c>
      <c r="S1784">
        <v>0.14356858717660662</v>
      </c>
      <c r="T1784">
        <v>1.072341392691444</v>
      </c>
      <c r="U1784">
        <v>2.3070262670770877E-2</v>
      </c>
      <c r="V1784">
        <v>0.20275045706479247</v>
      </c>
      <c r="W1784">
        <v>7.953778864139481E-2</v>
      </c>
      <c r="X1784">
        <v>1.5568989495975703E-2</v>
      </c>
      <c r="Y1784">
        <v>3.6697235582253893E-3</v>
      </c>
    </row>
    <row r="1785" spans="1:25" x14ac:dyDescent="0.25">
      <c r="A1785" s="827"/>
      <c r="B1785" s="1066">
        <v>1535</v>
      </c>
      <c r="C1785" s="831">
        <v>0.98396851878557812</v>
      </c>
      <c r="D1785" s="831">
        <v>1.0117880014767098</v>
      </c>
      <c r="E1785" s="831">
        <v>1.0058317944075519</v>
      </c>
      <c r="F1785" s="831">
        <v>0.99655436391573127</v>
      </c>
      <c r="G1785" s="831">
        <v>1.0395539160209746</v>
      </c>
      <c r="H1785" s="831">
        <v>1.0334773356779714</v>
      </c>
      <c r="I1785" s="831">
        <v>0.973141534750672</v>
      </c>
      <c r="K1785">
        <v>1.7490260137681461</v>
      </c>
      <c r="L1785">
        <v>0</v>
      </c>
      <c r="M1785">
        <v>1.429888975106006E-3</v>
      </c>
      <c r="N1785">
        <v>0.14670327169439121</v>
      </c>
      <c r="O1785">
        <v>1.8030869557226249E-2</v>
      </c>
      <c r="P1785">
        <v>1.9917190863482058E-2</v>
      </c>
      <c r="Q1785">
        <v>2.2006503443266351E-3</v>
      </c>
      <c r="R1785">
        <v>1.4213604201206292E-3</v>
      </c>
      <c r="S1785">
        <v>0.15268787508182877</v>
      </c>
      <c r="T1785">
        <v>1.0708452116988956</v>
      </c>
      <c r="U1785">
        <v>2.3702514311217997E-2</v>
      </c>
      <c r="V1785">
        <v>0.20684352330005587</v>
      </c>
      <c r="W1785">
        <v>8.7342642675951154E-2</v>
      </c>
      <c r="X1785">
        <v>1.6892318283525599E-2</v>
      </c>
      <c r="Y1785">
        <v>3.8684745122317867E-3</v>
      </c>
    </row>
    <row r="1786" spans="1:25" x14ac:dyDescent="0.25">
      <c r="A1786" s="827"/>
      <c r="B1786" s="1066">
        <v>1536</v>
      </c>
      <c r="C1786" s="831">
        <v>0.97627633114103274</v>
      </c>
      <c r="D1786" s="831">
        <v>1.0027022376517707</v>
      </c>
      <c r="E1786" s="831">
        <v>0.99328577189041445</v>
      </c>
      <c r="F1786" s="831">
        <v>0.98748739604421354</v>
      </c>
      <c r="G1786" s="831">
        <v>0.98100126070255</v>
      </c>
      <c r="H1786" s="831">
        <v>0.9820698093198027</v>
      </c>
      <c r="I1786" s="831">
        <v>0.97627790724983765</v>
      </c>
      <c r="K1786">
        <v>1.7387991611680871</v>
      </c>
      <c r="L1786">
        <v>0</v>
      </c>
      <c r="M1786">
        <v>1.4118771899740488E-3</v>
      </c>
      <c r="N1786">
        <v>0.13926693371684942</v>
      </c>
      <c r="O1786">
        <v>1.8247279234088764E-2</v>
      </c>
      <c r="P1786">
        <v>1.9753092115118828E-2</v>
      </c>
      <c r="Q1786">
        <v>2.1975276405195596E-3</v>
      </c>
      <c r="R1786">
        <v>1.4030217381662598E-3</v>
      </c>
      <c r="S1786">
        <v>0.15128058283123122</v>
      </c>
      <c r="T1786">
        <v>1.0719587320635475</v>
      </c>
      <c r="U1786">
        <v>2.3889269005471791E-2</v>
      </c>
      <c r="V1786">
        <v>0.2085415100877071</v>
      </c>
      <c r="W1786">
        <v>8.3630349132297027E-2</v>
      </c>
      <c r="X1786">
        <v>1.6224178127764836E-2</v>
      </c>
      <c r="Y1786">
        <v>3.8185626652968751E-3</v>
      </c>
    </row>
    <row r="1787" spans="1:25" x14ac:dyDescent="0.25">
      <c r="A1787" s="827"/>
      <c r="B1787" s="1066">
        <v>1537</v>
      </c>
      <c r="C1787" s="831">
        <v>1.0080155442251104</v>
      </c>
      <c r="D1787" s="831">
        <v>1.0414737961407987</v>
      </c>
      <c r="E1787" s="831">
        <v>0.97708196153065807</v>
      </c>
      <c r="F1787" s="831">
        <v>0.96074426706404936</v>
      </c>
      <c r="G1787" s="831">
        <v>0.97712734600072315</v>
      </c>
      <c r="H1787" s="831">
        <v>1.0123898700527829</v>
      </c>
      <c r="I1787" s="831">
        <v>0.97537561396077799</v>
      </c>
      <c r="K1787">
        <v>1.7184899108083815</v>
      </c>
      <c r="L1787">
        <v>0</v>
      </c>
      <c r="M1787">
        <v>1.4336972024428969E-3</v>
      </c>
      <c r="N1787">
        <v>0.134482208840604</v>
      </c>
      <c r="O1787">
        <v>1.7372382718757969E-2</v>
      </c>
      <c r="P1787">
        <v>1.9361231549640579E-2</v>
      </c>
      <c r="Q1787">
        <v>2.064423011449496E-3</v>
      </c>
      <c r="R1787">
        <v>1.4249475114374325E-3</v>
      </c>
      <c r="S1787">
        <v>0.14616963299092542</v>
      </c>
      <c r="T1787">
        <v>1.0734056752964858</v>
      </c>
      <c r="U1787">
        <v>2.3137071677036346E-2</v>
      </c>
      <c r="V1787">
        <v>0.20168405173944773</v>
      </c>
      <c r="W1787">
        <v>8.1666905683728905E-2</v>
      </c>
      <c r="X1787">
        <v>1.5276839598998705E-2</v>
      </c>
      <c r="Y1787">
        <v>3.8782373923117886E-3</v>
      </c>
    </row>
    <row r="1788" spans="1:25" x14ac:dyDescent="0.25">
      <c r="A1788" s="827"/>
      <c r="B1788" s="1066">
        <v>1538</v>
      </c>
      <c r="C1788" s="831">
        <v>0.98012918831692797</v>
      </c>
      <c r="D1788" s="831">
        <v>1.0012670290461938</v>
      </c>
      <c r="E1788" s="831">
        <v>1.0195023701241368</v>
      </c>
      <c r="F1788" s="831">
        <v>1.0308155383864901</v>
      </c>
      <c r="G1788" s="831">
        <v>0.98393394915076848</v>
      </c>
      <c r="H1788" s="831">
        <v>1.0358111636412264</v>
      </c>
      <c r="I1788" s="831">
        <v>0.9932785596535425</v>
      </c>
      <c r="K1788">
        <v>1.7600135267538304</v>
      </c>
      <c r="L1788">
        <v>0</v>
      </c>
      <c r="M1788">
        <v>1.4044456436677233E-3</v>
      </c>
      <c r="N1788">
        <v>0.150350203465652</v>
      </c>
      <c r="O1788">
        <v>1.8187343325468713E-2</v>
      </c>
      <c r="P1788">
        <v>2.0187085023710943E-2</v>
      </c>
      <c r="Q1788">
        <v>2.2483245450125645E-3</v>
      </c>
      <c r="R1788">
        <v>1.3960948090059797E-3</v>
      </c>
      <c r="S1788">
        <v>0.1573084495830385</v>
      </c>
      <c r="T1788">
        <v>1.0696386534694817</v>
      </c>
      <c r="U1788">
        <v>2.3795361036387991E-2</v>
      </c>
      <c r="V1788">
        <v>0.20824400799741141</v>
      </c>
      <c r="W1788">
        <v>8.8687795691516746E-2</v>
      </c>
      <c r="X1788">
        <v>1.7574943603224178E-2</v>
      </c>
      <c r="Y1788">
        <v>3.7997098475841765E-3</v>
      </c>
    </row>
    <row r="1789" spans="1:25" x14ac:dyDescent="0.25">
      <c r="A1789" s="827"/>
      <c r="B1789" s="1066">
        <v>1539</v>
      </c>
      <c r="C1789" s="831">
        <v>1.0446722303826999</v>
      </c>
      <c r="D1789" s="831">
        <v>0.97135093562637287</v>
      </c>
      <c r="E1789" s="831">
        <v>1.0292679432022949</v>
      </c>
      <c r="F1789" s="831">
        <v>1.0205019577362564</v>
      </c>
      <c r="G1789" s="831">
        <v>0.97429498338041054</v>
      </c>
      <c r="H1789" s="831">
        <v>1.0004231078232222</v>
      </c>
      <c r="I1789" s="831">
        <v>0.99435923340239141</v>
      </c>
      <c r="K1789">
        <v>1.7237277188674645</v>
      </c>
      <c r="L1789">
        <v>0</v>
      </c>
      <c r="M1789">
        <v>1.2639124686890024E-3</v>
      </c>
      <c r="N1789">
        <v>0.1394446068580667</v>
      </c>
      <c r="O1789">
        <v>1.730013914086484E-2</v>
      </c>
      <c r="P1789">
        <v>2.0101166632236295E-2</v>
      </c>
      <c r="Q1789">
        <v>2.1540589575729623E-3</v>
      </c>
      <c r="R1789">
        <v>1.2561507549968629E-3</v>
      </c>
      <c r="S1789">
        <v>0.14717824180905531</v>
      </c>
      <c r="T1789">
        <v>1.0687810824441868</v>
      </c>
      <c r="U1789">
        <v>2.2325210932197661E-2</v>
      </c>
      <c r="V1789">
        <v>0.2041790883256418</v>
      </c>
      <c r="W1789">
        <v>8.1716249427857102E-2</v>
      </c>
      <c r="X1789">
        <v>1.7136807788360631E-2</v>
      </c>
      <c r="Y1789">
        <v>3.4188282651163664E-3</v>
      </c>
    </row>
    <row r="1790" spans="1:25" x14ac:dyDescent="0.25">
      <c r="A1790" s="827"/>
      <c r="B1790" s="1066">
        <v>1540</v>
      </c>
      <c r="C1790" s="831">
        <v>1.0182224858355993</v>
      </c>
      <c r="D1790" s="831">
        <v>1.0261770038596414</v>
      </c>
      <c r="E1790" s="831">
        <v>1.0117519905352459</v>
      </c>
      <c r="F1790" s="831">
        <v>1.0241145534564684</v>
      </c>
      <c r="G1790" s="831">
        <v>0.99531995535852114</v>
      </c>
      <c r="H1790" s="831">
        <v>1.0073022660444928</v>
      </c>
      <c r="I1790" s="831">
        <v>0.99055679760041992</v>
      </c>
      <c r="K1790">
        <v>1.7220341086096516</v>
      </c>
      <c r="L1790">
        <v>0</v>
      </c>
      <c r="M1790">
        <v>1.3216274837504962E-3</v>
      </c>
      <c r="N1790">
        <v>0.13809233528854639</v>
      </c>
      <c r="O1790">
        <v>1.7313441095044752E-2</v>
      </c>
      <c r="P1790">
        <v>1.9847785755964811E-2</v>
      </c>
      <c r="Q1790">
        <v>2.1280772183839823E-3</v>
      </c>
      <c r="R1790">
        <v>1.3135305983263837E-3</v>
      </c>
      <c r="S1790">
        <v>0.14750790954698553</v>
      </c>
      <c r="T1790">
        <v>1.0703218301752802</v>
      </c>
      <c r="U1790">
        <v>2.2905139321455544E-2</v>
      </c>
      <c r="V1790">
        <v>0.20194680278610941</v>
      </c>
      <c r="W1790">
        <v>8.1885611593204066E-2</v>
      </c>
      <c r="X1790">
        <v>1.6518275430699968E-2</v>
      </c>
      <c r="Y1790">
        <v>3.5749972833990515E-3</v>
      </c>
    </row>
    <row r="1791" spans="1:25" x14ac:dyDescent="0.25">
      <c r="A1791" s="827"/>
      <c r="B1791" s="1066">
        <v>1541</v>
      </c>
      <c r="C1791" s="831">
        <v>0.99371353355320569</v>
      </c>
      <c r="D1791" s="831">
        <v>0.98893048512055015</v>
      </c>
      <c r="E1791" s="831">
        <v>1.0040309972056256</v>
      </c>
      <c r="F1791" s="831">
        <v>0.9779904262371204</v>
      </c>
      <c r="G1791" s="831">
        <v>0.97183817219966617</v>
      </c>
      <c r="H1791" s="831">
        <v>0.99426265643721745</v>
      </c>
      <c r="I1791" s="831">
        <v>1.0011683207235049</v>
      </c>
      <c r="K1791">
        <v>1.741962007819706</v>
      </c>
      <c r="L1791">
        <v>0</v>
      </c>
      <c r="M1791">
        <v>1.3815311892940887E-3</v>
      </c>
      <c r="N1791">
        <v>0.14091855626091751</v>
      </c>
      <c r="O1791">
        <v>1.8039796475919662E-2</v>
      </c>
      <c r="P1791">
        <v>1.9924392765553984E-2</v>
      </c>
      <c r="Q1791">
        <v>2.193656731942592E-3</v>
      </c>
      <c r="R1791">
        <v>1.372981992451621E-3</v>
      </c>
      <c r="S1791">
        <v>0.15417892876505773</v>
      </c>
      <c r="T1791">
        <v>1.0710046759423977</v>
      </c>
      <c r="U1791">
        <v>2.347007171665379E-2</v>
      </c>
      <c r="V1791">
        <v>0.20789717732019722</v>
      </c>
      <c r="W1791">
        <v>8.4001686251803959E-2</v>
      </c>
      <c r="X1791">
        <v>1.6604810406041892E-2</v>
      </c>
      <c r="Y1791">
        <v>3.7368043800611399E-3</v>
      </c>
    </row>
    <row r="1792" spans="1:25" x14ac:dyDescent="0.25">
      <c r="A1792" s="827"/>
      <c r="B1792" s="1066">
        <v>1542</v>
      </c>
      <c r="C1792" s="831">
        <v>0.9703765481037937</v>
      </c>
      <c r="D1792" s="831">
        <v>1.0001543265243855</v>
      </c>
      <c r="E1792" s="831">
        <v>0.96397696909147224</v>
      </c>
      <c r="F1792" s="831">
        <v>0.99198699499009935</v>
      </c>
      <c r="G1792" s="831">
        <v>0.99630110973782071</v>
      </c>
      <c r="H1792" s="831">
        <v>0.99025760000375362</v>
      </c>
      <c r="I1792" s="831">
        <v>0.99417411169769665</v>
      </c>
      <c r="K1792">
        <v>1.7445814393695036</v>
      </c>
      <c r="L1792">
        <v>0</v>
      </c>
      <c r="M1792">
        <v>1.5249327261474823E-3</v>
      </c>
      <c r="N1792">
        <v>0.13729728785171311</v>
      </c>
      <c r="O1792">
        <v>1.8379386601355862E-2</v>
      </c>
      <c r="P1792">
        <v>1.9425733587242637E-2</v>
      </c>
      <c r="Q1792">
        <v>2.1479753311815343E-3</v>
      </c>
      <c r="R1792">
        <v>1.5154492247575545E-3</v>
      </c>
      <c r="S1792">
        <v>0.15575614001147117</v>
      </c>
      <c r="T1792">
        <v>1.0745831172020193</v>
      </c>
      <c r="U1792">
        <v>2.4034513142220489E-2</v>
      </c>
      <c r="V1792">
        <v>0.2094522814665554</v>
      </c>
      <c r="W1792">
        <v>8.4143166466146405E-2</v>
      </c>
      <c r="X1792">
        <v>1.5246767988899294E-2</v>
      </c>
      <c r="Y1792">
        <v>4.1245532220873854E-3</v>
      </c>
    </row>
    <row r="1793" spans="1:25" x14ac:dyDescent="0.25">
      <c r="A1793" s="827"/>
      <c r="B1793" s="1066">
        <v>1543</v>
      </c>
      <c r="C1793" s="831">
        <v>1.003525220085608</v>
      </c>
      <c r="D1793" s="831">
        <v>1.0209527082812631</v>
      </c>
      <c r="E1793" s="831">
        <v>1.0056559942666556</v>
      </c>
      <c r="F1793" s="831">
        <v>0.99944810613951518</v>
      </c>
      <c r="G1793" s="831">
        <v>0.99692675439072242</v>
      </c>
      <c r="H1793" s="831">
        <v>1.0265682182046219</v>
      </c>
      <c r="I1793" s="831">
        <v>0.99230139215842672</v>
      </c>
      <c r="K1793">
        <v>1.7365562342288043</v>
      </c>
      <c r="L1793">
        <v>0</v>
      </c>
      <c r="M1793">
        <v>1.3875048295890395E-3</v>
      </c>
      <c r="N1793">
        <v>0.1422705812208255</v>
      </c>
      <c r="O1793">
        <v>1.7607557239180144E-2</v>
      </c>
      <c r="P1793">
        <v>1.9853546224337916E-2</v>
      </c>
      <c r="Q1793">
        <v>2.1501820592288103E-3</v>
      </c>
      <c r="R1793">
        <v>1.3791673060540805E-3</v>
      </c>
      <c r="S1793">
        <v>0.15160394006577738</v>
      </c>
      <c r="T1793">
        <v>1.070860773761076</v>
      </c>
      <c r="U1793">
        <v>2.3240599669546544E-2</v>
      </c>
      <c r="V1793">
        <v>0.20391973214248341</v>
      </c>
      <c r="W1793">
        <v>8.4713703111384264E-2</v>
      </c>
      <c r="X1793">
        <v>1.6590317493798509E-2</v>
      </c>
      <c r="Y1793">
        <v>3.753638764698954E-3</v>
      </c>
    </row>
    <row r="1794" spans="1:25" x14ac:dyDescent="0.25">
      <c r="A1794" s="827"/>
      <c r="B1794" s="1066">
        <v>1544</v>
      </c>
      <c r="C1794" s="831">
        <v>1.0450141432156859</v>
      </c>
      <c r="D1794" s="831">
        <v>0.99629600602300594</v>
      </c>
      <c r="E1794" s="831">
        <v>1.0178810679794161</v>
      </c>
      <c r="F1794" s="831">
        <v>1.0174907022640314</v>
      </c>
      <c r="G1794" s="831">
        <v>0.96881007743636505</v>
      </c>
      <c r="H1794" s="831">
        <v>0.97868059866297774</v>
      </c>
      <c r="I1794" s="831">
        <v>1.0230178858724672</v>
      </c>
      <c r="K1794">
        <v>1.7131694607839834</v>
      </c>
      <c r="L1794">
        <v>0</v>
      </c>
      <c r="M1794">
        <v>1.2516753429886523E-3</v>
      </c>
      <c r="N1794">
        <v>0.13327621542932258</v>
      </c>
      <c r="O1794">
        <v>1.7096596262838187E-2</v>
      </c>
      <c r="P1794">
        <v>1.9931229603814507E-2</v>
      </c>
      <c r="Q1794">
        <v>2.1092185795770569E-3</v>
      </c>
      <c r="R1794">
        <v>1.2438016215417667E-3</v>
      </c>
      <c r="S1794">
        <v>0.14825181692714476</v>
      </c>
      <c r="T1794">
        <v>1.0697813791204027</v>
      </c>
      <c r="U1794">
        <v>2.2317906460610926E-2</v>
      </c>
      <c r="V1794">
        <v>0.20187075302480223</v>
      </c>
      <c r="W1794">
        <v>7.8702413533338109E-2</v>
      </c>
      <c r="X1794">
        <v>1.6454587568837553E-2</v>
      </c>
      <c r="Y1794">
        <v>3.385217994742343E-3</v>
      </c>
    </row>
    <row r="1795" spans="1:25" x14ac:dyDescent="0.25">
      <c r="A1795" s="827"/>
      <c r="B1795" s="1066">
        <v>1545</v>
      </c>
      <c r="C1795" s="831">
        <v>1.0004609670723588</v>
      </c>
      <c r="D1795" s="831">
        <v>0.98391924168794165</v>
      </c>
      <c r="E1795" s="831">
        <v>0.99638644775867502</v>
      </c>
      <c r="F1795" s="831">
        <v>0.99511631603604478</v>
      </c>
      <c r="G1795" s="831">
        <v>0.99102644199092194</v>
      </c>
      <c r="H1795" s="831">
        <v>0.98636923032028156</v>
      </c>
      <c r="I1795" s="831">
        <v>0.99067787652594319</v>
      </c>
      <c r="K1795">
        <v>1.7346327793227638</v>
      </c>
      <c r="L1795">
        <v>0</v>
      </c>
      <c r="M1795">
        <v>1.386602242736992E-3</v>
      </c>
      <c r="N1795">
        <v>0.13810525358669443</v>
      </c>
      <c r="O1795">
        <v>1.7959476963144413E-2</v>
      </c>
      <c r="P1795">
        <v>1.9775242281211192E-2</v>
      </c>
      <c r="Q1795">
        <v>2.1662658182990948E-3</v>
      </c>
      <c r="R1795">
        <v>1.3779566041011236E-3</v>
      </c>
      <c r="S1795">
        <v>0.15128961302537439</v>
      </c>
      <c r="T1795">
        <v>1.071682979512721</v>
      </c>
      <c r="U1795">
        <v>2.3311781934433413E-2</v>
      </c>
      <c r="V1795">
        <v>0.20763506760477438</v>
      </c>
      <c r="W1795">
        <v>8.2756356458667329E-2</v>
      </c>
      <c r="X1795">
        <v>1.6209044142987614E-2</v>
      </c>
      <c r="Y1795">
        <v>3.7503436330907974E-3</v>
      </c>
    </row>
    <row r="1796" spans="1:25" x14ac:dyDescent="0.25">
      <c r="A1796" s="827"/>
      <c r="B1796" s="1066">
        <v>1546</v>
      </c>
      <c r="C1796" s="831">
        <v>0.96766678054686672</v>
      </c>
      <c r="D1796" s="831">
        <v>1.0039148413185739</v>
      </c>
      <c r="E1796" s="831">
        <v>0.99630536824451243</v>
      </c>
      <c r="F1796" s="831">
        <v>0.99922445506782132</v>
      </c>
      <c r="G1796" s="831">
        <v>0.96395967902293733</v>
      </c>
      <c r="H1796" s="831">
        <v>1.0005424219596737</v>
      </c>
      <c r="I1796" s="831">
        <v>1.0038328603068449</v>
      </c>
      <c r="K1796">
        <v>1.753932923655092</v>
      </c>
      <c r="L1796">
        <v>0</v>
      </c>
      <c r="M1796">
        <v>1.441252661677037E-3</v>
      </c>
      <c r="N1796">
        <v>0.14352350153754065</v>
      </c>
      <c r="O1796">
        <v>1.8399557634061679E-2</v>
      </c>
      <c r="P1796">
        <v>1.9903396211041979E-2</v>
      </c>
      <c r="Q1796">
        <v>2.222841787335957E-3</v>
      </c>
      <c r="R1796">
        <v>1.4323789877901743E-3</v>
      </c>
      <c r="S1796">
        <v>0.1582289568768748</v>
      </c>
      <c r="T1796">
        <v>1.0716901855450816</v>
      </c>
      <c r="U1796">
        <v>2.4101817244488555E-2</v>
      </c>
      <c r="V1796">
        <v>0.20940262484151284</v>
      </c>
      <c r="W1796">
        <v>8.6007898944020902E-2</v>
      </c>
      <c r="X1796">
        <v>1.6562553285859448E-2</v>
      </c>
      <c r="Y1796">
        <v>3.8984634211584311E-3</v>
      </c>
    </row>
    <row r="1797" spans="1:25" x14ac:dyDescent="0.25">
      <c r="A1797" s="827"/>
      <c r="B1797" s="1066">
        <v>1547</v>
      </c>
      <c r="C1797" s="831">
        <v>0.9994121618217563</v>
      </c>
      <c r="D1797" s="831">
        <v>0.97943164882710754</v>
      </c>
      <c r="E1797" s="831">
        <v>0.99907653179915656</v>
      </c>
      <c r="F1797" s="831">
        <v>1.0289090484569332</v>
      </c>
      <c r="G1797" s="831">
        <v>0.95929511756790198</v>
      </c>
      <c r="H1797" s="831">
        <v>0.96361845629417842</v>
      </c>
      <c r="I1797" s="831">
        <v>1.0082134283275754</v>
      </c>
      <c r="K1797">
        <v>1.7324639837769873</v>
      </c>
      <c r="L1797">
        <v>0</v>
      </c>
      <c r="M1797">
        <v>1.351181769104893E-3</v>
      </c>
      <c r="N1797">
        <v>0.13568882310674305</v>
      </c>
      <c r="O1797">
        <v>1.8015671381192807E-2</v>
      </c>
      <c r="P1797">
        <v>1.9839593022092719E-2</v>
      </c>
      <c r="Q1797">
        <v>2.1781108673171513E-3</v>
      </c>
      <c r="R1797">
        <v>1.3425613173143091E-3</v>
      </c>
      <c r="S1797">
        <v>0.15275918842627034</v>
      </c>
      <c r="T1797">
        <v>1.0714440358930617</v>
      </c>
      <c r="U1797">
        <v>2.3336245834541632E-2</v>
      </c>
      <c r="V1797">
        <v>0.20817826545706669</v>
      </c>
      <c r="W1797">
        <v>8.1158605993174482E-2</v>
      </c>
      <c r="X1797">
        <v>1.6220054916805032E-2</v>
      </c>
      <c r="Y1797">
        <v>3.6540093305102413E-3</v>
      </c>
    </row>
    <row r="1798" spans="1:25" x14ac:dyDescent="0.25">
      <c r="A1798" s="827"/>
      <c r="B1798" s="1066">
        <v>1548</v>
      </c>
      <c r="C1798" s="831">
        <v>0.97732201735848634</v>
      </c>
      <c r="D1798" s="831">
        <v>1.0009806738488374</v>
      </c>
      <c r="E1798" s="831">
        <v>1.0100591471548892</v>
      </c>
      <c r="F1798" s="831">
        <v>0.98579953228302764</v>
      </c>
      <c r="G1798" s="831">
        <v>1.0266342301197473</v>
      </c>
      <c r="H1798" s="831">
        <v>1.0405805482576171</v>
      </c>
      <c r="I1798" s="831">
        <v>1.0266050050225899</v>
      </c>
      <c r="K1798">
        <v>1.7673336380653488</v>
      </c>
      <c r="L1798">
        <v>0</v>
      </c>
      <c r="M1798">
        <v>1.4436375455598913E-3</v>
      </c>
      <c r="N1798">
        <v>0.15008043251635783</v>
      </c>
      <c r="O1798">
        <v>1.8241946017147875E-2</v>
      </c>
      <c r="P1798">
        <v>2.0148438513844937E-2</v>
      </c>
      <c r="Q1798">
        <v>2.2338903783949474E-3</v>
      </c>
      <c r="R1798">
        <v>1.4350932180200954E-3</v>
      </c>
      <c r="S1798">
        <v>0.16343232956633924</v>
      </c>
      <c r="T1798">
        <v>1.0704713525839322</v>
      </c>
      <c r="U1798">
        <v>2.3863708669266969E-2</v>
      </c>
      <c r="V1798">
        <v>0.20858470098898244</v>
      </c>
      <c r="W1798">
        <v>8.9096641619444694E-2</v>
      </c>
      <c r="X1798">
        <v>1.7282890878077422E-2</v>
      </c>
      <c r="Y1798">
        <v>3.9058506610985229E-3</v>
      </c>
    </row>
    <row r="1799" spans="1:25" x14ac:dyDescent="0.25">
      <c r="A1799" s="827"/>
      <c r="B1799" s="1066">
        <v>1549</v>
      </c>
      <c r="C1799" s="831">
        <v>1.0106109421388934</v>
      </c>
      <c r="D1799" s="831">
        <v>1.0079744609299697</v>
      </c>
      <c r="E1799" s="831">
        <v>1.0016249854722881</v>
      </c>
      <c r="F1799" s="831">
        <v>1.0108817348257608</v>
      </c>
      <c r="G1799" s="831">
        <v>1.0411121412024698</v>
      </c>
      <c r="H1799" s="831">
        <v>0.99907839982284208</v>
      </c>
      <c r="I1799" s="831">
        <v>1.0284611787655193</v>
      </c>
      <c r="K1799">
        <v>1.7329305716566374</v>
      </c>
      <c r="L1799">
        <v>0</v>
      </c>
      <c r="M1799">
        <v>1.3601570411256609E-3</v>
      </c>
      <c r="N1799">
        <v>0.13770674640982311</v>
      </c>
      <c r="O1799">
        <v>1.7585546971627265E-2</v>
      </c>
      <c r="P1799">
        <v>1.9846765638330925E-2</v>
      </c>
      <c r="Q1799">
        <v>2.1366030638558351E-3</v>
      </c>
      <c r="R1799">
        <v>1.351767645635362E-3</v>
      </c>
      <c r="S1799">
        <v>0.15485612331065179</v>
      </c>
      <c r="T1799">
        <v>1.0712179243198323</v>
      </c>
      <c r="U1799">
        <v>2.3077652265413365E-2</v>
      </c>
      <c r="V1799">
        <v>0.20432759845201651</v>
      </c>
      <c r="W1799">
        <v>8.2222107077557824E-2</v>
      </c>
      <c r="X1799">
        <v>1.6282827621684023E-2</v>
      </c>
      <c r="Y1799">
        <v>3.6790659213348322E-3</v>
      </c>
    </row>
    <row r="1800" spans="1:25" x14ac:dyDescent="0.25">
      <c r="A1800" s="827"/>
      <c r="B1800" s="1066">
        <v>1550</v>
      </c>
      <c r="C1800" s="831">
        <v>1.0034672448820823</v>
      </c>
      <c r="D1800" s="831">
        <v>1.004249090442187</v>
      </c>
      <c r="E1800" s="831">
        <v>0.99734578541059138</v>
      </c>
      <c r="F1800" s="831">
        <v>0.9967709338821471</v>
      </c>
      <c r="G1800" s="831">
        <v>0.99911757670698709</v>
      </c>
      <c r="H1800" s="831">
        <v>0.97068400541142985</v>
      </c>
      <c r="I1800" s="831">
        <v>0.97520772698059144</v>
      </c>
      <c r="K1800">
        <v>1.7204358100164407</v>
      </c>
      <c r="L1800">
        <v>0</v>
      </c>
      <c r="M1800">
        <v>1.3452055386716745E-3</v>
      </c>
      <c r="N1800">
        <v>0.13436766844171222</v>
      </c>
      <c r="O1800">
        <v>1.7740446996491053E-2</v>
      </c>
      <c r="P1800">
        <v>1.9686920773447178E-2</v>
      </c>
      <c r="Q1800">
        <v>2.1455198706366732E-3</v>
      </c>
      <c r="R1800">
        <v>1.3366682223225836E-3</v>
      </c>
      <c r="S1800">
        <v>0.14613324335307393</v>
      </c>
      <c r="T1800">
        <v>1.0715977361308693</v>
      </c>
      <c r="U1800">
        <v>2.3241942392493137E-2</v>
      </c>
      <c r="V1800">
        <v>0.20541944460789385</v>
      </c>
      <c r="W1800">
        <v>8.0463744585845307E-2</v>
      </c>
      <c r="X1800">
        <v>1.6009709911726545E-2</v>
      </c>
      <c r="Y1800">
        <v>3.6379702686010059E-3</v>
      </c>
    </row>
    <row r="1801" spans="1:25" x14ac:dyDescent="0.25">
      <c r="A1801" s="827"/>
      <c r="B1801" s="1066">
        <v>1551</v>
      </c>
      <c r="C1801" s="831">
        <v>0.99625169703321692</v>
      </c>
      <c r="D1801" s="831">
        <v>1.0023647081534761</v>
      </c>
      <c r="E1801" s="831">
        <v>0.97098016026098155</v>
      </c>
      <c r="F1801" s="831">
        <v>0.97484865978564872</v>
      </c>
      <c r="G1801" s="831">
        <v>1.0220094676104541</v>
      </c>
      <c r="H1801" s="831">
        <v>0.9612578355439223</v>
      </c>
      <c r="I1801" s="831">
        <v>0.97780189844020571</v>
      </c>
      <c r="K1801">
        <v>1.7192567401026779</v>
      </c>
      <c r="L1801">
        <v>0</v>
      </c>
      <c r="M1801">
        <v>1.4194095470113097E-3</v>
      </c>
      <c r="N1801">
        <v>0.13059351873073588</v>
      </c>
      <c r="O1801">
        <v>1.788413813002189E-2</v>
      </c>
      <c r="P1801">
        <v>1.935621487129666E-2</v>
      </c>
      <c r="Q1801">
        <v>2.1055123969343538E-3</v>
      </c>
      <c r="R1801">
        <v>1.4103143503214986E-3</v>
      </c>
      <c r="S1801">
        <v>0.14703468824191426</v>
      </c>
      <c r="T1801">
        <v>1.0739531018739001</v>
      </c>
      <c r="U1801">
        <v>2.3410276707940769E-2</v>
      </c>
      <c r="V1801">
        <v>0.20636791213405617</v>
      </c>
      <c r="W1801">
        <v>7.9643331004500217E-2</v>
      </c>
      <c r="X1801">
        <v>1.5078730456491459E-2</v>
      </c>
      <c r="Y1801">
        <v>3.8384107515744823E-3</v>
      </c>
    </row>
    <row r="1802" spans="1:25" x14ac:dyDescent="0.25">
      <c r="A1802" s="827"/>
      <c r="B1802" s="1066">
        <v>1552</v>
      </c>
      <c r="C1802" s="831">
        <v>0.99340708013267121</v>
      </c>
      <c r="D1802" s="831">
        <v>1.0069671538002647</v>
      </c>
      <c r="E1802" s="831">
        <v>1.0156928346727105</v>
      </c>
      <c r="F1802" s="831">
        <v>1.0098015782797982</v>
      </c>
      <c r="G1802" s="831">
        <v>0.97423873651129833</v>
      </c>
      <c r="H1802" s="831">
        <v>0.99964238690395535</v>
      </c>
      <c r="I1802" s="831">
        <v>0.97795539433057244</v>
      </c>
      <c r="K1802">
        <v>1.7366579392768213</v>
      </c>
      <c r="L1802">
        <v>0</v>
      </c>
      <c r="M1802">
        <v>1.3446327647959287E-3</v>
      </c>
      <c r="N1802">
        <v>0.1422220784489685</v>
      </c>
      <c r="O1802">
        <v>1.7898191153276059E-2</v>
      </c>
      <c r="P1802">
        <v>2.0001187988400497E-2</v>
      </c>
      <c r="Q1802">
        <v>2.2052284301731662E-3</v>
      </c>
      <c r="R1802">
        <v>1.3363444740919514E-3</v>
      </c>
      <c r="S1802">
        <v>0.14990340725414011</v>
      </c>
      <c r="T1802">
        <v>1.0699741704042209</v>
      </c>
      <c r="U1802">
        <v>2.3477311934588227E-2</v>
      </c>
      <c r="V1802">
        <v>0.20625440306738282</v>
      </c>
      <c r="W1802">
        <v>8.4109513375718967E-2</v>
      </c>
      <c r="X1802">
        <v>1.6983646378012605E-2</v>
      </c>
      <c r="Y1802">
        <v>3.6370891326408012E-3</v>
      </c>
    </row>
    <row r="1803" spans="1:25" x14ac:dyDescent="0.25">
      <c r="A1803" s="827"/>
      <c r="B1803" s="1066">
        <v>1553</v>
      </c>
      <c r="C1803" s="831">
        <v>0.98688843648671987</v>
      </c>
      <c r="D1803" s="831">
        <v>0.98827009780462827</v>
      </c>
      <c r="E1803" s="831">
        <v>0.99525761000681146</v>
      </c>
      <c r="F1803" s="831">
        <v>0.9620188867402536</v>
      </c>
      <c r="G1803" s="831">
        <v>1.0284109842726923</v>
      </c>
      <c r="H1803" s="831">
        <v>1.0037847349184599</v>
      </c>
      <c r="I1803" s="831">
        <v>1.0023972659278548</v>
      </c>
      <c r="K1803">
        <v>1.7480101121352802</v>
      </c>
      <c r="L1803">
        <v>0</v>
      </c>
      <c r="M1803">
        <v>1.4310288288586904E-3</v>
      </c>
      <c r="N1803">
        <v>0.14204544113802811</v>
      </c>
      <c r="O1803">
        <v>1.817006016149781E-2</v>
      </c>
      <c r="P1803">
        <v>1.9845435801011436E-2</v>
      </c>
      <c r="Q1803">
        <v>2.1899729339337707E-3</v>
      </c>
      <c r="R1803">
        <v>1.4222578155934388E-3</v>
      </c>
      <c r="S1803">
        <v>0.15617694137310287</v>
      </c>
      <c r="T1803">
        <v>1.071783328530461</v>
      </c>
      <c r="U1803">
        <v>2.3632385420717206E-2</v>
      </c>
      <c r="V1803">
        <v>0.20871738051288494</v>
      </c>
      <c r="W1803">
        <v>8.5183384251279665E-2</v>
      </c>
      <c r="X1803">
        <v>1.6403636098746836E-2</v>
      </c>
      <c r="Y1803">
        <v>3.8709169268824361E-3</v>
      </c>
    </row>
    <row r="1804" spans="1:25" x14ac:dyDescent="0.25">
      <c r="A1804" s="827"/>
      <c r="B1804" s="1066">
        <v>1554</v>
      </c>
      <c r="C1804" s="831">
        <v>0.99650613755265582</v>
      </c>
      <c r="D1804" s="831">
        <v>0.95729890975395326</v>
      </c>
      <c r="E1804" s="831">
        <v>0.98456318086645667</v>
      </c>
      <c r="F1804" s="831">
        <v>1.0042274220448195</v>
      </c>
      <c r="G1804" s="831">
        <v>0.97365368989054191</v>
      </c>
      <c r="H1804" s="831">
        <v>0.98637142388722387</v>
      </c>
      <c r="I1804" s="831">
        <v>0.98504177944203086</v>
      </c>
      <c r="K1804">
        <v>1.7420452187875919</v>
      </c>
      <c r="L1804">
        <v>0</v>
      </c>
      <c r="M1804">
        <v>1.4450377835247114E-3</v>
      </c>
      <c r="N1804">
        <v>0.13872589625021306</v>
      </c>
      <c r="O1804">
        <v>1.8256968742494134E-2</v>
      </c>
      <c r="P1804">
        <v>1.9676315671371982E-2</v>
      </c>
      <c r="Q1804">
        <v>2.1710306270759732E-3</v>
      </c>
      <c r="R1804">
        <v>1.436048244283459E-3</v>
      </c>
      <c r="S1804">
        <v>0.1527607791411886</v>
      </c>
      <c r="T1804">
        <v>1.0727364013279148</v>
      </c>
      <c r="U1804">
        <v>2.3404299300736398E-2</v>
      </c>
      <c r="V1804">
        <v>0.21067372057699671</v>
      </c>
      <c r="W1804">
        <v>8.3808027351560802E-2</v>
      </c>
      <c r="X1804">
        <v>1.5932319409516876E-2</v>
      </c>
      <c r="Y1804">
        <v>3.9084499277630743E-3</v>
      </c>
    </row>
    <row r="1805" spans="1:25" x14ac:dyDescent="0.25">
      <c r="A1805" s="827"/>
      <c r="B1805" s="1066">
        <v>1555</v>
      </c>
      <c r="C1805" s="831">
        <v>0.99397842956108295</v>
      </c>
      <c r="D1805" s="831">
        <v>1.0218072363513084</v>
      </c>
      <c r="E1805" s="831">
        <v>1.0095667032967601</v>
      </c>
      <c r="F1805" s="831">
        <v>1.0255237792579512</v>
      </c>
      <c r="G1805" s="831">
        <v>0.9889193418837795</v>
      </c>
      <c r="H1805" s="831">
        <v>1.0098079925837711</v>
      </c>
      <c r="I1805" s="831">
        <v>0.98998591309186068</v>
      </c>
      <c r="K1805">
        <v>1.7365657120109783</v>
      </c>
      <c r="L1805">
        <v>0</v>
      </c>
      <c r="M1805">
        <v>1.3661296763268626E-3</v>
      </c>
      <c r="N1805">
        <v>0.14177827945125662</v>
      </c>
      <c r="O1805">
        <v>1.776995242000293E-2</v>
      </c>
      <c r="P1805">
        <v>1.9920421767962503E-2</v>
      </c>
      <c r="Q1805">
        <v>2.1786720810068223E-3</v>
      </c>
      <c r="R1805">
        <v>1.3577837840398896E-3</v>
      </c>
      <c r="S1805">
        <v>0.15146322032105952</v>
      </c>
      <c r="T1805">
        <v>1.0705148686240704</v>
      </c>
      <c r="U1805">
        <v>2.3463816924681004E-2</v>
      </c>
      <c r="V1805">
        <v>0.20485520245553757</v>
      </c>
      <c r="W1805">
        <v>8.4196163146533373E-2</v>
      </c>
      <c r="X1805">
        <v>1.6738020844301826E-2</v>
      </c>
      <c r="Y1805">
        <v>3.695439866852464E-3</v>
      </c>
    </row>
    <row r="1806" spans="1:25" x14ac:dyDescent="0.25">
      <c r="A1806" s="827"/>
      <c r="B1806" s="1066">
        <v>1556</v>
      </c>
      <c r="C1806" s="831">
        <v>1.0046887735113947</v>
      </c>
      <c r="D1806" s="831">
        <v>1.0143878257300283</v>
      </c>
      <c r="E1806" s="831">
        <v>1.027760078725906</v>
      </c>
      <c r="F1806" s="831">
        <v>0.98284166753265856</v>
      </c>
      <c r="G1806" s="831">
        <v>0.98160620650070762</v>
      </c>
      <c r="H1806" s="831">
        <v>0.96292426296428946</v>
      </c>
      <c r="I1806" s="831">
        <v>0.98724816004570248</v>
      </c>
      <c r="K1806">
        <v>1.7201684091074076</v>
      </c>
      <c r="L1806">
        <v>0</v>
      </c>
      <c r="M1806">
        <v>1.2443217073517673E-3</v>
      </c>
      <c r="N1806">
        <v>0.13660605237558091</v>
      </c>
      <c r="O1806">
        <v>1.7638525062565868E-2</v>
      </c>
      <c r="P1806">
        <v>2.0088061101637932E-2</v>
      </c>
      <c r="Q1806">
        <v>2.2007552070615545E-3</v>
      </c>
      <c r="R1806">
        <v>1.2363545240265525E-3</v>
      </c>
      <c r="S1806">
        <v>0.14660028037200534</v>
      </c>
      <c r="T1806">
        <v>1.0689132606313536</v>
      </c>
      <c r="U1806">
        <v>2.3213684190767629E-2</v>
      </c>
      <c r="V1806">
        <v>0.2043780872158952</v>
      </c>
      <c r="W1806">
        <v>8.0133834809538146E-2</v>
      </c>
      <c r="X1806">
        <v>1.7038885874085089E-2</v>
      </c>
      <c r="Y1806">
        <v>3.3649494502409655E-3</v>
      </c>
    </row>
    <row r="1807" spans="1:25" x14ac:dyDescent="0.25">
      <c r="A1807" s="827"/>
      <c r="B1807" s="1066">
        <v>1557</v>
      </c>
      <c r="C1807" s="831">
        <v>0.97646724308180566</v>
      </c>
      <c r="D1807" s="831">
        <v>0.98245355355362063</v>
      </c>
      <c r="E1807" s="831">
        <v>1.0079201871375949</v>
      </c>
      <c r="F1807" s="831">
        <v>0.96374187863453764</v>
      </c>
      <c r="G1807" s="831">
        <v>0.96254961643018433</v>
      </c>
      <c r="H1807" s="831">
        <v>1.0154928560556562</v>
      </c>
      <c r="I1807" s="831">
        <v>0.9873506107213873</v>
      </c>
      <c r="K1807">
        <v>1.7585859873609115</v>
      </c>
      <c r="L1807">
        <v>0</v>
      </c>
      <c r="M1807">
        <v>1.4284763382236645E-3</v>
      </c>
      <c r="N1807">
        <v>0.14749965708488255</v>
      </c>
      <c r="O1807">
        <v>1.8413231106766896E-2</v>
      </c>
      <c r="P1807">
        <v>2.0052853298538929E-2</v>
      </c>
      <c r="Q1807">
        <v>2.2465884159233915E-3</v>
      </c>
      <c r="R1807">
        <v>1.4198261082490084E-3</v>
      </c>
      <c r="S1807">
        <v>0.15671328217601777</v>
      </c>
      <c r="T1807">
        <v>1.0706604337480006</v>
      </c>
      <c r="U1807">
        <v>2.3884598345250686E-2</v>
      </c>
      <c r="V1807">
        <v>0.21045351086431455</v>
      </c>
      <c r="W1807">
        <v>8.7691988392794532E-2</v>
      </c>
      <c r="X1807">
        <v>1.7114195537290922E-2</v>
      </c>
      <c r="Y1807">
        <v>3.8642986211030075E-3</v>
      </c>
    </row>
    <row r="1808" spans="1:25" x14ac:dyDescent="0.25">
      <c r="A1808" s="827"/>
      <c r="B1808" s="1066">
        <v>1558</v>
      </c>
      <c r="C1808" s="831">
        <v>0.99131232421498239</v>
      </c>
      <c r="D1808" s="831">
        <v>0.95492660496358905</v>
      </c>
      <c r="E1808" s="831">
        <v>1.0053629794561607</v>
      </c>
      <c r="F1808" s="831">
        <v>0.96651892918636806</v>
      </c>
      <c r="G1808" s="831">
        <v>1.0268168973958438</v>
      </c>
      <c r="H1808" s="831">
        <v>1.0317405894557858</v>
      </c>
      <c r="I1808" s="831">
        <v>1.004102662574476</v>
      </c>
      <c r="K1808">
        <v>1.7656942114231637</v>
      </c>
      <c r="L1808">
        <v>0</v>
      </c>
      <c r="M1808">
        <v>1.4559968082948165E-3</v>
      </c>
      <c r="N1808">
        <v>0.14916699140063944</v>
      </c>
      <c r="O1808">
        <v>1.8373371269192359E-2</v>
      </c>
      <c r="P1808">
        <v>2.0073277989760132E-2</v>
      </c>
      <c r="Q1808">
        <v>2.2306998310077744E-3</v>
      </c>
      <c r="R1808">
        <v>1.4473391843963165E-3</v>
      </c>
      <c r="S1808">
        <v>0.16006337611805874</v>
      </c>
      <c r="T1808">
        <v>1.0708867144169358</v>
      </c>
      <c r="U1808">
        <v>2.3526922170338437E-2</v>
      </c>
      <c r="V1808">
        <v>0.21149928520471614</v>
      </c>
      <c r="W1808">
        <v>8.8837848069564143E-2</v>
      </c>
      <c r="X1808">
        <v>1.7105202432155357E-2</v>
      </c>
      <c r="Y1808">
        <v>3.9391801446928649E-3</v>
      </c>
    </row>
    <row r="1809" spans="1:25" x14ac:dyDescent="0.25">
      <c r="A1809" s="827"/>
      <c r="B1809" s="1066">
        <v>1559</v>
      </c>
      <c r="C1809" s="831">
        <v>1.0299900537289963</v>
      </c>
      <c r="D1809" s="831">
        <v>0.97634177201385541</v>
      </c>
      <c r="E1809" s="831">
        <v>1.0221377117554682</v>
      </c>
      <c r="F1809" s="831">
        <v>0.97893196912012792</v>
      </c>
      <c r="G1809" s="831">
        <v>0.96186819901751575</v>
      </c>
      <c r="H1809" s="831">
        <v>0.96917698236897998</v>
      </c>
      <c r="I1809" s="831">
        <v>0.9950640468085612</v>
      </c>
      <c r="K1809">
        <v>1.7196267603581112</v>
      </c>
      <c r="L1809">
        <v>0</v>
      </c>
      <c r="M1809">
        <v>1.2578242757225152E-3</v>
      </c>
      <c r="N1809">
        <v>0.13570672708692152</v>
      </c>
      <c r="O1809">
        <v>1.7505933834061568E-2</v>
      </c>
      <c r="P1809">
        <v>2.0020056043978676E-2</v>
      </c>
      <c r="Q1809">
        <v>2.1652570175684205E-3</v>
      </c>
      <c r="R1809">
        <v>1.2498475417206173E-3</v>
      </c>
      <c r="S1809">
        <v>0.14687290205602849</v>
      </c>
      <c r="T1809">
        <v>1.0694068728765991</v>
      </c>
      <c r="U1809">
        <v>2.2643449627368556E-2</v>
      </c>
      <c r="V1809">
        <v>0.20521082524404213</v>
      </c>
      <c r="W1809">
        <v>7.9907834832363606E-2</v>
      </c>
      <c r="X1809">
        <v>1.6793205476749312E-2</v>
      </c>
      <c r="Y1809">
        <v>3.401672996432124E-3</v>
      </c>
    </row>
    <row r="1810" spans="1:25" x14ac:dyDescent="0.25">
      <c r="A1810" s="827"/>
      <c r="B1810" s="1066">
        <v>1560</v>
      </c>
      <c r="C1810" s="831">
        <v>1.0260117359008865</v>
      </c>
      <c r="D1810" s="831">
        <v>1.0195805520034429</v>
      </c>
      <c r="E1810" s="831">
        <v>0.98177643058310005</v>
      </c>
      <c r="F1810" s="831">
        <v>1.0292177200695003</v>
      </c>
      <c r="G1810" s="831">
        <v>1.009512253215302</v>
      </c>
      <c r="H1810" s="831">
        <v>1.0068478269289598</v>
      </c>
      <c r="I1810" s="831">
        <v>0.97191705994325339</v>
      </c>
      <c r="K1810">
        <v>1.7132072384045267</v>
      </c>
      <c r="L1810">
        <v>0</v>
      </c>
      <c r="M1810">
        <v>1.4004539533235246E-3</v>
      </c>
      <c r="N1810">
        <v>0.13329647716187307</v>
      </c>
      <c r="O1810">
        <v>1.7232132199925351E-2</v>
      </c>
      <c r="P1810">
        <v>1.9390552749241639E-2</v>
      </c>
      <c r="Q1810">
        <v>2.0540302494328451E-3</v>
      </c>
      <c r="R1810">
        <v>1.3918747234854005E-3</v>
      </c>
      <c r="S1810">
        <v>0.1439869455493526</v>
      </c>
      <c r="T1810">
        <v>1.0729854596862383</v>
      </c>
      <c r="U1810">
        <v>2.2731248661424848E-2</v>
      </c>
      <c r="V1810">
        <v>0.20172794025272256</v>
      </c>
      <c r="W1810">
        <v>8.0683490789325046E-2</v>
      </c>
      <c r="X1810">
        <v>1.5339316168878974E-2</v>
      </c>
      <c r="Y1810">
        <v>3.7882241659479765E-3</v>
      </c>
    </row>
    <row r="1811" spans="1:25" x14ac:dyDescent="0.25">
      <c r="A1811" s="827"/>
      <c r="B1811" s="1066">
        <v>1561</v>
      </c>
      <c r="C1811" s="831">
        <v>0.96708812164919222</v>
      </c>
      <c r="D1811" s="831">
        <v>1.004176612742893</v>
      </c>
      <c r="E1811" s="831">
        <v>1.0045524191277175</v>
      </c>
      <c r="F1811" s="831">
        <v>1.0035696425862684</v>
      </c>
      <c r="G1811" s="831">
        <v>1.0233656780037557</v>
      </c>
      <c r="H1811" s="831">
        <v>0.99296430010143721</v>
      </c>
      <c r="I1811" s="831">
        <v>1.0114678129399706</v>
      </c>
      <c r="K1811">
        <v>1.7540910601163424</v>
      </c>
      <c r="L1811">
        <v>0</v>
      </c>
      <c r="M1811">
        <v>1.4063830449111477E-3</v>
      </c>
      <c r="N1811">
        <v>0.14368402427099619</v>
      </c>
      <c r="O1811">
        <v>1.8408393999637958E-2</v>
      </c>
      <c r="P1811">
        <v>2.0026798723662722E-2</v>
      </c>
      <c r="Q1811">
        <v>2.2424650470549584E-3</v>
      </c>
      <c r="R1811">
        <v>1.397657791671702E-3</v>
      </c>
      <c r="S1811">
        <v>0.15894265129249327</v>
      </c>
      <c r="T1811">
        <v>1.070958490372629</v>
      </c>
      <c r="U1811">
        <v>2.4116238609704833E-2</v>
      </c>
      <c r="V1811">
        <v>0.20944738784987887</v>
      </c>
      <c r="W1811">
        <v>8.5619723057992619E-2</v>
      </c>
      <c r="X1811">
        <v>1.6849648374368795E-2</v>
      </c>
      <c r="Y1811">
        <v>3.803963771163175E-3</v>
      </c>
    </row>
    <row r="1812" spans="1:25" x14ac:dyDescent="0.25">
      <c r="A1812" s="827"/>
      <c r="B1812" s="1066">
        <v>1562</v>
      </c>
      <c r="C1812" s="831">
        <v>0.98580966498035905</v>
      </c>
      <c r="D1812" s="831">
        <v>0.99811123957514025</v>
      </c>
      <c r="E1812" s="831">
        <v>1.0151461975006169</v>
      </c>
      <c r="F1812" s="831">
        <v>1.0163452657704208</v>
      </c>
      <c r="G1812" s="831">
        <v>0.97068076416266613</v>
      </c>
      <c r="H1812" s="831">
        <v>1.0009973556354295</v>
      </c>
      <c r="I1812" s="831">
        <v>1.0003472733277927</v>
      </c>
      <c r="K1812">
        <v>1.7472101577196064</v>
      </c>
      <c r="L1812">
        <v>0</v>
      </c>
      <c r="M1812">
        <v>1.3638372644128802E-3</v>
      </c>
      <c r="N1812">
        <v>0.14401035566095108</v>
      </c>
      <c r="O1812">
        <v>1.8108419207014989E-2</v>
      </c>
      <c r="P1812">
        <v>2.0091965946647312E-2</v>
      </c>
      <c r="Q1812">
        <v>2.228303381755913E-3</v>
      </c>
      <c r="R1812">
        <v>1.3554480083294751E-3</v>
      </c>
      <c r="S1812">
        <v>0.15518372929286986</v>
      </c>
      <c r="T1812">
        <v>1.0700223594187599</v>
      </c>
      <c r="U1812">
        <v>2.3658246339842776E-2</v>
      </c>
      <c r="V1812">
        <v>0.2079052789101915</v>
      </c>
      <c r="W1812">
        <v>8.5198613277574192E-2</v>
      </c>
      <c r="X1812">
        <v>1.7122192884722855E-2</v>
      </c>
      <c r="Y1812">
        <v>3.6890826553569729E-3</v>
      </c>
    </row>
    <row r="1813" spans="1:25" x14ac:dyDescent="0.25">
      <c r="A1813" s="827"/>
      <c r="B1813" s="1066">
        <v>1563</v>
      </c>
      <c r="C1813" s="831">
        <v>0.99698153469191875</v>
      </c>
      <c r="D1813" s="831">
        <v>1.0150641195752879</v>
      </c>
      <c r="E1813" s="831">
        <v>0.95471352269993837</v>
      </c>
      <c r="F1813" s="831">
        <v>1.0113359184953317</v>
      </c>
      <c r="G1813" s="831">
        <v>0.97675760886913632</v>
      </c>
      <c r="H1813" s="831">
        <v>0.98602584026755913</v>
      </c>
      <c r="I1813" s="831">
        <v>0.98418259706952527</v>
      </c>
      <c r="K1813">
        <v>1.7220512839150683</v>
      </c>
      <c r="L1813">
        <v>0</v>
      </c>
      <c r="M1813">
        <v>1.4967745961293696E-3</v>
      </c>
      <c r="N1813">
        <v>0.13091780925459634</v>
      </c>
      <c r="O1813">
        <v>1.7769524908601605E-2</v>
      </c>
      <c r="P1813">
        <v>1.9141590243312009E-2</v>
      </c>
      <c r="Q1813">
        <v>2.0595025801949671E-3</v>
      </c>
      <c r="R1813">
        <v>1.487415028909899E-3</v>
      </c>
      <c r="S1813">
        <v>0.14886030821663682</v>
      </c>
      <c r="T1813">
        <v>1.0754192859838876</v>
      </c>
      <c r="U1813">
        <v>2.3393139277659916E-2</v>
      </c>
      <c r="V1813">
        <v>0.2051363639660912</v>
      </c>
      <c r="W1813">
        <v>8.0758470863822054E-2</v>
      </c>
      <c r="X1813">
        <v>1.4556394805023512E-2</v>
      </c>
      <c r="Y1813">
        <v>4.0482533824602422E-3</v>
      </c>
    </row>
    <row r="1814" spans="1:25" x14ac:dyDescent="0.25">
      <c r="A1814" s="827"/>
      <c r="B1814" s="1066">
        <v>1564</v>
      </c>
      <c r="C1814" s="831">
        <v>0.97110127813782521</v>
      </c>
      <c r="D1814" s="831">
        <v>0.99828015279371729</v>
      </c>
      <c r="E1814" s="831">
        <v>1.0162917399111464</v>
      </c>
      <c r="F1814" s="831">
        <v>1.0120379699262694</v>
      </c>
      <c r="G1814" s="831">
        <v>1.0293338419921603</v>
      </c>
      <c r="H1814" s="831">
        <v>1.0157256048221697</v>
      </c>
      <c r="I1814" s="831">
        <v>1.0074175759661346</v>
      </c>
      <c r="K1814">
        <v>1.7615969979917823</v>
      </c>
      <c r="L1814">
        <v>0</v>
      </c>
      <c r="M1814">
        <v>1.401364400954064E-3</v>
      </c>
      <c r="N1814">
        <v>0.14851392478771938</v>
      </c>
      <c r="O1814">
        <v>1.8381281664538118E-2</v>
      </c>
      <c r="P1814">
        <v>2.0197954149035698E-2</v>
      </c>
      <c r="Q1814">
        <v>2.264494949792327E-3</v>
      </c>
      <c r="R1814">
        <v>1.3928691834553296E-3</v>
      </c>
      <c r="S1814">
        <v>0.15973412337760051</v>
      </c>
      <c r="T1814">
        <v>1.0699213866633885</v>
      </c>
      <c r="U1814">
        <v>2.401657625559532E-2</v>
      </c>
      <c r="V1814">
        <v>0.20954362649993577</v>
      </c>
      <c r="W1814">
        <v>8.7794897173816416E-2</v>
      </c>
      <c r="X1814">
        <v>1.7446296929697347E-2</v>
      </c>
      <c r="Y1814">
        <v>3.7909307581624821E-3</v>
      </c>
    </row>
    <row r="1815" spans="1:25" x14ac:dyDescent="0.25">
      <c r="A1815" s="827"/>
      <c r="B1815" s="1066">
        <v>1565</v>
      </c>
      <c r="C1815" s="831">
        <v>0.97806871558180797</v>
      </c>
      <c r="D1815" s="831">
        <v>0.98279576526699663</v>
      </c>
      <c r="E1815" s="831">
        <v>1.01992259240384</v>
      </c>
      <c r="F1815" s="831">
        <v>0.96512685885632721</v>
      </c>
      <c r="G1815" s="831">
        <v>1.02517279846739</v>
      </c>
      <c r="H1815" s="831">
        <v>0.99517076101641044</v>
      </c>
      <c r="I1815" s="831">
        <v>1.0235639466837851</v>
      </c>
      <c r="K1815">
        <v>1.7584867713065853</v>
      </c>
      <c r="L1815">
        <v>0</v>
      </c>
      <c r="M1815">
        <v>1.3624255070501662E-3</v>
      </c>
      <c r="N1815">
        <v>0.14600805607746759</v>
      </c>
      <c r="O1815">
        <v>1.8380175878656559E-2</v>
      </c>
      <c r="P1815">
        <v>2.0267155165422178E-2</v>
      </c>
      <c r="Q1815">
        <v>2.2696303892754057E-3</v>
      </c>
      <c r="R1815">
        <v>1.3540065349426198E-3</v>
      </c>
      <c r="S1815">
        <v>0.16063281117057646</v>
      </c>
      <c r="T1815">
        <v>1.0696016769211847</v>
      </c>
      <c r="U1815">
        <v>2.3845490124310628E-2</v>
      </c>
      <c r="V1815">
        <v>0.21023841888980629</v>
      </c>
      <c r="W1815">
        <v>8.6102049222949922E-2</v>
      </c>
      <c r="X1815">
        <v>1.7464566999063368E-2</v>
      </c>
      <c r="Y1815">
        <v>3.6851594399795258E-3</v>
      </c>
    </row>
    <row r="1816" spans="1:25" x14ac:dyDescent="0.25">
      <c r="A1816" s="827"/>
      <c r="B1816" s="1066">
        <v>1566</v>
      </c>
      <c r="C1816" s="831">
        <v>0.98240015362320443</v>
      </c>
      <c r="D1816" s="831">
        <v>0.96763293104345771</v>
      </c>
      <c r="E1816" s="831">
        <v>1.0003273358995677</v>
      </c>
      <c r="F1816" s="831">
        <v>1.001067052956746</v>
      </c>
      <c r="G1816" s="831">
        <v>1.0143416886609653</v>
      </c>
      <c r="H1816" s="831">
        <v>0.97196763600900205</v>
      </c>
      <c r="I1816" s="831">
        <v>0.95952718899248568</v>
      </c>
      <c r="K1816">
        <v>1.7403130765277837</v>
      </c>
      <c r="L1816">
        <v>0</v>
      </c>
      <c r="M1816">
        <v>1.3904706452242878E-3</v>
      </c>
      <c r="N1816">
        <v>0.14018737077547733</v>
      </c>
      <c r="O1816">
        <v>1.8428857828178713E-2</v>
      </c>
      <c r="P1816">
        <v>1.9855879296092529E-2</v>
      </c>
      <c r="Q1816">
        <v>2.2286220315910414E-3</v>
      </c>
      <c r="R1816">
        <v>1.3816845396323225E-3</v>
      </c>
      <c r="S1816">
        <v>0.14924150999853592</v>
      </c>
      <c r="T1816">
        <v>1.0713330276557702</v>
      </c>
      <c r="U1816">
        <v>2.3740354490262443E-2</v>
      </c>
      <c r="V1816">
        <v>0.21123814822370948</v>
      </c>
      <c r="W1816">
        <v>8.3777544062691764E-2</v>
      </c>
      <c r="X1816">
        <v>1.653005842637317E-2</v>
      </c>
      <c r="Y1816">
        <v>3.7604898446931033E-3</v>
      </c>
    </row>
    <row r="1817" spans="1:25" x14ac:dyDescent="0.25">
      <c r="A1817" s="827"/>
      <c r="B1817" s="1066">
        <v>1567</v>
      </c>
      <c r="C1817" s="831">
        <v>0.982565253167478</v>
      </c>
      <c r="D1817" s="831">
        <v>1.0235038534096152</v>
      </c>
      <c r="E1817" s="831">
        <v>0.96034593162937543</v>
      </c>
      <c r="F1817" s="831">
        <v>0.9676300606164171</v>
      </c>
      <c r="G1817" s="831">
        <v>1.0082455702337563</v>
      </c>
      <c r="H1817" s="831">
        <v>0.97026563794585652</v>
      </c>
      <c r="I1817" s="831">
        <v>0.9725154182722574</v>
      </c>
      <c r="K1817">
        <v>1.7216852689882298</v>
      </c>
      <c r="L1817">
        <v>0</v>
      </c>
      <c r="M1817">
        <v>1.4714465346333898E-3</v>
      </c>
      <c r="N1817">
        <v>0.13097088018392036</v>
      </c>
      <c r="O1817">
        <v>1.7962894356286247E-2</v>
      </c>
      <c r="P1817">
        <v>1.9217621487367779E-2</v>
      </c>
      <c r="Q1817">
        <v>2.0954255948003003E-3</v>
      </c>
      <c r="R1817">
        <v>1.4620896453448825E-3</v>
      </c>
      <c r="S1817">
        <v>0.14763496733878262</v>
      </c>
      <c r="T1817">
        <v>1.0749104921757282</v>
      </c>
      <c r="U1817">
        <v>2.3736365420127303E-2</v>
      </c>
      <c r="V1817">
        <v>0.20593854457553984</v>
      </c>
      <c r="W1817">
        <v>8.0471053519484942E-2</v>
      </c>
      <c r="X1817">
        <v>1.4777055188575146E-2</v>
      </c>
      <c r="Y1817">
        <v>3.9793260369067173E-3</v>
      </c>
    </row>
    <row r="1818" spans="1:25" x14ac:dyDescent="0.25">
      <c r="A1818" s="827"/>
      <c r="B1818" s="1066">
        <v>1568</v>
      </c>
      <c r="C1818" s="831">
        <v>1.0272309184592576</v>
      </c>
      <c r="D1818" s="831">
        <v>0.99786505411393323</v>
      </c>
      <c r="E1818" s="831">
        <v>0.99535466059794708</v>
      </c>
      <c r="F1818" s="831">
        <v>0.98014456687836393</v>
      </c>
      <c r="G1818" s="831">
        <v>0.99572825145182753</v>
      </c>
      <c r="H1818" s="831">
        <v>1.0137513521070478</v>
      </c>
      <c r="I1818" s="831">
        <v>1.0245283757903629</v>
      </c>
      <c r="K1818">
        <v>1.729932121267961</v>
      </c>
      <c r="L1818">
        <v>0</v>
      </c>
      <c r="M1818">
        <v>1.3821347062881763E-3</v>
      </c>
      <c r="N1818">
        <v>0.13724126056295083</v>
      </c>
      <c r="O1818">
        <v>1.7380171901437914E-2</v>
      </c>
      <c r="P1818">
        <v>1.9726437665260912E-2</v>
      </c>
      <c r="Q1818">
        <v>2.0966414717467578E-3</v>
      </c>
      <c r="R1818">
        <v>1.3737400287578826E-3</v>
      </c>
      <c r="S1818">
        <v>0.15345584120292532</v>
      </c>
      <c r="T1818">
        <v>1.0717746992453749</v>
      </c>
      <c r="U1818">
        <v>2.2704269779266983E-2</v>
      </c>
      <c r="V1818">
        <v>0.20351964226869815</v>
      </c>
      <c r="W1818">
        <v>8.2296876864562371E-2</v>
      </c>
      <c r="X1818">
        <v>1.6005807478265358E-2</v>
      </c>
      <c r="Y1818">
        <v>3.7388675050001835E-3</v>
      </c>
    </row>
    <row r="1819" spans="1:25" x14ac:dyDescent="0.25">
      <c r="A1819" s="827"/>
      <c r="B1819" s="1066">
        <v>1569</v>
      </c>
      <c r="C1819" s="831">
        <v>1.0118224528908732</v>
      </c>
      <c r="D1819" s="831">
        <v>0.99534828637645556</v>
      </c>
      <c r="E1819" s="831">
        <v>1.0026276414829165</v>
      </c>
      <c r="F1819" s="831">
        <v>1.0079075667380955</v>
      </c>
      <c r="G1819" s="831">
        <v>1.0088239341152525</v>
      </c>
      <c r="H1819" s="831">
        <v>1.0108849528718131</v>
      </c>
      <c r="I1819" s="831">
        <v>1.0299836309193837</v>
      </c>
      <c r="K1819">
        <v>1.7396981059091892</v>
      </c>
      <c r="L1819">
        <v>0</v>
      </c>
      <c r="M1819">
        <v>1.3795265744191319E-3</v>
      </c>
      <c r="N1819">
        <v>0.14011510555368017</v>
      </c>
      <c r="O1819">
        <v>1.7665048000975021E-2</v>
      </c>
      <c r="P1819">
        <v>1.9897503907797678E-2</v>
      </c>
      <c r="Q1819">
        <v>2.1462070271036108E-3</v>
      </c>
      <c r="R1819">
        <v>1.3711257110731873E-3</v>
      </c>
      <c r="S1819">
        <v>0.15657682113034357</v>
      </c>
      <c r="T1819">
        <v>1.0711290308660921</v>
      </c>
      <c r="U1819">
        <v>2.3050020121285604E-2</v>
      </c>
      <c r="V1819">
        <v>0.20534938970108643</v>
      </c>
      <c r="W1819">
        <v>8.3602802055009556E-2</v>
      </c>
      <c r="X1819">
        <v>1.644282621508826E-2</v>
      </c>
      <c r="Y1819">
        <v>3.731752194072035E-3</v>
      </c>
    </row>
    <row r="1820" spans="1:25" x14ac:dyDescent="0.25">
      <c r="A1820" s="827"/>
      <c r="B1820" s="1066">
        <v>1570</v>
      </c>
      <c r="C1820" s="831">
        <v>0.97369679346465932</v>
      </c>
      <c r="D1820" s="831">
        <v>0.97375448975888812</v>
      </c>
      <c r="E1820" s="831">
        <v>0.99835807171360358</v>
      </c>
      <c r="F1820" s="831">
        <v>0.97878413421897159</v>
      </c>
      <c r="G1820" s="831">
        <v>1.0347961672710557</v>
      </c>
      <c r="H1820" s="831">
        <v>1.017231672413891</v>
      </c>
      <c r="I1820" s="831">
        <v>1.0111194505555139</v>
      </c>
      <c r="K1820">
        <v>1.7658874755641318</v>
      </c>
      <c r="L1820">
        <v>0</v>
      </c>
      <c r="M1820">
        <v>1.4701170092232302E-3</v>
      </c>
      <c r="N1820">
        <v>0.14735320364281898</v>
      </c>
      <c r="O1820">
        <v>1.8540358670491922E-2</v>
      </c>
      <c r="P1820">
        <v>2.0006757217382966E-2</v>
      </c>
      <c r="Q1820">
        <v>2.2388460385577907E-3</v>
      </c>
      <c r="R1820">
        <v>1.4612363520341857E-3</v>
      </c>
      <c r="S1820">
        <v>0.16167102416596749</v>
      </c>
      <c r="T1820">
        <v>1.0715078255622463</v>
      </c>
      <c r="U1820">
        <v>2.3952556950830345E-2</v>
      </c>
      <c r="V1820">
        <v>0.21163080601772882</v>
      </c>
      <c r="W1820">
        <v>8.8178717095067388E-2</v>
      </c>
      <c r="X1820">
        <v>1.6839257206427573E-2</v>
      </c>
      <c r="Y1820">
        <v>3.9770036538030636E-3</v>
      </c>
    </row>
    <row r="1821" spans="1:25" x14ac:dyDescent="0.25">
      <c r="A1821" s="827"/>
      <c r="B1821" s="1066">
        <v>1571</v>
      </c>
      <c r="C1821" s="831">
        <v>1.0062760393648564</v>
      </c>
      <c r="D1821" s="831">
        <v>0.98327303611817873</v>
      </c>
      <c r="E1821" s="831">
        <v>1.0258925718959691</v>
      </c>
      <c r="F1821" s="831">
        <v>1.0043635738607761</v>
      </c>
      <c r="G1821" s="831">
        <v>0.96422941632335735</v>
      </c>
      <c r="H1821" s="831">
        <v>0.97617442711321945</v>
      </c>
      <c r="I1821" s="831">
        <v>0.99317806021295918</v>
      </c>
      <c r="K1821">
        <v>1.7325315694299317</v>
      </c>
      <c r="L1821">
        <v>0</v>
      </c>
      <c r="M1821">
        <v>1.2823897808247481E-3</v>
      </c>
      <c r="N1821">
        <v>0.13998581946106167</v>
      </c>
      <c r="O1821">
        <v>1.7861017521032318E-2</v>
      </c>
      <c r="P1821">
        <v>2.0148700147449686E-2</v>
      </c>
      <c r="Q1821">
        <v>2.2187202186390669E-3</v>
      </c>
      <c r="R1821">
        <v>1.2743108503746711E-3</v>
      </c>
      <c r="S1821">
        <v>0.15010827066995061</v>
      </c>
      <c r="T1821">
        <v>1.0690770843145969</v>
      </c>
      <c r="U1821">
        <v>2.3177067708999584E-2</v>
      </c>
      <c r="V1821">
        <v>0.20706608036996449</v>
      </c>
      <c r="W1821">
        <v>8.2219479125581696E-2</v>
      </c>
      <c r="X1821">
        <v>1.7209154764843401E-2</v>
      </c>
      <c r="Y1821">
        <v>3.4682540582609265E-3</v>
      </c>
    </row>
    <row r="1822" spans="1:25" x14ac:dyDescent="0.25">
      <c r="A1822" s="827"/>
      <c r="B1822" s="1066">
        <v>1572</v>
      </c>
      <c r="C1822" s="831">
        <v>1.0089524872930546</v>
      </c>
      <c r="D1822" s="831">
        <v>0.97531931564526586</v>
      </c>
      <c r="E1822" s="831">
        <v>1.0019009918991388</v>
      </c>
      <c r="F1822" s="831">
        <v>1.0165737145737972</v>
      </c>
      <c r="G1822" s="831">
        <v>1.0020006978915694</v>
      </c>
      <c r="H1822" s="831">
        <v>0.99793929883379018</v>
      </c>
      <c r="I1822" s="831">
        <v>0.98377230444862618</v>
      </c>
      <c r="K1822">
        <v>1.7356113464660332</v>
      </c>
      <c r="L1822">
        <v>0</v>
      </c>
      <c r="M1822">
        <v>1.3804869112010643E-3</v>
      </c>
      <c r="N1822">
        <v>0.13988640755916124</v>
      </c>
      <c r="O1822">
        <v>1.7879456582383078E-2</v>
      </c>
      <c r="P1822">
        <v>1.9833037206993878E-2</v>
      </c>
      <c r="Q1822">
        <v>2.1670298477896579E-3</v>
      </c>
      <c r="R1822">
        <v>1.3719853469690868E-3</v>
      </c>
      <c r="S1822">
        <v>0.150334652001964</v>
      </c>
      <c r="T1822">
        <v>1.0711934503618277</v>
      </c>
      <c r="U1822">
        <v>2.3115585909179739E-2</v>
      </c>
      <c r="V1822">
        <v>0.20753243726337853</v>
      </c>
      <c r="W1822">
        <v>8.3507788792299364E-2</v>
      </c>
      <c r="X1822">
        <v>1.6435910665685331E-2</v>
      </c>
      <c r="Y1822">
        <v>3.7340918396017763E-3</v>
      </c>
    </row>
    <row r="1823" spans="1:25" x14ac:dyDescent="0.25">
      <c r="A1823" s="827"/>
      <c r="B1823" s="1066">
        <v>1573</v>
      </c>
      <c r="C1823" s="831">
        <v>1.0119113774302917</v>
      </c>
      <c r="D1823" s="831">
        <v>0.96743701191798248</v>
      </c>
      <c r="E1823" s="831">
        <v>1.0095085792886176</v>
      </c>
      <c r="F1823" s="831">
        <v>1.027503585867545</v>
      </c>
      <c r="G1823" s="831">
        <v>0.99118220526249023</v>
      </c>
      <c r="H1823" s="831">
        <v>0.9918901075461265</v>
      </c>
      <c r="I1823" s="831">
        <v>1.0250709855078242</v>
      </c>
      <c r="K1823">
        <v>1.7417561614526487</v>
      </c>
      <c r="L1823">
        <v>0</v>
      </c>
      <c r="M1823">
        <v>1.3513131026339918E-3</v>
      </c>
      <c r="N1823">
        <v>0.14020360418972144</v>
      </c>
      <c r="O1823">
        <v>1.7893049064790573E-2</v>
      </c>
      <c r="P1823">
        <v>2.0022868394033735E-2</v>
      </c>
      <c r="Q1823">
        <v>2.1837964232161939E-3</v>
      </c>
      <c r="R1823">
        <v>1.3429460685962528E-3</v>
      </c>
      <c r="S1823">
        <v>0.15626992196155348</v>
      </c>
      <c r="T1823">
        <v>1.0705200055033042</v>
      </c>
      <c r="U1823">
        <v>2.3047994536369156E-2</v>
      </c>
      <c r="V1823">
        <v>0.2079751541899453</v>
      </c>
      <c r="W1823">
        <v>8.3264319145588669E-2</v>
      </c>
      <c r="X1823">
        <v>1.6728758581498176E-2</v>
      </c>
      <c r="Y1823">
        <v>3.655056496666466E-3</v>
      </c>
    </row>
    <row r="1824" spans="1:25" x14ac:dyDescent="0.25">
      <c r="A1824" s="827"/>
      <c r="B1824" s="1066">
        <v>1574</v>
      </c>
      <c r="C1824" s="831">
        <v>1.0165130427232056</v>
      </c>
      <c r="D1824" s="831">
        <v>1.0343435090760253</v>
      </c>
      <c r="E1824" s="831">
        <v>0.95548433101751751</v>
      </c>
      <c r="F1824" s="831">
        <v>1.0086303537513164</v>
      </c>
      <c r="G1824" s="831">
        <v>0.99430814440932769</v>
      </c>
      <c r="H1824" s="831">
        <v>0.99952925655555169</v>
      </c>
      <c r="I1824" s="831">
        <v>1.0006340626752603</v>
      </c>
      <c r="K1824">
        <v>1.7135110573432586</v>
      </c>
      <c r="L1824">
        <v>0</v>
      </c>
      <c r="M1824">
        <v>1.4731642590687241E-3</v>
      </c>
      <c r="N1824">
        <v>0.12917286134706496</v>
      </c>
      <c r="O1824">
        <v>1.728061629481515E-2</v>
      </c>
      <c r="P1824">
        <v>1.90889004578364E-2</v>
      </c>
      <c r="Q1824">
        <v>2.0074833811574988E-3</v>
      </c>
      <c r="R1824">
        <v>1.4640630216900359E-3</v>
      </c>
      <c r="S1824">
        <v>0.14822935187727745</v>
      </c>
      <c r="T1824">
        <v>1.0753495864070339</v>
      </c>
      <c r="U1824">
        <v>2.2943658288754349E-2</v>
      </c>
      <c r="V1824">
        <v>0.20142311956840464</v>
      </c>
      <c r="W1824">
        <v>7.9638714596912574E-2</v>
      </c>
      <c r="X1824">
        <v>1.4401169444584614E-2</v>
      </c>
      <c r="Y1824">
        <v>3.9846969167948868E-3</v>
      </c>
    </row>
    <row r="1825" spans="1:25" x14ac:dyDescent="0.25">
      <c r="A1825" s="827"/>
      <c r="B1825" s="1066">
        <v>1575</v>
      </c>
      <c r="C1825" s="831">
        <v>0.98856281605965624</v>
      </c>
      <c r="D1825" s="831">
        <v>0.99712617196030551</v>
      </c>
      <c r="E1825" s="831">
        <v>0.96744278036945242</v>
      </c>
      <c r="F1825" s="831">
        <v>0.9525932680404583</v>
      </c>
      <c r="G1825" s="831">
        <v>1.0002032555703393</v>
      </c>
      <c r="H1825" s="831">
        <v>1.0163695392239389</v>
      </c>
      <c r="I1825" s="831">
        <v>0.98935301190766556</v>
      </c>
      <c r="K1825">
        <v>1.7428716886727056</v>
      </c>
      <c r="L1825">
        <v>0</v>
      </c>
      <c r="M1825">
        <v>1.5273321344066015E-3</v>
      </c>
      <c r="N1825">
        <v>0.13903045689313495</v>
      </c>
      <c r="O1825">
        <v>1.8066067995311439E-2</v>
      </c>
      <c r="P1825">
        <v>1.9423706839721475E-2</v>
      </c>
      <c r="Q1825">
        <v>2.1183415755289974E-3</v>
      </c>
      <c r="R1825">
        <v>1.5180800263243704E-3</v>
      </c>
      <c r="S1825">
        <v>0.15421936873521025</v>
      </c>
      <c r="T1825">
        <v>1.0742710991662929</v>
      </c>
      <c r="U1825">
        <v>2.3592358036755998E-2</v>
      </c>
      <c r="V1825">
        <v>0.20769280041311236</v>
      </c>
      <c r="W1825">
        <v>8.499861683897747E-2</v>
      </c>
      <c r="X1825">
        <v>1.5336410890032563E-2</v>
      </c>
      <c r="Y1825">
        <v>4.1317133967087522E-3</v>
      </c>
    </row>
    <row r="1826" spans="1:25" x14ac:dyDescent="0.25">
      <c r="A1826" s="827"/>
      <c r="B1826" s="1066">
        <v>1576</v>
      </c>
      <c r="C1826" s="831">
        <v>0.99935274639498783</v>
      </c>
      <c r="D1826" s="831">
        <v>0.96236969271039186</v>
      </c>
      <c r="E1826" s="831">
        <v>0.99746094710392597</v>
      </c>
      <c r="F1826" s="831">
        <v>0.97904974335911821</v>
      </c>
      <c r="G1826" s="831">
        <v>1.0131625925573342</v>
      </c>
      <c r="H1826" s="831">
        <v>0.9955579925884438</v>
      </c>
      <c r="I1826" s="831">
        <v>1.0357765693725738</v>
      </c>
      <c r="K1826">
        <v>1.7514724099359051</v>
      </c>
      <c r="L1826">
        <v>0</v>
      </c>
      <c r="M1826">
        <v>1.4120289169062047E-3</v>
      </c>
      <c r="N1826">
        <v>0.14111855029900489</v>
      </c>
      <c r="O1826">
        <v>1.8161240389038498E-2</v>
      </c>
      <c r="P1826">
        <v>1.994600036857027E-2</v>
      </c>
      <c r="Q1826">
        <v>2.1889385196928526E-3</v>
      </c>
      <c r="R1826">
        <v>1.4033219525251106E-3</v>
      </c>
      <c r="S1826">
        <v>0.16051430426115845</v>
      </c>
      <c r="T1826">
        <v>1.0715875056001771</v>
      </c>
      <c r="U1826">
        <v>2.3337633265566753E-2</v>
      </c>
      <c r="V1826">
        <v>0.20984749386072446</v>
      </c>
      <c r="W1826">
        <v>8.4499722149189424E-2</v>
      </c>
      <c r="X1826">
        <v>1.6460348437346704E-2</v>
      </c>
      <c r="Y1826">
        <v>3.8193797498160278E-3</v>
      </c>
    </row>
    <row r="1827" spans="1:25" x14ac:dyDescent="0.25">
      <c r="A1827" s="827"/>
      <c r="B1827" s="1066">
        <v>1577</v>
      </c>
      <c r="C1827" s="831">
        <v>1.0360737609909731</v>
      </c>
      <c r="D1827" s="831">
        <v>1.0171725096345949</v>
      </c>
      <c r="E1827" s="831">
        <v>1.0055399739520547</v>
      </c>
      <c r="F1827" s="831">
        <v>1.0467722024833754</v>
      </c>
      <c r="G1827" s="831">
        <v>0.98800726071605138</v>
      </c>
      <c r="H1827" s="831">
        <v>1.0322323554118236</v>
      </c>
      <c r="I1827" s="831">
        <v>0.99811520193558889</v>
      </c>
      <c r="K1827">
        <v>1.722927125636728</v>
      </c>
      <c r="L1827">
        <v>0</v>
      </c>
      <c r="M1827">
        <v>1.3539271080897316E-3</v>
      </c>
      <c r="N1827">
        <v>0.13878239527594474</v>
      </c>
      <c r="O1827">
        <v>1.7083027463252021E-2</v>
      </c>
      <c r="P1827">
        <v>1.9755939418916436E-2</v>
      </c>
      <c r="Q1827">
        <v>2.0852577023881304E-3</v>
      </c>
      <c r="R1827">
        <v>1.3458384166704725E-3</v>
      </c>
      <c r="S1827">
        <v>0.1483176876186913</v>
      </c>
      <c r="T1827">
        <v>1.0708710446732232</v>
      </c>
      <c r="U1827">
        <v>2.2510489867049493E-2</v>
      </c>
      <c r="V1827">
        <v>0.20092824713340521</v>
      </c>
      <c r="W1827">
        <v>8.2643229888829772E-2</v>
      </c>
      <c r="X1827">
        <v>1.6294966771784571E-2</v>
      </c>
      <c r="Y1827">
        <v>3.6629285146622063E-3</v>
      </c>
    </row>
    <row r="1828" spans="1:25" x14ac:dyDescent="0.25">
      <c r="A1828" s="827"/>
      <c r="B1828" s="1066">
        <v>1578</v>
      </c>
      <c r="C1828" s="831">
        <v>1.0026167911632511</v>
      </c>
      <c r="D1828" s="831">
        <v>1.0074227813053922</v>
      </c>
      <c r="E1828" s="831">
        <v>1.0210386613642053</v>
      </c>
      <c r="F1828" s="831">
        <v>0.96946393263250163</v>
      </c>
      <c r="G1828" s="831">
        <v>1.0090599661812547</v>
      </c>
      <c r="H1828" s="831">
        <v>1.0007319989207537</v>
      </c>
      <c r="I1828" s="831">
        <v>0.96595273291632966</v>
      </c>
      <c r="K1828">
        <v>1.7306676060169903</v>
      </c>
      <c r="L1828">
        <v>0</v>
      </c>
      <c r="M1828">
        <v>1.3184913390128083E-3</v>
      </c>
      <c r="N1828">
        <v>0.14179358590471453</v>
      </c>
      <c r="O1828">
        <v>1.7730153830180399E-2</v>
      </c>
      <c r="P1828">
        <v>2.0012375094832703E-2</v>
      </c>
      <c r="Q1828">
        <v>2.1962568744483303E-3</v>
      </c>
      <c r="R1828">
        <v>1.3103727344713971E-3</v>
      </c>
      <c r="S1828">
        <v>0.14675112782352165</v>
      </c>
      <c r="T1828">
        <v>1.0695035033303679</v>
      </c>
      <c r="U1828">
        <v>2.3261656999823469E-2</v>
      </c>
      <c r="V1828">
        <v>0.20522533996755188</v>
      </c>
      <c r="W1828">
        <v>8.355381746793851E-2</v>
      </c>
      <c r="X1828">
        <v>1.7081504709175535E-2</v>
      </c>
      <c r="Y1828">
        <v>3.5664026189753187E-3</v>
      </c>
    </row>
    <row r="1829" spans="1:25" x14ac:dyDescent="0.25">
      <c r="A1829" s="827"/>
      <c r="B1829" s="1066">
        <v>1579</v>
      </c>
      <c r="C1829" s="831">
        <v>0.97173604971731264</v>
      </c>
      <c r="D1829" s="831">
        <v>0.97623633929116682</v>
      </c>
      <c r="E1829" s="831">
        <v>1.0127435100220199</v>
      </c>
      <c r="F1829" s="831">
        <v>1.044346243401008</v>
      </c>
      <c r="G1829" s="831">
        <v>1.0215277664665343</v>
      </c>
      <c r="H1829" s="831">
        <v>0.98885062370793209</v>
      </c>
      <c r="I1829" s="831">
        <v>1.0047242621286481</v>
      </c>
      <c r="K1829">
        <v>1.7580859769488313</v>
      </c>
      <c r="L1829">
        <v>0</v>
      </c>
      <c r="M1829">
        <v>1.3876130492631643E-3</v>
      </c>
      <c r="N1829">
        <v>0.14542144473083446</v>
      </c>
      <c r="O1829">
        <v>1.8556296523197163E-2</v>
      </c>
      <c r="P1829">
        <v>2.0163171299491925E-2</v>
      </c>
      <c r="Q1829">
        <v>2.2737876172158051E-3</v>
      </c>
      <c r="R1829">
        <v>1.3789883880877187E-3</v>
      </c>
      <c r="S1829">
        <v>0.15867234485311849</v>
      </c>
      <c r="T1829">
        <v>1.0702343033755433</v>
      </c>
      <c r="U1829">
        <v>2.4000887797759378E-2</v>
      </c>
      <c r="V1829">
        <v>0.21161084115023951</v>
      </c>
      <c r="W1829">
        <v>8.6173620692481093E-2</v>
      </c>
      <c r="X1829">
        <v>1.7234751761151357E-2</v>
      </c>
      <c r="Y1829">
        <v>3.753151808974807E-3</v>
      </c>
    </row>
    <row r="1830" spans="1:25" x14ac:dyDescent="0.25">
      <c r="A1830" s="827"/>
      <c r="B1830" s="1066">
        <v>1580</v>
      </c>
      <c r="C1830" s="831">
        <v>0.98757229675569702</v>
      </c>
      <c r="D1830" s="831">
        <v>0.98722309261876262</v>
      </c>
      <c r="E1830" s="831">
        <v>1.0121223639124661</v>
      </c>
      <c r="F1830" s="831">
        <v>0.95914793813987553</v>
      </c>
      <c r="G1830" s="831">
        <v>1.0262716067851425</v>
      </c>
      <c r="H1830" s="831">
        <v>0.97166594929541528</v>
      </c>
      <c r="I1830" s="831">
        <v>0.99325928075248016</v>
      </c>
      <c r="K1830">
        <v>1.7385495218201126</v>
      </c>
      <c r="L1830">
        <v>0</v>
      </c>
      <c r="M1830">
        <v>1.3365935813666836E-3</v>
      </c>
      <c r="N1830">
        <v>0.13978815757860863</v>
      </c>
      <c r="O1830">
        <v>1.8166210938138614E-2</v>
      </c>
      <c r="P1830">
        <v>2.0023187958259511E-2</v>
      </c>
      <c r="Q1830">
        <v>2.226670632967559E-3</v>
      </c>
      <c r="R1830">
        <v>1.328131316606525E-3</v>
      </c>
      <c r="S1830">
        <v>0.15238170620417918</v>
      </c>
      <c r="T1830">
        <v>1.0702891309579017</v>
      </c>
      <c r="U1830">
        <v>2.361602079657428E-2</v>
      </c>
      <c r="V1830">
        <v>0.20873759889668711</v>
      </c>
      <c r="W1830">
        <v>8.2870365636347032E-2</v>
      </c>
      <c r="X1830">
        <v>1.684419885977697E-2</v>
      </c>
      <c r="Y1830">
        <v>3.6147356254321084E-3</v>
      </c>
    </row>
    <row r="1831" spans="1:25" x14ac:dyDescent="0.25">
      <c r="A1831" s="827"/>
      <c r="B1831" s="1066">
        <v>1581</v>
      </c>
      <c r="C1831" s="831">
        <v>0.9905776263594408</v>
      </c>
      <c r="D1831" s="831">
        <v>0.98015997688067857</v>
      </c>
      <c r="E1831" s="831">
        <v>1.0153730593062495</v>
      </c>
      <c r="F1831" s="831">
        <v>0.9743851541514249</v>
      </c>
      <c r="G1831" s="831">
        <v>1.0233302419051493</v>
      </c>
      <c r="H1831" s="831">
        <v>1.0173353440678961</v>
      </c>
      <c r="I1831" s="831">
        <v>0.99546415244966358</v>
      </c>
      <c r="K1831">
        <v>1.7540292335632026</v>
      </c>
      <c r="L1831">
        <v>0</v>
      </c>
      <c r="M1831">
        <v>1.390148603500269E-3</v>
      </c>
      <c r="N1831">
        <v>0.14690807544969187</v>
      </c>
      <c r="O1831">
        <v>1.8170211498201621E-2</v>
      </c>
      <c r="P1831">
        <v>2.012152799984486E-2</v>
      </c>
      <c r="Q1831">
        <v>2.2330687060485685E-3</v>
      </c>
      <c r="R1831">
        <v>1.3817473315719442E-3</v>
      </c>
      <c r="S1831">
        <v>0.15603617961833563</v>
      </c>
      <c r="T1831">
        <v>1.0700023589541878</v>
      </c>
      <c r="U1831">
        <v>2.3544371766216723E-2</v>
      </c>
      <c r="V1831">
        <v>0.20908512349411229</v>
      </c>
      <c r="W1831">
        <v>8.6899598672057182E-2</v>
      </c>
      <c r="X1831">
        <v>1.7276457932779946E-2</v>
      </c>
      <c r="Y1831">
        <v>3.7606607436533957E-3</v>
      </c>
    </row>
    <row r="1832" spans="1:25" x14ac:dyDescent="0.25">
      <c r="A1832" s="827"/>
      <c r="B1832" s="1066">
        <v>1582</v>
      </c>
      <c r="C1832" s="831">
        <v>0.99526247253606359</v>
      </c>
      <c r="D1832" s="831">
        <v>0.99419569878211311</v>
      </c>
      <c r="E1832" s="831">
        <v>0.96774131637230287</v>
      </c>
      <c r="F1832" s="831">
        <v>1.0071031768268579</v>
      </c>
      <c r="G1832" s="831">
        <v>1.0254792444187106</v>
      </c>
      <c r="H1832" s="831">
        <v>1.0000738917230019</v>
      </c>
      <c r="I1832" s="831">
        <v>1.0161205515412997</v>
      </c>
      <c r="K1832">
        <v>1.7392914567009756</v>
      </c>
      <c r="L1832">
        <v>0</v>
      </c>
      <c r="M1832">
        <v>1.4937832497450994E-3</v>
      </c>
      <c r="N1832">
        <v>0.13608990013835931</v>
      </c>
      <c r="O1832">
        <v>1.7968406959192523E-2</v>
      </c>
      <c r="P1832">
        <v>1.9447572554589416E-2</v>
      </c>
      <c r="Q1832">
        <v>2.1070245472683269E-3</v>
      </c>
      <c r="R1832">
        <v>1.4845891339593433E-3</v>
      </c>
      <c r="S1832">
        <v>0.15632075173272619</v>
      </c>
      <c r="T1832">
        <v>1.0742442437782864</v>
      </c>
      <c r="U1832">
        <v>2.3433544961133965E-2</v>
      </c>
      <c r="V1832">
        <v>0.20723424762772594</v>
      </c>
      <c r="W1832">
        <v>8.3183473423178236E-2</v>
      </c>
      <c r="X1832">
        <v>1.5230922866338854E-2</v>
      </c>
      <c r="Y1832">
        <v>4.0405622279608517E-3</v>
      </c>
    </row>
    <row r="1833" spans="1:25" x14ac:dyDescent="0.25">
      <c r="A1833" s="827"/>
      <c r="B1833" s="1066">
        <v>1583</v>
      </c>
      <c r="C1833" s="831">
        <v>0.98492310962702945</v>
      </c>
      <c r="D1833" s="831">
        <v>1.0034357058394665</v>
      </c>
      <c r="E1833" s="831">
        <v>0.97354706575228001</v>
      </c>
      <c r="F1833" s="831">
        <v>1.0222255276661345</v>
      </c>
      <c r="G1833" s="831">
        <v>1.0043173581847065</v>
      </c>
      <c r="H1833" s="831">
        <v>1.0094639089435071</v>
      </c>
      <c r="I1833" s="831">
        <v>0.98947513569827827</v>
      </c>
      <c r="K1833">
        <v>1.741835281045168</v>
      </c>
      <c r="L1833">
        <v>0</v>
      </c>
      <c r="M1833">
        <v>1.4989190580368471E-3</v>
      </c>
      <c r="N1833">
        <v>0.13905959659956535</v>
      </c>
      <c r="O1833">
        <v>1.8081096175011847E-2</v>
      </c>
      <c r="P1833">
        <v>1.9501996246395092E-2</v>
      </c>
      <c r="Q1833">
        <v>2.1344720334684148E-3</v>
      </c>
      <c r="R1833">
        <v>1.4897722539612553E-3</v>
      </c>
      <c r="S1833">
        <v>0.15390599368156238</v>
      </c>
      <c r="T1833">
        <v>1.073722640283959</v>
      </c>
      <c r="U1833">
        <v>2.3679541753401433E-2</v>
      </c>
      <c r="V1833">
        <v>0.20750931770761324</v>
      </c>
      <c r="W1833">
        <v>8.4654684494346627E-2</v>
      </c>
      <c r="X1833">
        <v>1.5540419901927198E-2</v>
      </c>
      <c r="Y1833">
        <v>4.0546689719910068E-3</v>
      </c>
    </row>
    <row r="1834" spans="1:25" x14ac:dyDescent="0.25">
      <c r="A1834" s="827"/>
      <c r="B1834" s="1066">
        <v>1584</v>
      </c>
      <c r="C1834" s="831">
        <v>0.99151612715380655</v>
      </c>
      <c r="D1834" s="831">
        <v>1.0110840695811727</v>
      </c>
      <c r="E1834" s="831">
        <v>0.99120449066448701</v>
      </c>
      <c r="F1834" s="831">
        <v>0.97775054362449842</v>
      </c>
      <c r="G1834" s="831">
        <v>0.99467635744700544</v>
      </c>
      <c r="H1834" s="831">
        <v>1.0020522959166525</v>
      </c>
      <c r="I1834" s="831">
        <v>0.99977745366436066</v>
      </c>
      <c r="K1834">
        <v>1.7376497122057537</v>
      </c>
      <c r="L1834">
        <v>0</v>
      </c>
      <c r="M1834">
        <v>1.4193343218444345E-3</v>
      </c>
      <c r="N1834">
        <v>0.13911530903203734</v>
      </c>
      <c r="O1834">
        <v>1.7899249494795662E-2</v>
      </c>
      <c r="P1834">
        <v>1.971589902258802E-2</v>
      </c>
      <c r="Q1834">
        <v>2.1525529437902177E-3</v>
      </c>
      <c r="R1834">
        <v>1.4106037249838515E-3</v>
      </c>
      <c r="S1834">
        <v>0.15345460255706417</v>
      </c>
      <c r="T1834">
        <v>1.0721440300048177</v>
      </c>
      <c r="U1834">
        <v>2.3522086287443022E-2</v>
      </c>
      <c r="V1834">
        <v>0.20608334851212481</v>
      </c>
      <c r="W1834">
        <v>8.3658998368789761E-2</v>
      </c>
      <c r="X1834">
        <v>1.6073168245150586E-2</v>
      </c>
      <c r="Y1834">
        <v>3.8391983340130757E-3</v>
      </c>
    </row>
    <row r="1835" spans="1:25" x14ac:dyDescent="0.25">
      <c r="A1835" s="827"/>
      <c r="B1835" s="1066">
        <v>1585</v>
      </c>
      <c r="C1835" s="831">
        <v>0.97387905591014601</v>
      </c>
      <c r="D1835" s="831">
        <v>1.0178080329126007</v>
      </c>
      <c r="E1835" s="831">
        <v>0.96990550165501466</v>
      </c>
      <c r="F1835" s="831">
        <v>1.0084129471890799</v>
      </c>
      <c r="G1835" s="831">
        <v>1.0133114958483709</v>
      </c>
      <c r="H1835" s="831">
        <v>1.034813013391259</v>
      </c>
      <c r="I1835" s="831">
        <v>0.99858356033737572</v>
      </c>
      <c r="K1835">
        <v>1.7528741652008204</v>
      </c>
      <c r="L1835">
        <v>0</v>
      </c>
      <c r="M1835">
        <v>1.5558624294324818E-3</v>
      </c>
      <c r="N1835">
        <v>0.14273343225455354</v>
      </c>
      <c r="O1835">
        <v>1.8168867894078518E-2</v>
      </c>
      <c r="P1835">
        <v>1.9509137504497717E-2</v>
      </c>
      <c r="Q1835">
        <v>2.1393516115267869E-3</v>
      </c>
      <c r="R1835">
        <v>1.5465900400774499E-3</v>
      </c>
      <c r="S1835">
        <v>0.15801126722106704</v>
      </c>
      <c r="T1835">
        <v>1.0740496600996154</v>
      </c>
      <c r="U1835">
        <v>2.3948074205689656E-2</v>
      </c>
      <c r="V1835">
        <v>0.20741427165178383</v>
      </c>
      <c r="W1835">
        <v>8.7112311090520242E-2</v>
      </c>
      <c r="X1835">
        <v>1.5587755801021229E-2</v>
      </c>
      <c r="Y1835">
        <v>4.2093082558211266E-3</v>
      </c>
    </row>
    <row r="1836" spans="1:25" x14ac:dyDescent="0.25">
      <c r="A1836" s="827"/>
      <c r="B1836" s="1066">
        <v>1586</v>
      </c>
      <c r="C1836" s="831">
        <v>0.97091526750100432</v>
      </c>
      <c r="D1836" s="831">
        <v>1.0297261353615577</v>
      </c>
      <c r="E1836" s="831">
        <v>1.0198033082714701</v>
      </c>
      <c r="F1836" s="831">
        <v>0.96813507734662452</v>
      </c>
      <c r="G1836" s="831">
        <v>0.99388197947860468</v>
      </c>
      <c r="H1836" s="831">
        <v>0.99674280148064565</v>
      </c>
      <c r="I1836" s="831">
        <v>1.0298172573728397</v>
      </c>
      <c r="K1836">
        <v>1.7509107007151166</v>
      </c>
      <c r="L1836">
        <v>0</v>
      </c>
      <c r="M1836">
        <v>1.3462817843851753E-3</v>
      </c>
      <c r="N1836">
        <v>0.14422253213730715</v>
      </c>
      <c r="O1836">
        <v>1.8128744969629799E-2</v>
      </c>
      <c r="P1836">
        <v>2.0207053481612263E-2</v>
      </c>
      <c r="Q1836">
        <v>2.2468657082300929E-3</v>
      </c>
      <c r="R1836">
        <v>1.3379441666136922E-3</v>
      </c>
      <c r="S1836">
        <v>0.15980330181817284</v>
      </c>
      <c r="T1836">
        <v>1.0696121723898575</v>
      </c>
      <c r="U1836">
        <v>2.4021177417811169E-2</v>
      </c>
      <c r="V1836">
        <v>0.20666994703469138</v>
      </c>
      <c r="W1836">
        <v>8.505595887919333E-2</v>
      </c>
      <c r="X1836">
        <v>1.7309841528034196E-2</v>
      </c>
      <c r="Y1836">
        <v>3.6414429683464815E-3</v>
      </c>
    </row>
    <row r="1837" spans="1:25" x14ac:dyDescent="0.25">
      <c r="A1837" s="827"/>
      <c r="B1837" s="1066">
        <v>1587</v>
      </c>
      <c r="C1837" s="831">
        <v>1.0042886887152429</v>
      </c>
      <c r="D1837" s="831">
        <v>0.9599968097882291</v>
      </c>
      <c r="E1837" s="831">
        <v>1.0257793835353644</v>
      </c>
      <c r="F1837" s="831">
        <v>0.96367262698555578</v>
      </c>
      <c r="G1837" s="831">
        <v>0.95671917971813447</v>
      </c>
      <c r="H1837" s="831">
        <v>0.96828027791108662</v>
      </c>
      <c r="I1837" s="831">
        <v>1.0017089951188147</v>
      </c>
      <c r="K1837">
        <v>1.7390569392334219</v>
      </c>
      <c r="L1837">
        <v>0</v>
      </c>
      <c r="M1837">
        <v>1.2887829877867209E-3</v>
      </c>
      <c r="N1837">
        <v>0.14062877609467717</v>
      </c>
      <c r="O1837">
        <v>1.8092295604145443E-2</v>
      </c>
      <c r="P1837">
        <v>2.0217401092127645E-2</v>
      </c>
      <c r="Q1837">
        <v>2.242721153466876E-3</v>
      </c>
      <c r="R1837">
        <v>1.2806137930518814E-3</v>
      </c>
      <c r="S1837">
        <v>0.15264135549029875</v>
      </c>
      <c r="T1837">
        <v>1.069087017810997</v>
      </c>
      <c r="U1837">
        <v>2.3222931972019953E-2</v>
      </c>
      <c r="V1837">
        <v>0.20953590955430609</v>
      </c>
      <c r="W1837">
        <v>8.2603397500498221E-2</v>
      </c>
      <c r="X1837">
        <v>1.7307893565154314E-2</v>
      </c>
      <c r="Y1837">
        <v>3.4854085904637996E-3</v>
      </c>
    </row>
    <row r="1838" spans="1:25" x14ac:dyDescent="0.25">
      <c r="A1838" s="827"/>
      <c r="B1838" s="1066">
        <v>1588</v>
      </c>
      <c r="C1838" s="831">
        <v>0.97243859623058604</v>
      </c>
      <c r="D1838" s="831">
        <v>0.99401680893994571</v>
      </c>
      <c r="E1838" s="831">
        <v>0.99359880774622333</v>
      </c>
      <c r="F1838" s="831">
        <v>1.0142970252754073</v>
      </c>
      <c r="G1838" s="831">
        <v>1.0152323705107491</v>
      </c>
      <c r="H1838" s="831">
        <v>0.97905773036850163</v>
      </c>
      <c r="I1838" s="831">
        <v>0.998793043397327</v>
      </c>
      <c r="K1838">
        <v>1.7460387030799494</v>
      </c>
      <c r="L1838">
        <v>0</v>
      </c>
      <c r="M1838">
        <v>1.4177422029153348E-3</v>
      </c>
      <c r="N1838">
        <v>0.13997969284390968</v>
      </c>
      <c r="O1838">
        <v>1.8391639298294293E-2</v>
      </c>
      <c r="P1838">
        <v>1.9835991363259871E-2</v>
      </c>
      <c r="Q1838">
        <v>2.2140317044347861E-3</v>
      </c>
      <c r="R1838">
        <v>1.408828933109811E-3</v>
      </c>
      <c r="S1838">
        <v>0.15571944952968497</v>
      </c>
      <c r="T1838">
        <v>1.0719308763823689</v>
      </c>
      <c r="U1838">
        <v>2.3983548152764711E-2</v>
      </c>
      <c r="V1838">
        <v>0.20979765940361442</v>
      </c>
      <c r="W1838">
        <v>8.4040278445031785E-2</v>
      </c>
      <c r="X1838">
        <v>1.6320081290800145E-2</v>
      </c>
      <c r="Y1838">
        <v>3.8343679355919221E-3</v>
      </c>
    </row>
    <row r="1839" spans="1:25" x14ac:dyDescent="0.25">
      <c r="A1839" s="827"/>
      <c r="B1839" s="1066">
        <v>1589</v>
      </c>
      <c r="C1839" s="831">
        <v>0.98255430292760959</v>
      </c>
      <c r="D1839" s="831">
        <v>1.0021072189909987</v>
      </c>
      <c r="E1839" s="831">
        <v>0.96577495299754068</v>
      </c>
      <c r="F1839" s="831">
        <v>1.0109093536264784</v>
      </c>
      <c r="G1839" s="831">
        <v>1.011515413952339</v>
      </c>
      <c r="H1839" s="831">
        <v>1.0005481834509942</v>
      </c>
      <c r="I1839" s="831">
        <v>1.0071820156725677</v>
      </c>
      <c r="K1839">
        <v>1.7426363971251531</v>
      </c>
      <c r="L1839">
        <v>0</v>
      </c>
      <c r="M1839">
        <v>1.5146270020274391E-3</v>
      </c>
      <c r="N1839">
        <v>0.13714505549899333</v>
      </c>
      <c r="O1839">
        <v>1.8135563519932566E-2</v>
      </c>
      <c r="P1839">
        <v>1.9435313434943577E-2</v>
      </c>
      <c r="Q1839">
        <v>2.1237290790901107E-3</v>
      </c>
      <c r="R1839">
        <v>1.5053029889412243E-3</v>
      </c>
      <c r="S1839">
        <v>0.15646881586977998</v>
      </c>
      <c r="T1839">
        <v>1.0744211932308547</v>
      </c>
      <c r="U1839">
        <v>2.3736629954000093E-2</v>
      </c>
      <c r="V1839">
        <v>0.20789460141720709</v>
      </c>
      <c r="W1839">
        <v>8.3943954417378258E-2</v>
      </c>
      <c r="X1839">
        <v>1.5243926203157038E-2</v>
      </c>
      <c r="Y1839">
        <v>4.0969385129010711E-3</v>
      </c>
    </row>
    <row r="1840" spans="1:25" x14ac:dyDescent="0.25">
      <c r="A1840" s="827"/>
      <c r="B1840" s="1066">
        <v>1590</v>
      </c>
      <c r="C1840" s="831">
        <v>0.96164062443608023</v>
      </c>
      <c r="D1840" s="831">
        <v>0.97280997608893505</v>
      </c>
      <c r="E1840" s="831">
        <v>1.0186529804683007</v>
      </c>
      <c r="F1840" s="831">
        <v>1.0233798416579083</v>
      </c>
      <c r="G1840" s="831">
        <v>1.0165516406942359</v>
      </c>
      <c r="H1840" s="831">
        <v>0.9860649071001395</v>
      </c>
      <c r="I1840" s="831">
        <v>1.0155061489355655</v>
      </c>
      <c r="K1840">
        <v>1.7667022757752249</v>
      </c>
      <c r="L1840">
        <v>0</v>
      </c>
      <c r="M1840">
        <v>1.3831011003089398E-3</v>
      </c>
      <c r="N1840">
        <v>0.14763263195795476</v>
      </c>
      <c r="O1840">
        <v>1.8781081074402715E-2</v>
      </c>
      <c r="P1840">
        <v>2.0315681037272663E-2</v>
      </c>
      <c r="Q1840">
        <v>2.3142472775917479E-3</v>
      </c>
      <c r="R1840">
        <v>1.3744826998804995E-3</v>
      </c>
      <c r="S1840">
        <v>0.16208222730109806</v>
      </c>
      <c r="T1840">
        <v>1.0697134140942441</v>
      </c>
      <c r="U1840">
        <v>2.4252852162916762E-2</v>
      </c>
      <c r="V1840">
        <v>0.21314036323439495</v>
      </c>
      <c r="W1840">
        <v>8.7134727655441793E-2</v>
      </c>
      <c r="X1840">
        <v>1.7602779569358719E-2</v>
      </c>
      <c r="Y1840">
        <v>3.7408888109744772E-3</v>
      </c>
    </row>
    <row r="1841" spans="1:25" x14ac:dyDescent="0.25">
      <c r="A1841" s="827"/>
      <c r="B1841" s="1066">
        <v>1591</v>
      </c>
      <c r="C1841" s="831">
        <v>0.99661499407783971</v>
      </c>
      <c r="D1841" s="831">
        <v>0.99302586730712006</v>
      </c>
      <c r="E1841" s="831">
        <v>1.0191514054258626</v>
      </c>
      <c r="F1841" s="831">
        <v>1.0033485963756128</v>
      </c>
      <c r="G1841" s="831">
        <v>0.98835452365154741</v>
      </c>
      <c r="H1841" s="831">
        <v>1.0152421517483723</v>
      </c>
      <c r="I1841" s="831">
        <v>0.98110656426271126</v>
      </c>
      <c r="K1841">
        <v>1.7445241327124499</v>
      </c>
      <c r="L1841">
        <v>0</v>
      </c>
      <c r="M1841">
        <v>1.359866951446242E-3</v>
      </c>
      <c r="N1841">
        <v>0.14540225191387757</v>
      </c>
      <c r="O1841">
        <v>1.7953601096042673E-2</v>
      </c>
      <c r="P1841">
        <v>2.0087157400584935E-2</v>
      </c>
      <c r="Q1841">
        <v>2.2171498464433202E-3</v>
      </c>
      <c r="R1841">
        <v>1.351622923536295E-3</v>
      </c>
      <c r="S1841">
        <v>0.15187842462305545</v>
      </c>
      <c r="T1841">
        <v>1.0696695409732537</v>
      </c>
      <c r="U1841">
        <v>2.3401742936732906E-2</v>
      </c>
      <c r="V1841">
        <v>0.2071932244360348</v>
      </c>
      <c r="W1841">
        <v>8.578944780844644E-2</v>
      </c>
      <c r="X1841">
        <v>1.7261163670397053E-2</v>
      </c>
      <c r="Y1841">
        <v>3.6786720354887999E-3</v>
      </c>
    </row>
    <row r="1842" spans="1:25" x14ac:dyDescent="0.25">
      <c r="A1842" s="827"/>
      <c r="B1842" s="1066">
        <v>1592</v>
      </c>
      <c r="C1842" s="831">
        <v>0.99900867791711634</v>
      </c>
      <c r="D1842" s="831">
        <v>1.0312162775934852</v>
      </c>
      <c r="E1842" s="831">
        <v>0.96233414412614726</v>
      </c>
      <c r="F1842" s="831">
        <v>1.0059570881557323</v>
      </c>
      <c r="G1842" s="831">
        <v>1.0002930078105239</v>
      </c>
      <c r="H1842" s="831">
        <v>1.0021985790032246</v>
      </c>
      <c r="I1842" s="831">
        <v>0.99863172700294467</v>
      </c>
      <c r="K1842">
        <v>1.7246735358321268</v>
      </c>
      <c r="L1842">
        <v>0</v>
      </c>
      <c r="M1842">
        <v>1.4836177161548681E-3</v>
      </c>
      <c r="N1842">
        <v>0.13290253415485589</v>
      </c>
      <c r="O1842">
        <v>1.7607444836521602E-2</v>
      </c>
      <c r="P1842">
        <v>1.9250545674155552E-2</v>
      </c>
      <c r="Q1842">
        <v>2.0594085822379315E-3</v>
      </c>
      <c r="R1842">
        <v>1.4744785262946099E-3</v>
      </c>
      <c r="S1842">
        <v>0.15090230399378854</v>
      </c>
      <c r="T1842">
        <v>1.074731173516978</v>
      </c>
      <c r="U1842">
        <v>2.334567097748292E-2</v>
      </c>
      <c r="V1842">
        <v>0.20349471508724851</v>
      </c>
      <c r="W1842">
        <v>8.154383419762172E-2</v>
      </c>
      <c r="X1842">
        <v>1.4831999514236282E-2</v>
      </c>
      <c r="Y1842">
        <v>4.0130444868583673E-3</v>
      </c>
    </row>
    <row r="1843" spans="1:25" x14ac:dyDescent="0.25">
      <c r="A1843" s="827"/>
      <c r="B1843" s="1066">
        <v>1593</v>
      </c>
      <c r="C1843" s="831">
        <v>1.0146719189173026</v>
      </c>
      <c r="D1843" s="831">
        <v>1.0154075096754291</v>
      </c>
      <c r="E1843" s="831">
        <v>1.0117623948833703</v>
      </c>
      <c r="F1843" s="831">
        <v>0.98583145828245566</v>
      </c>
      <c r="G1843" s="831">
        <v>0.98357585605644671</v>
      </c>
      <c r="H1843" s="831">
        <v>1.0063579318672449</v>
      </c>
      <c r="I1843" s="831">
        <v>0.98995548192115823</v>
      </c>
      <c r="K1843">
        <v>1.7263440538244617</v>
      </c>
      <c r="L1843">
        <v>0</v>
      </c>
      <c r="M1843">
        <v>1.331304426954006E-3</v>
      </c>
      <c r="N1843">
        <v>0.13910786951077092</v>
      </c>
      <c r="O1843">
        <v>1.7457050572529234E-2</v>
      </c>
      <c r="P1843">
        <v>1.9880824260159149E-2</v>
      </c>
      <c r="Q1843">
        <v>2.1439165072921602E-3</v>
      </c>
      <c r="R1843">
        <v>1.3231475401784469E-3</v>
      </c>
      <c r="S1843">
        <v>0.14851653553318672</v>
      </c>
      <c r="T1843">
        <v>1.0703209115339853</v>
      </c>
      <c r="U1843">
        <v>2.2985289593102459E-2</v>
      </c>
      <c r="V1843">
        <v>0.20324762905328037</v>
      </c>
      <c r="W1843">
        <v>8.2487217829668155E-2</v>
      </c>
      <c r="X1843">
        <v>1.6603794888364831E-2</v>
      </c>
      <c r="Y1843">
        <v>3.6011714288963362E-3</v>
      </c>
    </row>
    <row r="1844" spans="1:25" x14ac:dyDescent="0.25">
      <c r="A1844" s="827"/>
      <c r="B1844" s="1066">
        <v>1594</v>
      </c>
      <c r="C1844" s="831">
        <v>0.98776842607122706</v>
      </c>
      <c r="D1844" s="831">
        <v>1.0011216970327188</v>
      </c>
      <c r="E1844" s="831">
        <v>0.99759040625693607</v>
      </c>
      <c r="F1844" s="831">
        <v>1.0153097565356064</v>
      </c>
      <c r="G1844" s="831">
        <v>1.030026771777091</v>
      </c>
      <c r="H1844" s="831">
        <v>0.99825578103007762</v>
      </c>
      <c r="I1844" s="831">
        <v>1.0067009034470429</v>
      </c>
      <c r="K1844">
        <v>1.7431678592546136</v>
      </c>
      <c r="L1844">
        <v>0</v>
      </c>
      <c r="M1844">
        <v>1.406661899288672E-3</v>
      </c>
      <c r="N1844">
        <v>0.14063833894038474</v>
      </c>
      <c r="O1844">
        <v>1.8047871891434111E-2</v>
      </c>
      <c r="P1844">
        <v>1.9849465734121659E-2</v>
      </c>
      <c r="Q1844">
        <v>2.1826798558660819E-3</v>
      </c>
      <c r="R1844">
        <v>1.3979833268048289E-3</v>
      </c>
      <c r="S1844">
        <v>0.15546443486663258</v>
      </c>
      <c r="T1844">
        <v>1.0715760055343975</v>
      </c>
      <c r="U1844">
        <v>2.3611331646899009E-2</v>
      </c>
      <c r="V1844">
        <v>0.20740743938906256</v>
      </c>
      <c r="W1844">
        <v>8.4204706424813522E-2</v>
      </c>
      <c r="X1844">
        <v>1.6389413773001807E-2</v>
      </c>
      <c r="Y1844">
        <v>3.8048497704829187E-3</v>
      </c>
    </row>
    <row r="1845" spans="1:25" x14ac:dyDescent="0.25">
      <c r="A1845" s="827"/>
      <c r="B1845" s="1066">
        <v>1595</v>
      </c>
      <c r="C1845" s="831">
        <v>1.006225427455653</v>
      </c>
      <c r="D1845" s="831">
        <v>1.0188940254095156</v>
      </c>
      <c r="E1845" s="831">
        <v>0.95990298480246605</v>
      </c>
      <c r="F1845" s="831">
        <v>0.98760528542755721</v>
      </c>
      <c r="G1845" s="831">
        <v>1.0265195903302591</v>
      </c>
      <c r="H1845" s="831">
        <v>1.0105716860427509</v>
      </c>
      <c r="I1845" s="831">
        <v>0.99145052385439891</v>
      </c>
      <c r="K1845">
        <v>1.7251342999323926</v>
      </c>
      <c r="L1845">
        <v>0</v>
      </c>
      <c r="M1845">
        <v>1.5009785421140423E-3</v>
      </c>
      <c r="N1845">
        <v>0.13344929877067147</v>
      </c>
      <c r="O1845">
        <v>1.7576332775009345E-2</v>
      </c>
      <c r="P1845">
        <v>1.92083688569623E-2</v>
      </c>
      <c r="Q1845">
        <v>2.0486490684634403E-3</v>
      </c>
      <c r="R1845">
        <v>1.4918178756156764E-3</v>
      </c>
      <c r="S1845">
        <v>0.15007200938001389</v>
      </c>
      <c r="T1845">
        <v>1.0749504620722512</v>
      </c>
      <c r="U1845">
        <v>2.3178233487178537E-2</v>
      </c>
      <c r="V1845">
        <v>0.20381833174084624</v>
      </c>
      <c r="W1845">
        <v>8.2019402485085491E-2</v>
      </c>
      <c r="X1845">
        <v>1.4762135482613837E-2</v>
      </c>
      <c r="Y1845">
        <v>4.0602364797953441E-3</v>
      </c>
    </row>
    <row r="1846" spans="1:25" x14ac:dyDescent="0.25">
      <c r="A1846" s="827"/>
      <c r="B1846" s="1066">
        <v>1596</v>
      </c>
      <c r="C1846" s="831">
        <v>1.0079166739554908</v>
      </c>
      <c r="D1846" s="831">
        <v>0.96347785186315682</v>
      </c>
      <c r="E1846" s="831">
        <v>1.029250171217075</v>
      </c>
      <c r="F1846" s="831">
        <v>1.0049100524203014</v>
      </c>
      <c r="G1846" s="831">
        <v>1.0258098808296348</v>
      </c>
      <c r="H1846" s="831">
        <v>0.99203377436965501</v>
      </c>
      <c r="I1846" s="831">
        <v>0.99379706828618541</v>
      </c>
      <c r="K1846">
        <v>1.742765894319706</v>
      </c>
      <c r="L1846">
        <v>0</v>
      </c>
      <c r="M1846">
        <v>1.3038779538611916E-3</v>
      </c>
      <c r="N1846">
        <v>0.14383906032628846</v>
      </c>
      <c r="O1846">
        <v>1.7997504091755753E-2</v>
      </c>
      <c r="P1846">
        <v>2.0249073231217832E-2</v>
      </c>
      <c r="Q1846">
        <v>2.2393283246089518E-3</v>
      </c>
      <c r="R1846">
        <v>1.2958085441484208E-3</v>
      </c>
      <c r="S1846">
        <v>0.1523732367802326</v>
      </c>
      <c r="T1846">
        <v>1.0687826398198457</v>
      </c>
      <c r="U1846">
        <v>2.3139341277861502E-2</v>
      </c>
      <c r="V1846">
        <v>0.20879370100133121</v>
      </c>
      <c r="W1846">
        <v>8.4292457415226396E-2</v>
      </c>
      <c r="X1846">
        <v>1.7540857767050503E-2</v>
      </c>
      <c r="Y1846">
        <v>3.5267636940002254E-3</v>
      </c>
    </row>
    <row r="1847" spans="1:25" x14ac:dyDescent="0.25">
      <c r="A1847" s="827"/>
      <c r="B1847" s="1066">
        <v>1597</v>
      </c>
      <c r="C1847" s="831">
        <v>0.98894220853857417</v>
      </c>
      <c r="D1847" s="831">
        <v>1.0455186193367008</v>
      </c>
      <c r="E1847" s="831">
        <v>1.0170205787897979</v>
      </c>
      <c r="F1847" s="831">
        <v>0.9762558718135268</v>
      </c>
      <c r="G1847" s="831">
        <v>1.0187963223335574</v>
      </c>
      <c r="H1847" s="831">
        <v>0.96571881349507549</v>
      </c>
      <c r="I1847" s="831">
        <v>1.005182625936369</v>
      </c>
      <c r="K1847">
        <v>1.7228252495111012</v>
      </c>
      <c r="L1847">
        <v>0</v>
      </c>
      <c r="M1847">
        <v>1.2793468245518478E-3</v>
      </c>
      <c r="N1847">
        <v>0.13584396825012021</v>
      </c>
      <c r="O1847">
        <v>1.7676528003486732E-2</v>
      </c>
      <c r="P1847">
        <v>1.9980927592607244E-2</v>
      </c>
      <c r="Q1847">
        <v>2.1874349256443917E-3</v>
      </c>
      <c r="R1847">
        <v>1.2711592599595879E-3</v>
      </c>
      <c r="S1847">
        <v>0.14995832837937867</v>
      </c>
      <c r="T1847">
        <v>1.0698571697070638</v>
      </c>
      <c r="U1847">
        <v>2.3583307191194145E-2</v>
      </c>
      <c r="V1847">
        <v>0.20333052956097186</v>
      </c>
      <c r="W1847">
        <v>8.0265399947174243E-2</v>
      </c>
      <c r="X1847">
        <v>1.6690167049978527E-2</v>
      </c>
      <c r="Y1847">
        <v>3.4596764680725717E-3</v>
      </c>
    </row>
    <row r="1848" spans="1:25" x14ac:dyDescent="0.25">
      <c r="A1848" s="827"/>
      <c r="B1848" s="1066">
        <v>1598</v>
      </c>
      <c r="C1848" s="831">
        <v>1.0215491668517489</v>
      </c>
      <c r="D1848" s="831">
        <v>0.99786421880053677</v>
      </c>
      <c r="E1848" s="831">
        <v>0.98418238735397723</v>
      </c>
      <c r="F1848" s="831">
        <v>1.0132046628198608</v>
      </c>
      <c r="G1848" s="831">
        <v>1.0130077183995432</v>
      </c>
      <c r="H1848" s="831">
        <v>1.0112477748618265</v>
      </c>
      <c r="I1848" s="831">
        <v>0.99672753601866271</v>
      </c>
      <c r="K1848">
        <v>1.726561279799772</v>
      </c>
      <c r="L1848">
        <v>0</v>
      </c>
      <c r="M1848">
        <v>1.4193427461049739E-3</v>
      </c>
      <c r="N1848">
        <v>0.13611572505839825</v>
      </c>
      <c r="O1848">
        <v>1.7476845262029229E-2</v>
      </c>
      <c r="P1848">
        <v>1.9536815012064949E-2</v>
      </c>
      <c r="Q1848">
        <v>2.0846261551812871E-3</v>
      </c>
      <c r="R1848">
        <v>1.4107007360791596E-3</v>
      </c>
      <c r="S1848">
        <v>0.14994664888000889</v>
      </c>
      <c r="T1848">
        <v>1.0727704165035878</v>
      </c>
      <c r="U1848">
        <v>2.2830548597263797E-2</v>
      </c>
      <c r="V1848">
        <v>0.20410460836489758</v>
      </c>
      <c r="W1848">
        <v>8.2252817200617376E-2</v>
      </c>
      <c r="X1848">
        <v>1.5611408409511968E-2</v>
      </c>
      <c r="Y1848">
        <v>3.839462366234806E-3</v>
      </c>
    </row>
    <row r="1849" spans="1:25" x14ac:dyDescent="0.25">
      <c r="A1849" s="827"/>
      <c r="B1849" s="1066">
        <v>1599</v>
      </c>
      <c r="C1849" s="831">
        <v>0.97636608918774725</v>
      </c>
      <c r="D1849" s="831">
        <v>1.0061512129164771</v>
      </c>
      <c r="E1849" s="831">
        <v>1.0232481881589408</v>
      </c>
      <c r="F1849" s="831">
        <v>0.99892120636510762</v>
      </c>
      <c r="G1849" s="831">
        <v>1.0189334236514191</v>
      </c>
      <c r="H1849" s="831">
        <v>1.0209489157540164</v>
      </c>
      <c r="I1849" s="831">
        <v>1.004954755378193</v>
      </c>
      <c r="K1849">
        <v>1.7584897496870084</v>
      </c>
      <c r="L1849">
        <v>0</v>
      </c>
      <c r="M1849">
        <v>1.3756442270361823E-3</v>
      </c>
      <c r="N1849">
        <v>0.14897708469652202</v>
      </c>
      <c r="O1849">
        <v>1.8217259680390546E-2</v>
      </c>
      <c r="P1849">
        <v>2.0253242845102503E-2</v>
      </c>
      <c r="Q1849">
        <v>2.261318414686621E-3</v>
      </c>
      <c r="R1849">
        <v>1.3673422890469926E-3</v>
      </c>
      <c r="S1849">
        <v>0.15835316956833712</v>
      </c>
      <c r="T1849">
        <v>1.0693092843178684</v>
      </c>
      <c r="U1849">
        <v>2.3887072847547937E-2</v>
      </c>
      <c r="V1849">
        <v>0.20820832509176715</v>
      </c>
      <c r="W1849">
        <v>8.7656199695952022E-2</v>
      </c>
      <c r="X1849">
        <v>1.7653639500299932E-2</v>
      </c>
      <c r="Y1849">
        <v>3.7214549665214713E-3</v>
      </c>
    </row>
    <row r="1850" spans="1:25" x14ac:dyDescent="0.25">
      <c r="A1850" s="827"/>
      <c r="B1850" s="1066">
        <v>1600</v>
      </c>
      <c r="C1850" s="831">
        <v>0.96599245958020141</v>
      </c>
      <c r="D1850" s="831">
        <v>0.97858524783227097</v>
      </c>
      <c r="E1850" s="831">
        <v>1.0262254488959326</v>
      </c>
      <c r="F1850" s="831">
        <v>0.98389987341822338</v>
      </c>
      <c r="G1850" s="831">
        <v>1.0353133718643164</v>
      </c>
      <c r="H1850" s="831">
        <v>0.99320248860097993</v>
      </c>
      <c r="I1850" s="831">
        <v>0.99294354897040393</v>
      </c>
      <c r="K1850">
        <v>1.7620885023668029</v>
      </c>
      <c r="L1850">
        <v>0</v>
      </c>
      <c r="M1850">
        <v>1.3611605696800416E-3</v>
      </c>
      <c r="N1850">
        <v>0.14875463904561556</v>
      </c>
      <c r="O1850">
        <v>1.8646264750489611E-2</v>
      </c>
      <c r="P1850">
        <v>2.0344506665962391E-2</v>
      </c>
      <c r="Q1850">
        <v>2.316111983478079E-3</v>
      </c>
      <c r="R1850">
        <v>1.3527357233974891E-3</v>
      </c>
      <c r="S1850">
        <v>0.15791086502748766</v>
      </c>
      <c r="T1850">
        <v>1.0690478735916162</v>
      </c>
      <c r="U1850">
        <v>2.4143592081907767E-2</v>
      </c>
      <c r="V1850">
        <v>0.21204717372590282</v>
      </c>
      <c r="W1850">
        <v>8.7350230315304173E-2</v>
      </c>
      <c r="X1850">
        <v>1.7853969315445035E-2</v>
      </c>
      <c r="Y1850">
        <v>3.6817007098765928E-3</v>
      </c>
    </row>
    <row r="1851" spans="1:25" x14ac:dyDescent="0.25">
      <c r="A1851" s="827"/>
      <c r="B1851" s="1066">
        <v>1601</v>
      </c>
      <c r="C1851" s="831">
        <v>0.97849597954075362</v>
      </c>
      <c r="D1851" s="831">
        <v>1.0117263663015286</v>
      </c>
      <c r="E1851" s="831">
        <v>1.005664719033591</v>
      </c>
      <c r="F1851" s="831">
        <v>1.0067374736433981</v>
      </c>
      <c r="G1851" s="831">
        <v>1.0414630860463123</v>
      </c>
      <c r="H1851" s="831">
        <v>0.98691753182118414</v>
      </c>
      <c r="I1851" s="831">
        <v>0.96159258057667463</v>
      </c>
      <c r="K1851">
        <v>1.7358372613102664</v>
      </c>
      <c r="L1851">
        <v>0</v>
      </c>
      <c r="M1851">
        <v>1.3736284549940531E-3</v>
      </c>
      <c r="N1851">
        <v>0.1408180002859121</v>
      </c>
      <c r="O1851">
        <v>1.8132212380486703E-2</v>
      </c>
      <c r="P1851">
        <v>1.9867098509061473E-2</v>
      </c>
      <c r="Q1851">
        <v>2.2126377126610083E-3</v>
      </c>
      <c r="R1851">
        <v>1.3650489868527425E-3</v>
      </c>
      <c r="S1851">
        <v>0.14845610704440806</v>
      </c>
      <c r="T1851">
        <v>1.0708600014055669</v>
      </c>
      <c r="U1851">
        <v>2.3835077901136953E-2</v>
      </c>
      <c r="V1851">
        <v>0.20745329601428866</v>
      </c>
      <c r="W1851">
        <v>8.3848278624901615E-2</v>
      </c>
      <c r="X1851">
        <v>1.6647917546048382E-2</v>
      </c>
      <c r="Y1851">
        <v>3.7152133539355859E-3</v>
      </c>
    </row>
    <row r="1852" spans="1:25" x14ac:dyDescent="0.25">
      <c r="A1852" s="827"/>
      <c r="B1852" s="1066">
        <v>1602</v>
      </c>
      <c r="C1852" s="831">
        <v>0.99199043132923492</v>
      </c>
      <c r="D1852" s="831">
        <v>1.0053609933734309</v>
      </c>
      <c r="E1852" s="831">
        <v>1.0086438338994643</v>
      </c>
      <c r="F1852" s="831">
        <v>1.0014766959721573</v>
      </c>
      <c r="G1852" s="831">
        <v>0.99945347042047783</v>
      </c>
      <c r="H1852" s="831">
        <v>1.0028945075722779</v>
      </c>
      <c r="I1852" s="831">
        <v>0.97239217941968548</v>
      </c>
      <c r="K1852">
        <v>1.7371143479387632</v>
      </c>
      <c r="L1852">
        <v>0</v>
      </c>
      <c r="M1852">
        <v>1.3721655725194327E-3</v>
      </c>
      <c r="N1852">
        <v>0.14199182268078417</v>
      </c>
      <c r="O1852">
        <v>1.793670689291383E-2</v>
      </c>
      <c r="P1852">
        <v>1.9906237868127206E-2</v>
      </c>
      <c r="Q1852">
        <v>2.1941884682246727E-3</v>
      </c>
      <c r="R1852">
        <v>1.3637360899036758E-3</v>
      </c>
      <c r="S1852">
        <v>0.14959069615982498</v>
      </c>
      <c r="T1852">
        <v>1.0705964449941605</v>
      </c>
      <c r="U1852">
        <v>2.351083958244609E-2</v>
      </c>
      <c r="V1852">
        <v>0.20655697659167135</v>
      </c>
      <c r="W1852">
        <v>8.4375904080846803E-2</v>
      </c>
      <c r="X1852">
        <v>1.6751320021143715E-2</v>
      </c>
      <c r="Y1852">
        <v>3.7116400812365886E-3</v>
      </c>
    </row>
    <row r="1853" spans="1:25" x14ac:dyDescent="0.25">
      <c r="A1853" s="827"/>
      <c r="B1853" s="1066">
        <v>1603</v>
      </c>
      <c r="C1853" s="831">
        <v>0.99379458071071414</v>
      </c>
      <c r="D1853" s="831">
        <v>1.0351963094962209</v>
      </c>
      <c r="E1853" s="831">
        <v>1.0277448641067735</v>
      </c>
      <c r="F1853" s="831">
        <v>0.9676739871371971</v>
      </c>
      <c r="G1853" s="831">
        <v>0.97604033568871307</v>
      </c>
      <c r="H1853" s="831">
        <v>0.97498989137541892</v>
      </c>
      <c r="I1853" s="831">
        <v>1.0123458446557543</v>
      </c>
      <c r="K1853">
        <v>1.7281027819549917</v>
      </c>
      <c r="L1853">
        <v>0</v>
      </c>
      <c r="M1853">
        <v>1.2621496520406643E-3</v>
      </c>
      <c r="N1853">
        <v>0.13856633053966141</v>
      </c>
      <c r="O1853">
        <v>1.7669085850499606E-2</v>
      </c>
      <c r="P1853">
        <v>2.0151289037412118E-2</v>
      </c>
      <c r="Q1853">
        <v>2.2081601244949524E-3</v>
      </c>
      <c r="R1853">
        <v>1.2541552837788234E-3</v>
      </c>
      <c r="S1853">
        <v>0.15157357518540543</v>
      </c>
      <c r="T1853">
        <v>1.0689145947721104</v>
      </c>
      <c r="U1853">
        <v>2.3468157656508889E-2</v>
      </c>
      <c r="V1853">
        <v>0.20370411943018632</v>
      </c>
      <c r="W1853">
        <v>8.1284574404974969E-2</v>
      </c>
      <c r="X1853">
        <v>1.7157492071731551E-2</v>
      </c>
      <c r="Y1853">
        <v>3.4133972502677725E-3</v>
      </c>
    </row>
    <row r="1854" spans="1:25" x14ac:dyDescent="0.25">
      <c r="A1854" s="827"/>
      <c r="B1854" s="1066">
        <v>1604</v>
      </c>
      <c r="C1854" s="831">
        <v>0.97924520577793084</v>
      </c>
      <c r="D1854" s="831">
        <v>0.9985216376413697</v>
      </c>
      <c r="E1854" s="831">
        <v>0.99748152290791725</v>
      </c>
      <c r="F1854" s="831">
        <v>1.0433703235098195</v>
      </c>
      <c r="G1854" s="831">
        <v>1.0354117052121707</v>
      </c>
      <c r="H1854" s="831">
        <v>1.035220842023554</v>
      </c>
      <c r="I1854" s="831">
        <v>0.99997561834136539</v>
      </c>
      <c r="K1854">
        <v>1.7591901994205212</v>
      </c>
      <c r="L1854">
        <v>0</v>
      </c>
      <c r="M1854">
        <v>1.4735169825528898E-3</v>
      </c>
      <c r="N1854">
        <v>0.14730545021565497</v>
      </c>
      <c r="O1854">
        <v>1.8226415720702258E-2</v>
      </c>
      <c r="P1854">
        <v>1.9910402255681858E-2</v>
      </c>
      <c r="Q1854">
        <v>2.2035612536126111E-3</v>
      </c>
      <c r="R1854">
        <v>1.46475241433997E-3</v>
      </c>
      <c r="S1854">
        <v>0.15864980317853364</v>
      </c>
      <c r="T1854">
        <v>1.0715856777759991</v>
      </c>
      <c r="U1854">
        <v>2.3816841543559397E-2</v>
      </c>
      <c r="V1854">
        <v>0.20859885337916431</v>
      </c>
      <c r="W1854">
        <v>8.8203103253419568E-2</v>
      </c>
      <c r="X1854">
        <v>1.6712282196074218E-2</v>
      </c>
      <c r="Y1854">
        <v>3.9865732163297815E-3</v>
      </c>
    </row>
    <row r="1855" spans="1:25" x14ac:dyDescent="0.25">
      <c r="A1855" s="827"/>
      <c r="B1855" s="1066">
        <v>1605</v>
      </c>
      <c r="C1855" s="831">
        <v>1.0331387415247386</v>
      </c>
      <c r="D1855" s="831">
        <v>0.98491583908542157</v>
      </c>
      <c r="E1855" s="831">
        <v>1.0291337104461218</v>
      </c>
      <c r="F1855" s="831">
        <v>1.0040289279007035</v>
      </c>
      <c r="G1855" s="831">
        <v>0.976094379818644</v>
      </c>
      <c r="H1855" s="831">
        <v>1.0241241989701551</v>
      </c>
      <c r="I1855" s="831">
        <v>1.0481187125455731</v>
      </c>
      <c r="K1855">
        <v>1.741358609223276</v>
      </c>
      <c r="L1855">
        <v>0</v>
      </c>
      <c r="M1855">
        <v>1.3004640828957398E-3</v>
      </c>
      <c r="N1855">
        <v>0.14343700597821596</v>
      </c>
      <c r="O1855">
        <v>1.7383437585552341E-2</v>
      </c>
      <c r="P1855">
        <v>2.0248398226189013E-2</v>
      </c>
      <c r="Q1855">
        <v>2.1666339366863208E-3</v>
      </c>
      <c r="R1855">
        <v>1.2926538038656068E-3</v>
      </c>
      <c r="S1855">
        <v>0.1577022849670062</v>
      </c>
      <c r="T1855">
        <v>1.0687928456824707</v>
      </c>
      <c r="U1855">
        <v>2.2574439386411009E-2</v>
      </c>
      <c r="V1855">
        <v>0.20409393037672871</v>
      </c>
      <c r="W1855">
        <v>8.4063409737806918E-2</v>
      </c>
      <c r="X1855">
        <v>1.7385856094328918E-2</v>
      </c>
      <c r="Y1855">
        <v>3.518177530910261E-3</v>
      </c>
    </row>
    <row r="1856" spans="1:25" x14ac:dyDescent="0.25">
      <c r="A1856" s="827"/>
      <c r="B1856" s="1066">
        <v>1606</v>
      </c>
      <c r="C1856" s="831">
        <v>0.95532546193329315</v>
      </c>
      <c r="D1856" s="831">
        <v>0.97167741985402922</v>
      </c>
      <c r="E1856" s="831">
        <v>0.98827287442714762</v>
      </c>
      <c r="F1856" s="831">
        <v>1.0141747920845137</v>
      </c>
      <c r="G1856" s="831">
        <v>1.0143640803622607</v>
      </c>
      <c r="H1856" s="831">
        <v>0.99366250390777766</v>
      </c>
      <c r="I1856" s="831">
        <v>0.99833932545189719</v>
      </c>
      <c r="K1856">
        <v>1.7664216064389366</v>
      </c>
      <c r="L1856">
        <v>0</v>
      </c>
      <c r="M1856">
        <v>1.4965063338950517E-3</v>
      </c>
      <c r="N1856">
        <v>0.14534190818540749</v>
      </c>
      <c r="O1856">
        <v>1.8915244432355944E-2</v>
      </c>
      <c r="P1856">
        <v>1.9897999312566826E-2</v>
      </c>
      <c r="Q1856">
        <v>2.2605907240741594E-3</v>
      </c>
      <c r="R1856">
        <v>1.4872534722922659E-3</v>
      </c>
      <c r="S1856">
        <v>0.16105084069649797</v>
      </c>
      <c r="T1856">
        <v>1.0724053106750675</v>
      </c>
      <c r="U1856">
        <v>2.4413175224185225E-2</v>
      </c>
      <c r="V1856">
        <v>0.21400995884104659</v>
      </c>
      <c r="W1856">
        <v>8.7580220054931018E-2</v>
      </c>
      <c r="X1856">
        <v>1.6507797475801157E-2</v>
      </c>
      <c r="Y1856">
        <v>4.0478136786041693E-3</v>
      </c>
    </row>
    <row r="1857" spans="1:25" x14ac:dyDescent="0.25">
      <c r="A1857" s="827"/>
      <c r="B1857" s="1066">
        <v>1607</v>
      </c>
      <c r="C1857" s="831">
        <v>1.0061100768722879</v>
      </c>
      <c r="D1857" s="831">
        <v>0.9952632164915306</v>
      </c>
      <c r="E1857" s="831">
        <v>0.97495279301566329</v>
      </c>
      <c r="F1857" s="831">
        <v>0.98362767480404212</v>
      </c>
      <c r="G1857" s="831">
        <v>1.0120308723712967</v>
      </c>
      <c r="H1857" s="831">
        <v>1.0309491284658334</v>
      </c>
      <c r="I1857" s="831">
        <v>1.0221160882420854</v>
      </c>
      <c r="K1857">
        <v>1.7442503554786803</v>
      </c>
      <c r="L1857">
        <v>0</v>
      </c>
      <c r="M1857">
        <v>1.4997126984300016E-3</v>
      </c>
      <c r="N1857">
        <v>0.13976264770871194</v>
      </c>
      <c r="O1857">
        <v>1.7766032765248994E-2</v>
      </c>
      <c r="P1857">
        <v>1.9545177379315833E-2</v>
      </c>
      <c r="Q1857">
        <v>2.0988791669344234E-3</v>
      </c>
      <c r="R1857">
        <v>1.4907577439467776E-3</v>
      </c>
      <c r="S1857">
        <v>0.15773496531515985</v>
      </c>
      <c r="T1857">
        <v>1.0735965361844697</v>
      </c>
      <c r="U1857">
        <v>2.3180890873100456E-2</v>
      </c>
      <c r="V1857">
        <v>0.20596466059424931</v>
      </c>
      <c r="W1857">
        <v>8.4999391161025659E-2</v>
      </c>
      <c r="X1857">
        <v>1.5552778134080601E-2</v>
      </c>
      <c r="Y1857">
        <v>4.0573511508649098E-3</v>
      </c>
    </row>
    <row r="1858" spans="1:25" x14ac:dyDescent="0.25">
      <c r="A1858" s="827"/>
      <c r="B1858" s="1066">
        <v>1608</v>
      </c>
      <c r="C1858" s="831">
        <v>1.0244581218103868</v>
      </c>
      <c r="D1858" s="831">
        <v>0.99933787823187059</v>
      </c>
      <c r="E1858" s="831">
        <v>1.0091269311254449</v>
      </c>
      <c r="F1858" s="831">
        <v>0.99432275888585153</v>
      </c>
      <c r="G1858" s="831">
        <v>0.9724857141822344</v>
      </c>
      <c r="H1858" s="831">
        <v>0.99585866190934047</v>
      </c>
      <c r="I1858" s="831">
        <v>0.98498337899293931</v>
      </c>
      <c r="K1858">
        <v>1.7212575274016466</v>
      </c>
      <c r="L1858">
        <v>0</v>
      </c>
      <c r="M1858">
        <v>1.3216006824076114E-3</v>
      </c>
      <c r="N1858">
        <v>0.13695936274696058</v>
      </c>
      <c r="O1858">
        <v>1.7415572382875364E-2</v>
      </c>
      <c r="P1858">
        <v>1.982184181767736E-2</v>
      </c>
      <c r="Q1858">
        <v>2.1304197201796439E-3</v>
      </c>
      <c r="R1858">
        <v>1.3134284659231709E-3</v>
      </c>
      <c r="S1858">
        <v>0.14660607132337106</v>
      </c>
      <c r="T1858">
        <v>1.0705537379492625</v>
      </c>
      <c r="U1858">
        <v>2.276572111809548E-2</v>
      </c>
      <c r="V1858">
        <v>0.20366905263266627</v>
      </c>
      <c r="W1858">
        <v>8.1358729968440624E-2</v>
      </c>
      <c r="X1858">
        <v>1.6410470645937272E-2</v>
      </c>
      <c r="Y1858">
        <v>3.5747193126654427E-3</v>
      </c>
    </row>
    <row r="1859" spans="1:25" x14ac:dyDescent="0.25">
      <c r="A1859" s="827"/>
      <c r="B1859" s="1066">
        <v>1609</v>
      </c>
      <c r="C1859" s="831">
        <v>1.0042469264249749</v>
      </c>
      <c r="D1859" s="831">
        <v>1.0038460610329338</v>
      </c>
      <c r="E1859" s="831">
        <v>1.0143436927630298</v>
      </c>
      <c r="F1859" s="831">
        <v>1.0101267477481379</v>
      </c>
      <c r="G1859" s="831">
        <v>0.99470487762807047</v>
      </c>
      <c r="H1859" s="831">
        <v>1.0110286985498573</v>
      </c>
      <c r="I1859" s="831">
        <v>0.96723259852415588</v>
      </c>
      <c r="K1859">
        <v>1.7332545581171837</v>
      </c>
      <c r="L1859">
        <v>0</v>
      </c>
      <c r="M1859">
        <v>1.3510008474676048E-3</v>
      </c>
      <c r="N1859">
        <v>0.1423079318589123</v>
      </c>
      <c r="O1859">
        <v>1.7729895454549203E-2</v>
      </c>
      <c r="P1859">
        <v>1.9936037393504569E-2</v>
      </c>
      <c r="Q1859">
        <v>2.1810033042396972E-3</v>
      </c>
      <c r="R1859">
        <v>1.3427691657920478E-3</v>
      </c>
      <c r="S1859">
        <v>0.14763437863236051</v>
      </c>
      <c r="T1859">
        <v>1.0700931250293868</v>
      </c>
      <c r="U1859">
        <v>2.3223897713413173E-2</v>
      </c>
      <c r="V1859">
        <v>0.20537457284251953</v>
      </c>
      <c r="W1859">
        <v>8.4237204634058052E-2</v>
      </c>
      <c r="X1859">
        <v>1.6890167910365721E-2</v>
      </c>
      <c r="Y1859">
        <v>3.6545750255494139E-3</v>
      </c>
    </row>
    <row r="1860" spans="1:25" x14ac:dyDescent="0.25">
      <c r="A1860" s="827"/>
      <c r="B1860" s="1066">
        <v>1610</v>
      </c>
      <c r="C1860" s="831">
        <v>0.98328246787558859</v>
      </c>
      <c r="D1860" s="831">
        <v>1.0137829840444321</v>
      </c>
      <c r="E1860" s="831">
        <v>0.98867124658020866</v>
      </c>
      <c r="F1860" s="831">
        <v>0.96131122967304006</v>
      </c>
      <c r="G1860" s="831">
        <v>1.0240900419853654</v>
      </c>
      <c r="H1860" s="831">
        <v>0.9957456369661335</v>
      </c>
      <c r="I1860" s="831">
        <v>0.98159579583542966</v>
      </c>
      <c r="K1860">
        <v>1.7363701390313193</v>
      </c>
      <c r="L1860">
        <v>0</v>
      </c>
      <c r="M1860">
        <v>1.4280861539135595E-3</v>
      </c>
      <c r="N1860">
        <v>0.13886784740489896</v>
      </c>
      <c r="O1860">
        <v>1.8027381907284538E-2</v>
      </c>
      <c r="P1860">
        <v>1.9663860098604727E-2</v>
      </c>
      <c r="Q1860">
        <v>2.1628873656425172E-3</v>
      </c>
      <c r="R1860">
        <v>1.4192441782961275E-3</v>
      </c>
      <c r="S1860">
        <v>0.15130854269510668</v>
      </c>
      <c r="T1860">
        <v>1.0723697867047524</v>
      </c>
      <c r="U1860">
        <v>2.3719051910578839E-2</v>
      </c>
      <c r="V1860">
        <v>0.20673825073949678</v>
      </c>
      <c r="W1860">
        <v>8.365608543029962E-2</v>
      </c>
      <c r="X1860">
        <v>1.6002571950667729E-2</v>
      </c>
      <c r="Y1860">
        <v>3.8627147996044228E-3</v>
      </c>
    </row>
    <row r="1861" spans="1:25" x14ac:dyDescent="0.25">
      <c r="A1861" s="827"/>
      <c r="B1861" s="1066">
        <v>1611</v>
      </c>
      <c r="C1861" s="831">
        <v>0.98829403657432058</v>
      </c>
      <c r="D1861" s="831">
        <v>1.0063200659108804</v>
      </c>
      <c r="E1861" s="831">
        <v>1.0204870422601147</v>
      </c>
      <c r="F1861" s="831">
        <v>0.978827108298715</v>
      </c>
      <c r="G1861" s="831">
        <v>1.0171369721075509</v>
      </c>
      <c r="H1861" s="831">
        <v>0.98390550051966452</v>
      </c>
      <c r="I1861" s="831">
        <v>1.0030543081459036</v>
      </c>
      <c r="K1861">
        <v>1.7392780357296522</v>
      </c>
      <c r="L1861">
        <v>0</v>
      </c>
      <c r="M1861">
        <v>1.3172943275619605E-3</v>
      </c>
      <c r="N1861">
        <v>0.14140741446295657</v>
      </c>
      <c r="O1861">
        <v>1.7996024457541778E-2</v>
      </c>
      <c r="P1861">
        <v>2.012514202036678E-2</v>
      </c>
      <c r="Q1861">
        <v>2.2277697136250559E-3</v>
      </c>
      <c r="R1861">
        <v>1.3090451107508755E-3</v>
      </c>
      <c r="S1861">
        <v>0.1534439822984687</v>
      </c>
      <c r="T1861">
        <v>1.0695520199073805</v>
      </c>
      <c r="U1861">
        <v>2.3598774286997637E-2</v>
      </c>
      <c r="V1861">
        <v>0.20686901119163986</v>
      </c>
      <c r="W1861">
        <v>8.3357265732308297E-2</v>
      </c>
      <c r="X1861">
        <v>1.714609161031859E-2</v>
      </c>
      <c r="Y1861">
        <v>3.5627892648590997E-3</v>
      </c>
    </row>
    <row r="1862" spans="1:25" x14ac:dyDescent="0.25">
      <c r="A1862" s="827"/>
      <c r="B1862" s="1066">
        <v>1612</v>
      </c>
      <c r="C1862" s="831">
        <v>0.98142331287555795</v>
      </c>
      <c r="D1862" s="831">
        <v>1.0119551642575466</v>
      </c>
      <c r="E1862" s="831">
        <v>0.97077889046792298</v>
      </c>
      <c r="F1862" s="831">
        <v>0.99354284529588821</v>
      </c>
      <c r="G1862" s="831">
        <v>1.0453064281081741</v>
      </c>
      <c r="H1862" s="831">
        <v>1.0198549556741043</v>
      </c>
      <c r="I1862" s="831">
        <v>0.97535152151977822</v>
      </c>
      <c r="K1862">
        <v>1.7420287003700776</v>
      </c>
      <c r="L1862">
        <v>0</v>
      </c>
      <c r="M1862">
        <v>1.5227639679427462E-3</v>
      </c>
      <c r="N1862">
        <v>0.14006602877195659</v>
      </c>
      <c r="O1862">
        <v>1.8076279665513787E-2</v>
      </c>
      <c r="P1862">
        <v>1.9440438225091138E-2</v>
      </c>
      <c r="Q1862">
        <v>2.1293510146377435E-3</v>
      </c>
      <c r="R1862">
        <v>1.5135600215018931E-3</v>
      </c>
      <c r="S1862">
        <v>0.15245433252930948</v>
      </c>
      <c r="T1862">
        <v>1.0739711826984555</v>
      </c>
      <c r="U1862">
        <v>2.3763983993786004E-2</v>
      </c>
      <c r="V1862">
        <v>0.20710890893574344</v>
      </c>
      <c r="W1862">
        <v>8.5432211910072497E-2</v>
      </c>
      <c r="X1862">
        <v>1.5475775138349296E-2</v>
      </c>
      <c r="Y1862">
        <v>4.1194114336011592E-3</v>
      </c>
    </row>
    <row r="1863" spans="1:25" x14ac:dyDescent="0.25">
      <c r="A1863" s="827"/>
      <c r="B1863" s="1066">
        <v>1613</v>
      </c>
      <c r="C1863" s="831">
        <v>1.018476654300551</v>
      </c>
      <c r="D1863" s="831">
        <v>1.0287531807863453</v>
      </c>
      <c r="E1863" s="831">
        <v>1.0390837614874071</v>
      </c>
      <c r="F1863" s="831">
        <v>0.97788104178106727</v>
      </c>
      <c r="G1863" s="831">
        <v>1.0430284691293266</v>
      </c>
      <c r="H1863" s="831">
        <v>0.97992040480532749</v>
      </c>
      <c r="I1863" s="831">
        <v>0.99488669908573246</v>
      </c>
      <c r="K1863">
        <v>1.716922769034787</v>
      </c>
      <c r="L1863">
        <v>0</v>
      </c>
      <c r="M1863">
        <v>1.2118433648920621E-3</v>
      </c>
      <c r="N1863">
        <v>0.13781333856331998</v>
      </c>
      <c r="O1863">
        <v>1.7289535501379166E-2</v>
      </c>
      <c r="P1863">
        <v>2.0190086204158131E-2</v>
      </c>
      <c r="Q1863">
        <v>2.1839408828483258E-3</v>
      </c>
      <c r="R1863">
        <v>1.2042100729703533E-3</v>
      </c>
      <c r="S1863">
        <v>0.14606636779078616</v>
      </c>
      <c r="T1863">
        <v>1.0679227448297761</v>
      </c>
      <c r="U1863">
        <v>2.2899423172659913E-2</v>
      </c>
      <c r="V1863">
        <v>0.20169745495459679</v>
      </c>
      <c r="W1863">
        <v>8.0232351055101556E-2</v>
      </c>
      <c r="X1863">
        <v>1.7357696521200131E-2</v>
      </c>
      <c r="Y1863">
        <v>3.2774628508814348E-3</v>
      </c>
    </row>
    <row r="1864" spans="1:25" x14ac:dyDescent="0.25">
      <c r="A1864" s="827"/>
      <c r="B1864" s="1066">
        <v>1614</v>
      </c>
      <c r="C1864" s="831">
        <v>1.038575902183176</v>
      </c>
      <c r="D1864" s="831">
        <v>1.0222957525978895</v>
      </c>
      <c r="E1864" s="831">
        <v>0.97230296590326282</v>
      </c>
      <c r="F1864" s="831">
        <v>1.0043758137017629</v>
      </c>
      <c r="G1864" s="831">
        <v>1.012777140771699</v>
      </c>
      <c r="H1864" s="831">
        <v>0.98185232123550259</v>
      </c>
      <c r="I1864" s="831">
        <v>0.99569202815110247</v>
      </c>
      <c r="K1864">
        <v>1.7015096725933554</v>
      </c>
      <c r="L1864">
        <v>0</v>
      </c>
      <c r="M1864">
        <v>1.3746022508824541E-3</v>
      </c>
      <c r="N1864">
        <v>0.12700955036327322</v>
      </c>
      <c r="O1864">
        <v>1.700322087140789E-2</v>
      </c>
      <c r="P1864">
        <v>1.9237234931357452E-2</v>
      </c>
      <c r="Q1864">
        <v>2.0077240080803144E-3</v>
      </c>
      <c r="R1864">
        <v>1.3659651647808565E-3</v>
      </c>
      <c r="S1864">
        <v>0.14386098877886747</v>
      </c>
      <c r="T1864">
        <v>1.0738343070455922</v>
      </c>
      <c r="U1864">
        <v>2.2456257505375617E-2</v>
      </c>
      <c r="V1864">
        <v>0.20024473291283423</v>
      </c>
      <c r="W1864">
        <v>7.7386141026204128E-2</v>
      </c>
      <c r="X1864">
        <v>1.4760445348223848E-2</v>
      </c>
      <c r="Y1864">
        <v>3.7177068882379401E-3</v>
      </c>
    </row>
    <row r="1865" spans="1:25" x14ac:dyDescent="0.25">
      <c r="A1865" s="827"/>
      <c r="B1865" s="1066">
        <v>1615</v>
      </c>
      <c r="C1865" s="831">
        <v>1.0315746263866747</v>
      </c>
      <c r="D1865" s="831">
        <v>1.018417045551308</v>
      </c>
      <c r="E1865" s="831">
        <v>0.97831101806862253</v>
      </c>
      <c r="F1865" s="831">
        <v>1.0007486120892473</v>
      </c>
      <c r="G1865" s="831">
        <v>1.0064509122113912</v>
      </c>
      <c r="H1865" s="831">
        <v>1.0357522595312789</v>
      </c>
      <c r="I1865" s="831">
        <v>1.0216083339813695</v>
      </c>
      <c r="K1865">
        <v>1.7262107776067488</v>
      </c>
      <c r="L1865">
        <v>0</v>
      </c>
      <c r="M1865">
        <v>1.4440956791060755E-3</v>
      </c>
      <c r="N1865">
        <v>0.1359976986974441</v>
      </c>
      <c r="O1865">
        <v>1.7148052967871748E-2</v>
      </c>
      <c r="P1865">
        <v>1.945209521430355E-2</v>
      </c>
      <c r="Q1865">
        <v>2.0366328206120484E-3</v>
      </c>
      <c r="R1865">
        <v>1.4354967693821386E-3</v>
      </c>
      <c r="S1865">
        <v>0.15264167765328102</v>
      </c>
      <c r="T1865">
        <v>1.0732955788647967</v>
      </c>
      <c r="U1865">
        <v>2.2608667663720699E-2</v>
      </c>
      <c r="V1865">
        <v>0.2012673975187905</v>
      </c>
      <c r="W1865">
        <v>8.2516699215403957E-2</v>
      </c>
      <c r="X1865">
        <v>1.5347926905372769E-2</v>
      </c>
      <c r="Y1865">
        <v>3.9069489948753327E-3</v>
      </c>
    </row>
    <row r="1866" spans="1:25" x14ac:dyDescent="0.25">
      <c r="A1866" s="827"/>
      <c r="B1866" s="1066">
        <v>1616</v>
      </c>
      <c r="C1866" s="831">
        <v>0.95752033744653708</v>
      </c>
      <c r="D1866" s="831">
        <v>0.95958923290394782</v>
      </c>
      <c r="E1866" s="831">
        <v>0.95846316716198998</v>
      </c>
      <c r="F1866" s="831">
        <v>0.9849606541748861</v>
      </c>
      <c r="G1866" s="831">
        <v>0.96155111914774716</v>
      </c>
      <c r="H1866" s="831">
        <v>0.99103984923610045</v>
      </c>
      <c r="I1866" s="831">
        <v>0.97896761868164861</v>
      </c>
      <c r="K1866">
        <v>1.7608047410972825</v>
      </c>
      <c r="L1866">
        <v>0</v>
      </c>
      <c r="M1866">
        <v>1.5942392145821191E-3</v>
      </c>
      <c r="N1866">
        <v>0.14109277636738973</v>
      </c>
      <c r="O1866">
        <v>1.8979649318585992E-2</v>
      </c>
      <c r="P1866">
        <v>1.9459337698010001E-2</v>
      </c>
      <c r="Q1866">
        <v>2.1980459154783702E-3</v>
      </c>
      <c r="R1866">
        <v>1.5843662505500681E-3</v>
      </c>
      <c r="S1866">
        <v>0.158191897379415</v>
      </c>
      <c r="T1866">
        <v>1.0750804365806446</v>
      </c>
      <c r="U1866">
        <v>2.4357214135522637E-2</v>
      </c>
      <c r="V1866">
        <v>0.21498663934295995</v>
      </c>
      <c r="W1866">
        <v>8.6805128413204161E-2</v>
      </c>
      <c r="X1866">
        <v>1.5351366262298896E-2</v>
      </c>
      <c r="Y1866">
        <v>4.3121226478031608E-3</v>
      </c>
    </row>
    <row r="1867" spans="1:25" x14ac:dyDescent="0.25">
      <c r="A1867" s="827"/>
      <c r="B1867" s="1066">
        <v>1617</v>
      </c>
      <c r="C1867" s="831">
        <v>0.97201343445843091</v>
      </c>
      <c r="D1867" s="831">
        <v>0.98835281889846271</v>
      </c>
      <c r="E1867" s="831">
        <v>1.0084263442964534</v>
      </c>
      <c r="F1867" s="831">
        <v>1.0287946116505653</v>
      </c>
      <c r="G1867" s="831">
        <v>1.0099580453787715</v>
      </c>
      <c r="H1867" s="831">
        <v>1.0338114573040802</v>
      </c>
      <c r="I1867" s="831">
        <v>1.0335259159603192</v>
      </c>
      <c r="K1867">
        <v>1.7729123690573836</v>
      </c>
      <c r="L1867">
        <v>0</v>
      </c>
      <c r="M1867">
        <v>1.4553953916742555E-3</v>
      </c>
      <c r="N1867">
        <v>0.1505317233939209</v>
      </c>
      <c r="O1867">
        <v>1.8447421454878734E-2</v>
      </c>
      <c r="P1867">
        <v>2.0185085565378839E-2</v>
      </c>
      <c r="Q1867">
        <v>2.2530142686313999E-3</v>
      </c>
      <c r="R1867">
        <v>1.4467340612663959E-3</v>
      </c>
      <c r="S1867">
        <v>0.16578956372998058</v>
      </c>
      <c r="T1867">
        <v>1.070615674518274</v>
      </c>
      <c r="U1867">
        <v>2.3994038633115826E-2</v>
      </c>
      <c r="V1867">
        <v>0.21039329433120593</v>
      </c>
      <c r="W1867">
        <v>8.9463809083002305E-2</v>
      </c>
      <c r="X1867">
        <v>1.7309872210389883E-2</v>
      </c>
      <c r="Y1867">
        <v>3.9375331990120074E-3</v>
      </c>
    </row>
    <row r="1868" spans="1:25" x14ac:dyDescent="0.25">
      <c r="A1868" s="827"/>
      <c r="B1868" s="1066">
        <v>1618</v>
      </c>
      <c r="C1868" s="831">
        <v>1.0061437104243152</v>
      </c>
      <c r="D1868" s="831">
        <v>0.98461151322573326</v>
      </c>
      <c r="E1868" s="831">
        <v>1.0307900572363766</v>
      </c>
      <c r="F1868" s="831">
        <v>0.98711043681025257</v>
      </c>
      <c r="G1868" s="831">
        <v>1.0168079786686204</v>
      </c>
      <c r="H1868" s="831">
        <v>0.99334766900173865</v>
      </c>
      <c r="I1868" s="831">
        <v>1.0086747292568898</v>
      </c>
      <c r="K1868">
        <v>1.7406144107523822</v>
      </c>
      <c r="L1868">
        <v>0</v>
      </c>
      <c r="M1868">
        <v>1.2908765271961581E-3</v>
      </c>
      <c r="N1868">
        <v>0.14308671485116103</v>
      </c>
      <c r="O1868">
        <v>1.7852341952052306E-2</v>
      </c>
      <c r="P1868">
        <v>2.0262297001246748E-2</v>
      </c>
      <c r="Q1868">
        <v>2.2286671341016063E-3</v>
      </c>
      <c r="R1868">
        <v>1.2828838325912382E-3</v>
      </c>
      <c r="S1868">
        <v>0.153628940920398</v>
      </c>
      <c r="T1868">
        <v>1.0686477426319336</v>
      </c>
      <c r="U1868">
        <v>2.318011597813148E-2</v>
      </c>
      <c r="V1868">
        <v>0.20695528154079909</v>
      </c>
      <c r="W1868">
        <v>8.376508773851192E-2</v>
      </c>
      <c r="X1868">
        <v>1.7523626808879068E-2</v>
      </c>
      <c r="Y1868">
        <v>3.4915868897715942E-3</v>
      </c>
    </row>
    <row r="1869" spans="1:25" x14ac:dyDescent="0.25">
      <c r="A1869" s="827"/>
      <c r="B1869" s="1066">
        <v>1619</v>
      </c>
      <c r="C1869" s="831">
        <v>0.98370543433080315</v>
      </c>
      <c r="D1869" s="831">
        <v>0.99151296426038049</v>
      </c>
      <c r="E1869" s="831">
        <v>1.0017212510689788</v>
      </c>
      <c r="F1869" s="831">
        <v>0.99146850129897235</v>
      </c>
      <c r="G1869" s="831">
        <v>0.96721158747879554</v>
      </c>
      <c r="H1869" s="831">
        <v>1.001581578078935</v>
      </c>
      <c r="I1869" s="831">
        <v>0.99257329199922906</v>
      </c>
      <c r="K1869">
        <v>1.7474725960146933</v>
      </c>
      <c r="L1869">
        <v>0</v>
      </c>
      <c r="M1869">
        <v>1.4110499383631584E-3</v>
      </c>
      <c r="N1869">
        <v>0.14290549885907836</v>
      </c>
      <c r="O1869">
        <v>1.8201791268168961E-2</v>
      </c>
      <c r="P1869">
        <v>1.9916229859472796E-2</v>
      </c>
      <c r="Q1869">
        <v>2.2087054033051814E-3</v>
      </c>
      <c r="R1869">
        <v>1.40238002888587E-3</v>
      </c>
      <c r="S1869">
        <v>0.15477537490545396</v>
      </c>
      <c r="T1869">
        <v>1.0712093879594449</v>
      </c>
      <c r="U1869">
        <v>2.370885336642372E-2</v>
      </c>
      <c r="V1869">
        <v>0.20876470332629121</v>
      </c>
      <c r="W1869">
        <v>8.5320570747576027E-2</v>
      </c>
      <c r="X1869">
        <v>1.6653334084779859E-2</v>
      </c>
      <c r="Y1869">
        <v>3.8168161441750597E-3</v>
      </c>
    </row>
    <row r="1870" spans="1:25" x14ac:dyDescent="0.25">
      <c r="A1870" s="827"/>
      <c r="B1870" s="1066">
        <v>1620</v>
      </c>
      <c r="C1870" s="831">
        <v>1.0023126063602523</v>
      </c>
      <c r="D1870" s="831">
        <v>1.0094928506144414</v>
      </c>
      <c r="E1870" s="831">
        <v>1.0215045136259473</v>
      </c>
      <c r="F1870" s="831">
        <v>0.98601549705806169</v>
      </c>
      <c r="G1870" s="831">
        <v>1.0164231266847423</v>
      </c>
      <c r="H1870" s="831">
        <v>0.95625683156081387</v>
      </c>
      <c r="I1870" s="831">
        <v>1.0101841140179026</v>
      </c>
      <c r="K1870">
        <v>1.7233914662189134</v>
      </c>
      <c r="L1870">
        <v>0</v>
      </c>
      <c r="M1870">
        <v>1.2578690070451557E-3</v>
      </c>
      <c r="N1870">
        <v>0.13543082672335111</v>
      </c>
      <c r="O1870">
        <v>1.7719068032472179E-2</v>
      </c>
      <c r="P1870">
        <v>2.0064115118372076E-2</v>
      </c>
      <c r="Q1870">
        <v>2.1962675643325204E-3</v>
      </c>
      <c r="R1870">
        <v>1.2497621024792874E-3</v>
      </c>
      <c r="S1870">
        <v>0.15018276925344359</v>
      </c>
      <c r="T1870">
        <v>1.0694625391872112</v>
      </c>
      <c r="U1870">
        <v>2.326871651649224E-2</v>
      </c>
      <c r="V1870">
        <v>0.20506650403066246</v>
      </c>
      <c r="W1870">
        <v>7.9779414032518287E-2</v>
      </c>
      <c r="X1870">
        <v>1.6827912205639832E-2</v>
      </c>
      <c r="Y1870">
        <v>3.4014404589822601E-3</v>
      </c>
    </row>
    <row r="1871" spans="1:25" x14ac:dyDescent="0.25">
      <c r="A1871" s="827"/>
      <c r="B1871" s="1066">
        <v>1621</v>
      </c>
      <c r="C1871" s="831">
        <v>1.0032637564189311</v>
      </c>
      <c r="D1871" s="831">
        <v>1.0158557638412267</v>
      </c>
      <c r="E1871" s="831">
        <v>1.0329359016549955</v>
      </c>
      <c r="F1871" s="831">
        <v>0.99530537425749011</v>
      </c>
      <c r="G1871" s="831">
        <v>0.9878404050437567</v>
      </c>
      <c r="H1871" s="831">
        <v>1.0280456804629914</v>
      </c>
      <c r="I1871" s="831">
        <v>1.0292074041980011</v>
      </c>
      <c r="K1871">
        <v>1.7478436646695232</v>
      </c>
      <c r="L1871">
        <v>0</v>
      </c>
      <c r="M1871">
        <v>1.3150133423417462E-3</v>
      </c>
      <c r="N1871">
        <v>0.1467648068408193</v>
      </c>
      <c r="O1871">
        <v>1.7652032684247379E-2</v>
      </c>
      <c r="P1871">
        <v>2.031361739017196E-2</v>
      </c>
      <c r="Q1871">
        <v>2.2139981862515437E-3</v>
      </c>
      <c r="R1871">
        <v>1.3071259623298899E-3</v>
      </c>
      <c r="S1871">
        <v>0.15771826354762797</v>
      </c>
      <c r="T1871">
        <v>1.0684599122940339</v>
      </c>
      <c r="U1871">
        <v>2.3246656474017448E-2</v>
      </c>
      <c r="V1871">
        <v>0.20439974071152892</v>
      </c>
      <c r="W1871">
        <v>8.5794997759377045E-2</v>
      </c>
      <c r="X1871">
        <v>1.7729960185953283E-2</v>
      </c>
      <c r="Y1871">
        <v>3.5575659755042841E-3</v>
      </c>
    </row>
    <row r="1872" spans="1:25" x14ac:dyDescent="0.25">
      <c r="A1872" s="827"/>
      <c r="B1872" s="1066">
        <v>1622</v>
      </c>
      <c r="C1872" s="831">
        <v>1.019665216063629</v>
      </c>
      <c r="D1872" s="831">
        <v>0.96494024377898779</v>
      </c>
      <c r="E1872" s="831">
        <v>1.0114636595113451</v>
      </c>
      <c r="F1872" s="831">
        <v>1.0363518353495698</v>
      </c>
      <c r="G1872" s="831">
        <v>0.99721347348171641</v>
      </c>
      <c r="H1872" s="831">
        <v>0.99303340422136599</v>
      </c>
      <c r="I1872" s="831">
        <v>0.98510236480506919</v>
      </c>
      <c r="K1872">
        <v>1.7327108861140814</v>
      </c>
      <c r="L1872">
        <v>0</v>
      </c>
      <c r="M1872">
        <v>1.3386283733186977E-3</v>
      </c>
      <c r="N1872">
        <v>0.1397354006961368</v>
      </c>
      <c r="O1872">
        <v>1.777786708717264E-2</v>
      </c>
      <c r="P1872">
        <v>1.9942675834256799E-2</v>
      </c>
      <c r="Q1872">
        <v>2.17351333441918E-3</v>
      </c>
      <c r="R1872">
        <v>1.3303511978752887E-3</v>
      </c>
      <c r="S1872">
        <v>0.14927595605745925</v>
      </c>
      <c r="T1872">
        <v>1.0703472896977766</v>
      </c>
      <c r="U1872">
        <v>2.2872730706985103E-2</v>
      </c>
      <c r="V1872">
        <v>0.20738666675519982</v>
      </c>
      <c r="W1872">
        <v>8.2876129074905214E-2</v>
      </c>
      <c r="X1872">
        <v>1.671015663475188E-2</v>
      </c>
      <c r="Y1872">
        <v>3.6207774104620202E-3</v>
      </c>
    </row>
    <row r="1873" spans="1:25" x14ac:dyDescent="0.25">
      <c r="A1873" s="827"/>
      <c r="B1873" s="1066">
        <v>1623</v>
      </c>
      <c r="C1873" s="831">
        <v>0.99532375791061944</v>
      </c>
      <c r="D1873" s="831">
        <v>0.96990758451280445</v>
      </c>
      <c r="E1873" s="831">
        <v>0.97331505858777301</v>
      </c>
      <c r="F1873" s="831">
        <v>0.99604656163604011</v>
      </c>
      <c r="G1873" s="831">
        <v>0.97044054429684634</v>
      </c>
      <c r="H1873" s="831">
        <v>1.0053698125880028</v>
      </c>
      <c r="I1873" s="831">
        <v>0.98758199331529739</v>
      </c>
      <c r="K1873">
        <v>1.7439061425793727</v>
      </c>
      <c r="L1873">
        <v>0</v>
      </c>
      <c r="M1873">
        <v>1.5008977831684779E-3</v>
      </c>
      <c r="N1873">
        <v>0.13914141168783573</v>
      </c>
      <c r="O1873">
        <v>1.8170163600659758E-2</v>
      </c>
      <c r="P1873">
        <v>1.9522433247750048E-2</v>
      </c>
      <c r="Q1873">
        <v>2.1384699839186575E-3</v>
      </c>
      <c r="R1873">
        <v>1.4917272167968463E-3</v>
      </c>
      <c r="S1873">
        <v>0.15387487103349454</v>
      </c>
      <c r="T1873">
        <v>1.0737434601645026</v>
      </c>
      <c r="U1873">
        <v>2.3432102080293719E-2</v>
      </c>
      <c r="V1873">
        <v>0.2095535383124594</v>
      </c>
      <c r="W1873">
        <v>8.4718191264832224E-2</v>
      </c>
      <c r="X1873">
        <v>1.5560682033620189E-2</v>
      </c>
      <c r="Y1873">
        <v>4.0599897363761588E-3</v>
      </c>
    </row>
    <row r="1874" spans="1:25" x14ac:dyDescent="0.25">
      <c r="A1874" s="827"/>
      <c r="B1874" s="1066">
        <v>1624</v>
      </c>
      <c r="C1874" s="831">
        <v>1.0185036123802607</v>
      </c>
      <c r="D1874" s="831">
        <v>0.96031629539283669</v>
      </c>
      <c r="E1874" s="831">
        <v>1.004958026432595</v>
      </c>
      <c r="F1874" s="831">
        <v>0.98824162609224542</v>
      </c>
      <c r="G1874" s="831">
        <v>1.0056876200698588</v>
      </c>
      <c r="H1874" s="831">
        <v>1.0049796593925826</v>
      </c>
      <c r="I1874" s="831">
        <v>1.0020393608473988</v>
      </c>
      <c r="K1874">
        <v>1.7401436063803331</v>
      </c>
      <c r="L1874">
        <v>0</v>
      </c>
      <c r="M1874">
        <v>1.3780156418434857E-3</v>
      </c>
      <c r="N1874">
        <v>0.14097726559240045</v>
      </c>
      <c r="O1874">
        <v>1.7837085705079816E-2</v>
      </c>
      <c r="P1874">
        <v>1.9916331161004427E-2</v>
      </c>
      <c r="Q1874">
        <v>2.1657330582920908E-3</v>
      </c>
      <c r="R1874">
        <v>1.3695995697840942E-3</v>
      </c>
      <c r="S1874">
        <v>0.15317974344724425</v>
      </c>
      <c r="T1874">
        <v>1.0709225703233454</v>
      </c>
      <c r="U1874">
        <v>2.2898817063395575E-2</v>
      </c>
      <c r="V1874">
        <v>0.20795855422338755</v>
      </c>
      <c r="W1874">
        <v>8.3983561236331689E-2</v>
      </c>
      <c r="X1874">
        <v>1.6584762101336997E-2</v>
      </c>
      <c r="Y1874">
        <v>3.727598540575465E-3</v>
      </c>
    </row>
    <row r="1875" spans="1:25" x14ac:dyDescent="0.25">
      <c r="A1875" s="827"/>
      <c r="B1875" s="1066">
        <v>1625</v>
      </c>
      <c r="C1875" s="831">
        <v>1.0119119145127109</v>
      </c>
      <c r="D1875" s="831">
        <v>0.974759353469694</v>
      </c>
      <c r="E1875" s="831">
        <v>0.99402662543698794</v>
      </c>
      <c r="F1875" s="831">
        <v>1.0120809287352699</v>
      </c>
      <c r="G1875" s="831">
        <v>1.0280800586542926</v>
      </c>
      <c r="H1875" s="831">
        <v>1.0276444699495637</v>
      </c>
      <c r="I1875" s="831">
        <v>0.99221474824828249</v>
      </c>
      <c r="K1875">
        <v>1.7435777806571597</v>
      </c>
      <c r="L1875">
        <v>0</v>
      </c>
      <c r="M1875">
        <v>1.4414906408993064E-3</v>
      </c>
      <c r="N1875">
        <v>0.1425581311912259</v>
      </c>
      <c r="O1875">
        <v>1.7831818490995469E-2</v>
      </c>
      <c r="P1875">
        <v>1.976231905669525E-2</v>
      </c>
      <c r="Q1875">
        <v>2.1440953990889194E-3</v>
      </c>
      <c r="R1875">
        <v>1.4328704076712001E-3</v>
      </c>
      <c r="S1875">
        <v>0.15333278639655995</v>
      </c>
      <c r="T1875">
        <v>1.0718928127449914</v>
      </c>
      <c r="U1875">
        <v>2.3047982303414424E-2</v>
      </c>
      <c r="V1875">
        <v>0.20726691850181334</v>
      </c>
      <c r="W1875">
        <v>8.556314865264332E-2</v>
      </c>
      <c r="X1875">
        <v>1.6286587248881931E-2</v>
      </c>
      <c r="Y1875">
        <v>3.8998009040780634E-3</v>
      </c>
    </row>
    <row r="1876" spans="1:25" x14ac:dyDescent="0.25">
      <c r="A1876" s="827"/>
      <c r="B1876" s="1066">
        <v>1626</v>
      </c>
      <c r="C1876" s="831">
        <v>0.99044716315968828</v>
      </c>
      <c r="D1876" s="831">
        <v>0.98848661951289607</v>
      </c>
      <c r="E1876" s="831">
        <v>0.99494800163152763</v>
      </c>
      <c r="F1876" s="831">
        <v>0.99080574143074951</v>
      </c>
      <c r="G1876" s="831">
        <v>0.96652646613348181</v>
      </c>
      <c r="H1876" s="831">
        <v>1.0194926869264831</v>
      </c>
      <c r="I1876" s="831">
        <v>0.98312519719713976</v>
      </c>
      <c r="K1876">
        <v>1.7477240805643217</v>
      </c>
      <c r="L1876">
        <v>0</v>
      </c>
      <c r="M1876">
        <v>1.449000393652821E-3</v>
      </c>
      <c r="N1876">
        <v>0.14370443164714286</v>
      </c>
      <c r="O1876">
        <v>1.8102975291271209E-2</v>
      </c>
      <c r="P1876">
        <v>1.9801206867216061E-2</v>
      </c>
      <c r="Q1876">
        <v>2.1812460783697364E-3</v>
      </c>
      <c r="R1876">
        <v>1.4402559102155385E-3</v>
      </c>
      <c r="S1876">
        <v>0.15373519342990594</v>
      </c>
      <c r="T1876">
        <v>1.0718108598341916</v>
      </c>
      <c r="U1876">
        <v>2.3547473066509176E-2</v>
      </c>
      <c r="V1876">
        <v>0.20830227390432857</v>
      </c>
      <c r="W1876">
        <v>8.6196587172795949E-2</v>
      </c>
      <c r="X1876">
        <v>1.643067594865345E-2</v>
      </c>
      <c r="Y1876">
        <v>3.9199018073734935E-3</v>
      </c>
    </row>
    <row r="1877" spans="1:25" x14ac:dyDescent="0.25">
      <c r="A1877" s="827"/>
      <c r="B1877" s="1066">
        <v>1627</v>
      </c>
      <c r="C1877" s="831">
        <v>1.0253821249216097</v>
      </c>
      <c r="D1877" s="831">
        <v>1.0074737494594732</v>
      </c>
      <c r="E1877" s="831">
        <v>1.0079361876816049</v>
      </c>
      <c r="F1877" s="831">
        <v>0.98099013384633027</v>
      </c>
      <c r="G1877" s="831">
        <v>1.0152686260061599</v>
      </c>
      <c r="H1877" s="831">
        <v>1.0190058624962368</v>
      </c>
      <c r="I1877" s="831">
        <v>1.0228404646383298</v>
      </c>
      <c r="K1877">
        <v>1.7311708602864819</v>
      </c>
      <c r="L1877">
        <v>0</v>
      </c>
      <c r="M1877">
        <v>1.3495392576246259E-3</v>
      </c>
      <c r="N1877">
        <v>0.13935699974281596</v>
      </c>
      <c r="O1877">
        <v>1.7336115482473043E-2</v>
      </c>
      <c r="P1877">
        <v>1.9885387371615798E-2</v>
      </c>
      <c r="Q1877">
        <v>2.1195808321629894E-3</v>
      </c>
      <c r="R1877">
        <v>1.3413784617365961E-3</v>
      </c>
      <c r="S1877">
        <v>0.153244684452534</v>
      </c>
      <c r="T1877">
        <v>1.0706590186794878</v>
      </c>
      <c r="U1877">
        <v>2.2745206232346025E-2</v>
      </c>
      <c r="V1877">
        <v>0.20284723551990225</v>
      </c>
      <c r="W1877">
        <v>8.2850086510146997E-2</v>
      </c>
      <c r="X1877">
        <v>1.6483916271328187E-2</v>
      </c>
      <c r="Y1877">
        <v>3.6507899875559439E-3</v>
      </c>
    </row>
    <row r="1878" spans="1:25" x14ac:dyDescent="0.25">
      <c r="A1878" s="827"/>
      <c r="B1878" s="1066">
        <v>1628</v>
      </c>
      <c r="C1878" s="831">
        <v>0.98818789791934791</v>
      </c>
      <c r="D1878" s="831">
        <v>1.0032813056761243</v>
      </c>
      <c r="E1878" s="831">
        <v>1.0213698210628568</v>
      </c>
      <c r="F1878" s="831">
        <v>1.0024499850124104</v>
      </c>
      <c r="G1878" s="831">
        <v>0.9979986540327167</v>
      </c>
      <c r="H1878" s="831">
        <v>0.97757148692832807</v>
      </c>
      <c r="I1878" s="831">
        <v>0.98607669708062473</v>
      </c>
      <c r="K1878">
        <v>1.7356511251441809</v>
      </c>
      <c r="L1878">
        <v>0</v>
      </c>
      <c r="M1878">
        <v>1.3083037064319325E-3</v>
      </c>
      <c r="N1878">
        <v>0.14082241427151138</v>
      </c>
      <c r="O1878">
        <v>1.8022615313382697E-2</v>
      </c>
      <c r="P1878">
        <v>2.0101735201441616E-2</v>
      </c>
      <c r="Q1878">
        <v>2.2324672157549613E-3</v>
      </c>
      <c r="R1878">
        <v>1.3000597326393946E-3</v>
      </c>
      <c r="S1878">
        <v>0.15059924678392095</v>
      </c>
      <c r="T1878">
        <v>1.0694743823663186</v>
      </c>
      <c r="U1878">
        <v>2.3601308969083013E-2</v>
      </c>
      <c r="V1878">
        <v>0.20716164934550821</v>
      </c>
      <c r="W1878">
        <v>8.296301581222798E-2</v>
      </c>
      <c r="X1878">
        <v>1.7142199811153093E-2</v>
      </c>
      <c r="Y1878">
        <v>3.5383340276687477E-3</v>
      </c>
    </row>
    <row r="1879" spans="1:25" x14ac:dyDescent="0.25">
      <c r="A1879" s="827"/>
      <c r="B1879" s="1066">
        <v>1629</v>
      </c>
      <c r="C1879" s="831">
        <v>0.97175772669018057</v>
      </c>
      <c r="D1879" s="831">
        <v>0.99566823457764853</v>
      </c>
      <c r="E1879" s="831">
        <v>0.98171524090234796</v>
      </c>
      <c r="F1879" s="831">
        <v>1.0186308504009325</v>
      </c>
      <c r="G1879" s="831">
        <v>1.0021193466838063</v>
      </c>
      <c r="H1879" s="831">
        <v>1.0106786435276087</v>
      </c>
      <c r="I1879" s="831">
        <v>1.026686838994211</v>
      </c>
      <c r="K1879">
        <v>1.7588687455541865</v>
      </c>
      <c r="L1879">
        <v>0</v>
      </c>
      <c r="M1879">
        <v>1.5004708412829316E-3</v>
      </c>
      <c r="N1879">
        <v>0.14279397619187081</v>
      </c>
      <c r="O1879">
        <v>1.839068365442938E-2</v>
      </c>
      <c r="P1879">
        <v>1.9763232181708893E-2</v>
      </c>
      <c r="Q1879">
        <v>2.1877474981740531E-3</v>
      </c>
      <c r="R1879">
        <v>1.4913313620324871E-3</v>
      </c>
      <c r="S1879">
        <v>0.16247312842772529</v>
      </c>
      <c r="T1879">
        <v>1.0729909316264474</v>
      </c>
      <c r="U1879">
        <v>2.400035241061577E-2</v>
      </c>
      <c r="V1879">
        <v>0.20971844371029166</v>
      </c>
      <c r="W1879">
        <v>8.6435930593441151E-2</v>
      </c>
      <c r="X1879">
        <v>1.606454638853079E-2</v>
      </c>
      <c r="Y1879">
        <v>4.0589123502010604E-3</v>
      </c>
    </row>
    <row r="1880" spans="1:25" x14ac:dyDescent="0.25">
      <c r="A1880" s="827"/>
      <c r="B1880" s="1066">
        <v>1630</v>
      </c>
      <c r="C1880" s="831">
        <v>0.97912850673758445</v>
      </c>
      <c r="D1880" s="831">
        <v>1.0041446484392913</v>
      </c>
      <c r="E1880" s="831">
        <v>1.0350481579773163</v>
      </c>
      <c r="F1880" s="831">
        <v>0.96006536480601423</v>
      </c>
      <c r="G1880" s="831">
        <v>0.9759017508896215</v>
      </c>
      <c r="H1880" s="831">
        <v>1.0015480751811692</v>
      </c>
      <c r="I1880" s="831">
        <v>1.0011815844723122</v>
      </c>
      <c r="K1880">
        <v>1.7522589932692871</v>
      </c>
      <c r="L1880">
        <v>0</v>
      </c>
      <c r="M1880">
        <v>1.3137085044045301E-3</v>
      </c>
      <c r="N1880">
        <v>0.14756071509903362</v>
      </c>
      <c r="O1880">
        <v>1.8182287227112522E-2</v>
      </c>
      <c r="P1880">
        <v>2.0378051675151752E-2</v>
      </c>
      <c r="Q1880">
        <v>2.283102544903545E-3</v>
      </c>
      <c r="R1880">
        <v>1.305628080583119E-3</v>
      </c>
      <c r="S1880">
        <v>0.15602257395080266</v>
      </c>
      <c r="T1880">
        <v>1.0682751926827039</v>
      </c>
      <c r="U1880">
        <v>2.3819680192963533E-2</v>
      </c>
      <c r="V1880">
        <v>0.20808779599740512</v>
      </c>
      <c r="W1880">
        <v>8.6138590709871454E-2</v>
      </c>
      <c r="X1880">
        <v>1.7965594377992989E-2</v>
      </c>
      <c r="Y1880">
        <v>3.5534892351661569E-3</v>
      </c>
    </row>
    <row r="1881" spans="1:25" x14ac:dyDescent="0.25">
      <c r="A1881" s="827"/>
      <c r="B1881" s="1066">
        <v>1631</v>
      </c>
      <c r="C1881" s="831">
        <v>1.0228873507724707</v>
      </c>
      <c r="D1881" s="831">
        <v>0.99453638762764351</v>
      </c>
      <c r="E1881" s="831">
        <v>1.0156046701064561</v>
      </c>
      <c r="F1881" s="831">
        <v>1.0134397220687963</v>
      </c>
      <c r="G1881" s="831">
        <v>0.98684402891381373</v>
      </c>
      <c r="H1881" s="831">
        <v>0.9882547397953092</v>
      </c>
      <c r="I1881" s="831">
        <v>1.0015184808785436</v>
      </c>
      <c r="K1881">
        <v>1.7243576011355943</v>
      </c>
      <c r="L1881">
        <v>0</v>
      </c>
      <c r="M1881">
        <v>1.2985206106120766E-3</v>
      </c>
      <c r="N1881">
        <v>0.13729822098683744</v>
      </c>
      <c r="O1881">
        <v>1.7480423533187919E-2</v>
      </c>
      <c r="P1881">
        <v>1.9951581710557612E-2</v>
      </c>
      <c r="Q1881">
        <v>2.1513753891094565E-3</v>
      </c>
      <c r="R1881">
        <v>1.2904325094779366E-3</v>
      </c>
      <c r="S1881">
        <v>0.14905917523736895</v>
      </c>
      <c r="T1881">
        <v>1.0699819418211345</v>
      </c>
      <c r="U1881">
        <v>2.2800680720795195E-2</v>
      </c>
      <c r="V1881">
        <v>0.20426850428988957</v>
      </c>
      <c r="W1881">
        <v>8.1202411006890074E-2</v>
      </c>
      <c r="X1881">
        <v>1.6659242641121407E-2</v>
      </c>
      <c r="Y1881">
        <v>3.5121318998365212E-3</v>
      </c>
    </row>
    <row r="1882" spans="1:25" x14ac:dyDescent="0.25">
      <c r="A1882" s="827"/>
      <c r="B1882" s="1066">
        <v>1632</v>
      </c>
      <c r="C1882" s="831">
        <v>0.97216750692568188</v>
      </c>
      <c r="D1882" s="831">
        <v>1.0056907347374178</v>
      </c>
      <c r="E1882" s="831">
        <v>1.0308314168888724</v>
      </c>
      <c r="F1882" s="831">
        <v>0.97378434175078965</v>
      </c>
      <c r="G1882" s="831">
        <v>1.013106559955439</v>
      </c>
      <c r="H1882" s="831">
        <v>1.029513325530965</v>
      </c>
      <c r="I1882" s="831">
        <v>1.0452093695334777</v>
      </c>
      <c r="K1882">
        <v>1.7713928609135936</v>
      </c>
      <c r="L1882">
        <v>0</v>
      </c>
      <c r="M1882">
        <v>1.3712968452820032E-3</v>
      </c>
      <c r="N1882">
        <v>0.15205207852610855</v>
      </c>
      <c r="O1882">
        <v>1.8299727572881647E-2</v>
      </c>
      <c r="P1882">
        <v>2.0472940133801954E-2</v>
      </c>
      <c r="Q1882">
        <v>2.2885925051522359E-3</v>
      </c>
      <c r="R1882">
        <v>1.3630902932657398E-3</v>
      </c>
      <c r="S1882">
        <v>0.16609822792325471</v>
      </c>
      <c r="T1882">
        <v>1.068644120681844</v>
      </c>
      <c r="U1882">
        <v>2.3990235974926593E-2</v>
      </c>
      <c r="V1882">
        <v>0.20872420637417585</v>
      </c>
      <c r="W1882">
        <v>8.9011079112495978E-2</v>
      </c>
      <c r="X1882">
        <v>1.810997622529047E-2</v>
      </c>
      <c r="Y1882">
        <v>3.7098824356749322E-3</v>
      </c>
    </row>
    <row r="1883" spans="1:25" x14ac:dyDescent="0.25">
      <c r="A1883" s="827"/>
      <c r="B1883" s="1066">
        <v>1633</v>
      </c>
      <c r="C1883" s="831">
        <v>1.0449603323950405</v>
      </c>
      <c r="D1883" s="831">
        <v>0.97914104863417173</v>
      </c>
      <c r="E1883" s="831">
        <v>0.98830175821208588</v>
      </c>
      <c r="F1883" s="831">
        <v>1.0166609412200485</v>
      </c>
      <c r="G1883" s="831">
        <v>0.99881454891299026</v>
      </c>
      <c r="H1883" s="831">
        <v>0.95809990785739862</v>
      </c>
      <c r="I1883" s="831">
        <v>0.96726934192691272</v>
      </c>
      <c r="K1883">
        <v>1.700122450238458</v>
      </c>
      <c r="L1883">
        <v>0</v>
      </c>
      <c r="M1883">
        <v>1.3145212866193657E-3</v>
      </c>
      <c r="N1883">
        <v>0.12764885064468745</v>
      </c>
      <c r="O1883">
        <v>1.7232718650223893E-2</v>
      </c>
      <c r="P1883">
        <v>1.9439599565947433E-2</v>
      </c>
      <c r="Q1883">
        <v>2.0608790433731569E-3</v>
      </c>
      <c r="R1883">
        <v>1.3060866268647618E-3</v>
      </c>
      <c r="S1883">
        <v>0.13981449205773061</v>
      </c>
      <c r="T1883">
        <v>1.0724027348254648</v>
      </c>
      <c r="U1883">
        <v>2.2319055733769449E-2</v>
      </c>
      <c r="V1883">
        <v>0.20342782756512506</v>
      </c>
      <c r="W1883">
        <v>7.6917193448717447E-2</v>
      </c>
      <c r="X1883">
        <v>1.5312796116190047E-2</v>
      </c>
      <c r="Y1883">
        <v>3.5547372469850501E-3</v>
      </c>
    </row>
    <row r="1884" spans="1:25" x14ac:dyDescent="0.25">
      <c r="A1884" s="827"/>
      <c r="B1884" s="1066">
        <v>1634</v>
      </c>
      <c r="C1884" s="831">
        <v>0.96980001193973187</v>
      </c>
      <c r="D1884" s="831">
        <v>1.0038245129000611</v>
      </c>
      <c r="E1884" s="831">
        <v>0.99808869933004507</v>
      </c>
      <c r="F1884" s="831">
        <v>0.99822907715332354</v>
      </c>
      <c r="G1884" s="831">
        <v>0.96596003552276932</v>
      </c>
      <c r="H1884" s="831">
        <v>0.98949571252054425</v>
      </c>
      <c r="I1884" s="831">
        <v>1.0198178914087084</v>
      </c>
      <c r="K1884">
        <v>1.752012571318547</v>
      </c>
      <c r="L1884">
        <v>0</v>
      </c>
      <c r="M1884">
        <v>1.4169337214994158E-3</v>
      </c>
      <c r="N1884">
        <v>0.14187714644465138</v>
      </c>
      <c r="O1884">
        <v>1.8359832794470333E-2</v>
      </c>
      <c r="P1884">
        <v>1.9942159721405141E-2</v>
      </c>
      <c r="Q1884">
        <v>2.222012035731055E-3</v>
      </c>
      <c r="R1884">
        <v>1.4081124479247544E-3</v>
      </c>
      <c r="S1884">
        <v>0.15956852241968819</v>
      </c>
      <c r="T1884">
        <v>1.0715317472558337</v>
      </c>
      <c r="U1884">
        <v>2.4048801413865704E-2</v>
      </c>
      <c r="V1884">
        <v>0.20916882274304585</v>
      </c>
      <c r="W1884">
        <v>8.491741892312428E-2</v>
      </c>
      <c r="X1884">
        <v>1.6552510941197029E-2</v>
      </c>
      <c r="Y1884">
        <v>3.832417899107475E-3</v>
      </c>
    </row>
    <row r="1885" spans="1:25" x14ac:dyDescent="0.25">
      <c r="A1885" s="827"/>
      <c r="B1885" s="1066">
        <v>1635</v>
      </c>
      <c r="C1885" s="831">
        <v>0.97710962426814962</v>
      </c>
      <c r="D1885" s="831">
        <v>0.99209804416736724</v>
      </c>
      <c r="E1885" s="831">
        <v>1.0021327307795231</v>
      </c>
      <c r="F1885" s="831">
        <v>1.0134237351342921</v>
      </c>
      <c r="G1885" s="831">
        <v>0.98922555825781733</v>
      </c>
      <c r="H1885" s="831">
        <v>1.0409796605471007</v>
      </c>
      <c r="I1885" s="831">
        <v>0.99063633191868616</v>
      </c>
      <c r="K1885">
        <v>1.7632098561871821</v>
      </c>
      <c r="L1885">
        <v>0</v>
      </c>
      <c r="M1885">
        <v>1.4747812234982048E-3</v>
      </c>
      <c r="N1885">
        <v>0.14958619764226364</v>
      </c>
      <c r="O1885">
        <v>1.8319758685056049E-2</v>
      </c>
      <c r="P1885">
        <v>1.9982311697999879E-2</v>
      </c>
      <c r="Q1885">
        <v>2.224046909265304E-3</v>
      </c>
      <c r="R1885">
        <v>1.4660622606766584E-3</v>
      </c>
      <c r="S1885">
        <v>0.158355692220054</v>
      </c>
      <c r="T1885">
        <v>1.0711729039036373</v>
      </c>
      <c r="U1885">
        <v>2.3868895893612373E-2</v>
      </c>
      <c r="V1885">
        <v>0.20944830831413963</v>
      </c>
      <c r="W1885">
        <v>8.9284120056546318E-2</v>
      </c>
      <c r="X1885">
        <v>1.698620164116163E-2</v>
      </c>
      <c r="Y1885">
        <v>3.9901381862675177E-3</v>
      </c>
    </row>
    <row r="1886" spans="1:25" x14ac:dyDescent="0.25">
      <c r="A1886" s="827"/>
      <c r="B1886" s="1066">
        <v>1636</v>
      </c>
      <c r="C1886" s="831">
        <v>0.99793028719526611</v>
      </c>
      <c r="D1886" s="831">
        <v>1.0349433752081967</v>
      </c>
      <c r="E1886" s="831">
        <v>1.0149260110064462</v>
      </c>
      <c r="F1886" s="831">
        <v>0.97200517795222252</v>
      </c>
      <c r="G1886" s="831">
        <v>1.0288669976176379</v>
      </c>
      <c r="H1886" s="831">
        <v>0.97114336409816471</v>
      </c>
      <c r="I1886" s="831">
        <v>1.0078864560198486</v>
      </c>
      <c r="K1886">
        <v>1.7225358179166079</v>
      </c>
      <c r="L1886">
        <v>0</v>
      </c>
      <c r="M1886">
        <v>1.2864725989999589E-3</v>
      </c>
      <c r="N1886">
        <v>0.13571997714716363</v>
      </c>
      <c r="O1886">
        <v>1.759780005143935E-2</v>
      </c>
      <c r="P1886">
        <v>1.9950024535782106E-2</v>
      </c>
      <c r="Q1886">
        <v>2.1713798973282995E-3</v>
      </c>
      <c r="R1886">
        <v>1.2782920562905125E-3</v>
      </c>
      <c r="S1886">
        <v>0.15002107210879381</v>
      </c>
      <c r="T1886">
        <v>1.0700417732411587</v>
      </c>
      <c r="U1886">
        <v>2.3370898947112181E-2</v>
      </c>
      <c r="V1886">
        <v>0.20328595909286887</v>
      </c>
      <c r="W1886">
        <v>8.0305877153352745E-2</v>
      </c>
      <c r="X1886">
        <v>1.6600146695955952E-2</v>
      </c>
      <c r="Y1886">
        <v>3.479089588359669E-3</v>
      </c>
    </row>
    <row r="1887" spans="1:25" x14ac:dyDescent="0.25">
      <c r="A1887" s="827"/>
      <c r="B1887" s="1066">
        <v>1637</v>
      </c>
      <c r="C1887" s="831">
        <v>0.9978672645556147</v>
      </c>
      <c r="D1887" s="831">
        <v>0.98780030754451265</v>
      </c>
      <c r="E1887" s="831">
        <v>1.0156969650491188</v>
      </c>
      <c r="F1887" s="831">
        <v>0.98616553334444634</v>
      </c>
      <c r="G1887" s="831">
        <v>1.0030149887451496</v>
      </c>
      <c r="H1887" s="831">
        <v>1.0331609334921503</v>
      </c>
      <c r="I1887" s="831">
        <v>1.0065132874961149</v>
      </c>
      <c r="K1887">
        <v>1.754466015854929</v>
      </c>
      <c r="L1887">
        <v>0</v>
      </c>
      <c r="M1887">
        <v>1.3955814074219756E-3</v>
      </c>
      <c r="N1887">
        <v>0.14764391115846093</v>
      </c>
      <c r="O1887">
        <v>1.7974024083129266E-2</v>
      </c>
      <c r="P1887">
        <v>2.0119308814385898E-2</v>
      </c>
      <c r="Q1887">
        <v>2.211090006636674E-3</v>
      </c>
      <c r="R1887">
        <v>1.3872711928067105E-3</v>
      </c>
      <c r="S1887">
        <v>0.15726248754874161</v>
      </c>
      <c r="T1887">
        <v>1.0699738063323221</v>
      </c>
      <c r="U1887">
        <v>2.3372374990865676E-2</v>
      </c>
      <c r="V1887">
        <v>0.20755115300054233</v>
      </c>
      <c r="W1887">
        <v>8.7315717372801013E-2</v>
      </c>
      <c r="X1887">
        <v>1.727475788866319E-2</v>
      </c>
      <c r="Y1887">
        <v>3.7756948729940629E-3</v>
      </c>
    </row>
    <row r="1888" spans="1:25" x14ac:dyDescent="0.25">
      <c r="A1888" s="827"/>
      <c r="B1888" s="1066">
        <v>1638</v>
      </c>
      <c r="C1888" s="831">
        <v>0.97197596828231048</v>
      </c>
      <c r="D1888" s="831">
        <v>0.99321877919274348</v>
      </c>
      <c r="E1888" s="831">
        <v>0.9607515125660776</v>
      </c>
      <c r="F1888" s="831">
        <v>0.96332574309710339</v>
      </c>
      <c r="G1888" s="831">
        <v>0.97159978039919537</v>
      </c>
      <c r="H1888" s="831">
        <v>1.0015949484325781</v>
      </c>
      <c r="I1888" s="831">
        <v>0.96323092442852998</v>
      </c>
      <c r="K1888">
        <v>1.743739476212766</v>
      </c>
      <c r="L1888">
        <v>0</v>
      </c>
      <c r="M1888">
        <v>1.5551764926190548E-3</v>
      </c>
      <c r="N1888">
        <v>0.13862865908726893</v>
      </c>
      <c r="O1888">
        <v>1.8407093464200427E-2</v>
      </c>
      <c r="P1888">
        <v>1.9336003303594133E-2</v>
      </c>
      <c r="Q1888">
        <v>2.1428781963430386E-3</v>
      </c>
      <c r="R1888">
        <v>1.5456198107207059E-3</v>
      </c>
      <c r="S1888">
        <v>0.15190488508173058</v>
      </c>
      <c r="T1888">
        <v>1.0748739004712458</v>
      </c>
      <c r="U1888">
        <v>2.3994963516967487E-2</v>
      </c>
      <c r="V1888">
        <v>0.20992744411365527</v>
      </c>
      <c r="W1888">
        <v>8.5151843632304089E-2</v>
      </c>
      <c r="X1888">
        <v>1.5174694416005368E-2</v>
      </c>
      <c r="Y1888">
        <v>4.2066676113480927E-3</v>
      </c>
    </row>
    <row r="1889" spans="1:25" x14ac:dyDescent="0.25">
      <c r="A1889" s="827"/>
      <c r="B1889" s="1066">
        <v>1639</v>
      </c>
      <c r="C1889" s="831">
        <v>1.0097723747444054</v>
      </c>
      <c r="D1889" s="831">
        <v>0.99802427747484046</v>
      </c>
      <c r="E1889" s="831">
        <v>1.0337873948203204</v>
      </c>
      <c r="F1889" s="831">
        <v>1.0190385208159329</v>
      </c>
      <c r="G1889" s="831">
        <v>0.99782294708854591</v>
      </c>
      <c r="H1889" s="831">
        <v>1.0057965099144914</v>
      </c>
      <c r="I1889" s="831">
        <v>1.0085762500775231</v>
      </c>
      <c r="K1889">
        <v>1.7391403942714752</v>
      </c>
      <c r="L1889">
        <v>0</v>
      </c>
      <c r="M1889">
        <v>1.2862158097175359E-3</v>
      </c>
      <c r="N1889">
        <v>0.14391270445956469</v>
      </c>
      <c r="O1889">
        <v>1.767938976814935E-2</v>
      </c>
      <c r="P1889">
        <v>2.0271221369536397E-2</v>
      </c>
      <c r="Q1889">
        <v>2.2160859820159842E-3</v>
      </c>
      <c r="R1889">
        <v>1.2783418269069937E-3</v>
      </c>
      <c r="S1889">
        <v>0.15309730361965002</v>
      </c>
      <c r="T1889">
        <v>1.0683854277137421</v>
      </c>
      <c r="U1889">
        <v>2.3096817145751909E-2</v>
      </c>
      <c r="V1889">
        <v>0.20531860158493323</v>
      </c>
      <c r="W1889">
        <v>8.4079852757035708E-2</v>
      </c>
      <c r="X1889">
        <v>1.7611638806332375E-2</v>
      </c>
      <c r="Y1889">
        <v>3.4792250475708516E-3</v>
      </c>
    </row>
    <row r="1890" spans="1:25" x14ac:dyDescent="0.25">
      <c r="A1890" s="827"/>
      <c r="B1890" s="1066">
        <v>1640</v>
      </c>
      <c r="C1890" s="831">
        <v>1.0196520262407271</v>
      </c>
      <c r="D1890" s="831">
        <v>0.97323318487071442</v>
      </c>
      <c r="E1890" s="831">
        <v>1.0178706433472229</v>
      </c>
      <c r="F1890" s="831">
        <v>1.0063715003400828</v>
      </c>
      <c r="G1890" s="831">
        <v>1.0393572670783402</v>
      </c>
      <c r="H1890" s="831">
        <v>0.98754363758847385</v>
      </c>
      <c r="I1890" s="831">
        <v>0.99540850639461886</v>
      </c>
      <c r="K1890">
        <v>1.7310594938828601</v>
      </c>
      <c r="L1890">
        <v>0</v>
      </c>
      <c r="M1890">
        <v>1.3082697837338956E-3</v>
      </c>
      <c r="N1890">
        <v>0.13930737489060444</v>
      </c>
      <c r="O1890">
        <v>1.7709062202011926E-2</v>
      </c>
      <c r="P1890">
        <v>2.0026995511834227E-2</v>
      </c>
      <c r="Q1890">
        <v>2.1805314221910615E-3</v>
      </c>
      <c r="R1890">
        <v>1.30012958750751E-3</v>
      </c>
      <c r="S1890">
        <v>0.14991338331090143</v>
      </c>
      <c r="T1890">
        <v>1.0697822971384618</v>
      </c>
      <c r="U1890">
        <v>2.2873026579753007E-2</v>
      </c>
      <c r="V1890">
        <v>0.2065889989665336</v>
      </c>
      <c r="W1890">
        <v>8.2264519807270203E-2</v>
      </c>
      <c r="X1890">
        <v>1.6882920099932672E-2</v>
      </c>
      <c r="Y1890">
        <v>3.5385241495921064E-3</v>
      </c>
    </row>
    <row r="1891" spans="1:25" x14ac:dyDescent="0.25">
      <c r="A1891" s="827"/>
      <c r="B1891" s="1066">
        <v>1641</v>
      </c>
      <c r="C1891" s="831">
        <v>0.98307887037906938</v>
      </c>
      <c r="D1891" s="831">
        <v>0.99145038581991796</v>
      </c>
      <c r="E1891" s="831">
        <v>1.0293799995587944</v>
      </c>
      <c r="F1891" s="831">
        <v>0.99466520284383686</v>
      </c>
      <c r="G1891" s="831">
        <v>1.016108227760689</v>
      </c>
      <c r="H1891" s="831">
        <v>1.0095748113553262</v>
      </c>
      <c r="I1891" s="831">
        <v>0.99159110089575986</v>
      </c>
      <c r="K1891">
        <v>1.7538663919644644</v>
      </c>
      <c r="L1891">
        <v>0</v>
      </c>
      <c r="M1891">
        <v>1.3425394229675599E-3</v>
      </c>
      <c r="N1891">
        <v>0.14817764446043322</v>
      </c>
      <c r="O1891">
        <v>1.8213913397099858E-2</v>
      </c>
      <c r="P1891">
        <v>2.0300526412484084E-2</v>
      </c>
      <c r="Q1891">
        <v>2.27193471305253E-3</v>
      </c>
      <c r="R1891">
        <v>1.334355815225076E-3</v>
      </c>
      <c r="S1891">
        <v>0.15530585625735774</v>
      </c>
      <c r="T1891">
        <v>1.0687712631169843</v>
      </c>
      <c r="U1891">
        <v>2.37239641711658E-2</v>
      </c>
      <c r="V1891">
        <v>0.20884021218562204</v>
      </c>
      <c r="W1891">
        <v>8.6827393314517859E-2</v>
      </c>
      <c r="X1891">
        <v>1.7810190884721966E-2</v>
      </c>
      <c r="Y1891">
        <v>3.6316766587663868E-3</v>
      </c>
    </row>
    <row r="1892" spans="1:25" x14ac:dyDescent="0.25">
      <c r="A1892" s="827"/>
      <c r="B1892" s="1066">
        <v>1642</v>
      </c>
      <c r="C1892" s="831">
        <v>1.0229454557734592</v>
      </c>
      <c r="D1892" s="831">
        <v>0.9923103812773757</v>
      </c>
      <c r="E1892" s="831">
        <v>0.98888506864833536</v>
      </c>
      <c r="F1892" s="831">
        <v>0.9857754227014569</v>
      </c>
      <c r="G1892" s="831">
        <v>1.0024939172069933</v>
      </c>
      <c r="H1892" s="831">
        <v>0.99430960489209541</v>
      </c>
      <c r="I1892" s="831">
        <v>1.0116598043397067</v>
      </c>
      <c r="K1892">
        <v>1.7251072436118946</v>
      </c>
      <c r="L1892">
        <v>0</v>
      </c>
      <c r="M1892">
        <v>1.3834500718787281E-3</v>
      </c>
      <c r="N1892">
        <v>0.13461725649208864</v>
      </c>
      <c r="O1892">
        <v>1.7497194688906752E-2</v>
      </c>
      <c r="P1892">
        <v>1.9621111750722484E-2</v>
      </c>
      <c r="Q1892">
        <v>2.0960549475205243E-3</v>
      </c>
      <c r="R1892">
        <v>1.374887013022756E-3</v>
      </c>
      <c r="S1892">
        <v>0.15113152146513831</v>
      </c>
      <c r="T1892">
        <v>1.0723507220511399</v>
      </c>
      <c r="U1892">
        <v>2.2799385604258614E-2</v>
      </c>
      <c r="V1892">
        <v>0.20446136886802074</v>
      </c>
      <c r="W1892">
        <v>8.1083508028784015E-2</v>
      </c>
      <c r="X1892">
        <v>1.5715693556104686E-2</v>
      </c>
      <c r="Y1892">
        <v>3.7419892180659076E-3</v>
      </c>
    </row>
    <row r="1893" spans="1:25" x14ac:dyDescent="0.25">
      <c r="A1893" s="827"/>
      <c r="B1893" s="1066">
        <v>1643</v>
      </c>
      <c r="C1893" s="831">
        <v>0.99475196994390502</v>
      </c>
      <c r="D1893" s="831">
        <v>1.0039338998958178</v>
      </c>
      <c r="E1893" s="831">
        <v>0.97766701794212518</v>
      </c>
      <c r="F1893" s="831">
        <v>0.99119156858524138</v>
      </c>
      <c r="G1893" s="831">
        <v>0.95932728302676751</v>
      </c>
      <c r="H1893" s="831">
        <v>1.0269163935928896</v>
      </c>
      <c r="I1893" s="831">
        <v>1.0097930088712883</v>
      </c>
      <c r="K1893">
        <v>1.7452844323583416</v>
      </c>
      <c r="L1893">
        <v>0</v>
      </c>
      <c r="M1893">
        <v>1.4964384634143237E-3</v>
      </c>
      <c r="N1893">
        <v>0.14063828330890962</v>
      </c>
      <c r="O1893">
        <v>1.7898419107727055E-2</v>
      </c>
      <c r="P1893">
        <v>1.9578411493358139E-2</v>
      </c>
      <c r="Q1893">
        <v>2.121881317065844E-3</v>
      </c>
      <c r="R1893">
        <v>1.4874616273419532E-3</v>
      </c>
      <c r="S1893">
        <v>0.15675187268702534</v>
      </c>
      <c r="T1893">
        <v>1.0733532600364584</v>
      </c>
      <c r="U1893">
        <v>2.344557095938031E-2</v>
      </c>
      <c r="V1893">
        <v>0.2063853780939249</v>
      </c>
      <c r="W1893">
        <v>8.5370571715375543E-2</v>
      </c>
      <c r="X1893">
        <v>1.5701380267156787E-2</v>
      </c>
      <c r="Y1893">
        <v>4.0483802080311252E-3</v>
      </c>
    </row>
    <row r="1894" spans="1:25" x14ac:dyDescent="0.25">
      <c r="A1894" s="827"/>
      <c r="B1894" s="1066">
        <v>1644</v>
      </c>
      <c r="C1894" s="831">
        <v>1.0147334625287598</v>
      </c>
      <c r="D1894" s="831">
        <v>1.0216860961475291</v>
      </c>
      <c r="E1894" s="831">
        <v>0.99189521215850407</v>
      </c>
      <c r="F1894" s="831">
        <v>0.9983880940517007</v>
      </c>
      <c r="G1894" s="831">
        <v>0.97252567761499698</v>
      </c>
      <c r="H1894" s="831">
        <v>0.97739537705321355</v>
      </c>
      <c r="I1894" s="831">
        <v>1.0036075049165685</v>
      </c>
      <c r="K1894">
        <v>1.7156914992321393</v>
      </c>
      <c r="L1894">
        <v>0</v>
      </c>
      <c r="M1894">
        <v>1.3444221349913322E-3</v>
      </c>
      <c r="N1894">
        <v>0.13203515542494598</v>
      </c>
      <c r="O1894">
        <v>1.7407423979188073E-2</v>
      </c>
      <c r="P1894">
        <v>1.9599793650928309E-2</v>
      </c>
      <c r="Q1894">
        <v>2.0966436938490828E-3</v>
      </c>
      <c r="R1894">
        <v>1.3359365677313049E-3</v>
      </c>
      <c r="S1894">
        <v>0.14813495968940771</v>
      </c>
      <c r="T1894">
        <v>1.0720825164851835</v>
      </c>
      <c r="U1894">
        <v>2.2983895534678063E-2</v>
      </c>
      <c r="V1894">
        <v>0.2026886177160544</v>
      </c>
      <c r="W1894">
        <v>7.9363505862729888E-2</v>
      </c>
      <c r="X1894">
        <v>1.5671493816440715E-2</v>
      </c>
      <c r="Y1894">
        <v>3.6359789459934175E-3</v>
      </c>
    </row>
    <row r="1895" spans="1:25" x14ac:dyDescent="0.25">
      <c r="A1895" s="827"/>
      <c r="B1895" s="1066">
        <v>1645</v>
      </c>
      <c r="C1895" s="831">
        <v>0.98530072360009824</v>
      </c>
      <c r="D1895" s="831">
        <v>1.0099502508219138</v>
      </c>
      <c r="E1895" s="831">
        <v>1.0098451528800154</v>
      </c>
      <c r="F1895" s="831">
        <v>1.0113691420792232</v>
      </c>
      <c r="G1895" s="831">
        <v>0.99497974527047062</v>
      </c>
      <c r="H1895" s="831">
        <v>0.99385429663620384</v>
      </c>
      <c r="I1895" s="831">
        <v>0.9742991430528688</v>
      </c>
      <c r="K1895">
        <v>1.737215871943294</v>
      </c>
      <c r="L1895">
        <v>0</v>
      </c>
      <c r="M1895">
        <v>1.3627564350754181E-3</v>
      </c>
      <c r="N1895">
        <v>0.14153755017788916</v>
      </c>
      <c r="O1895">
        <v>1.8021305726531198E-2</v>
      </c>
      <c r="P1895">
        <v>1.9934267870460529E-2</v>
      </c>
      <c r="Q1895">
        <v>2.2080083333600696E-3</v>
      </c>
      <c r="R1895">
        <v>1.3543054825539539E-3</v>
      </c>
      <c r="S1895">
        <v>0.14997800913527495</v>
      </c>
      <c r="T1895">
        <v>1.070490261599627</v>
      </c>
      <c r="U1895">
        <v>2.3670466629809383E-2</v>
      </c>
      <c r="V1895">
        <v>0.2068669551708309</v>
      </c>
      <c r="W1895">
        <v>8.4037299298981155E-2</v>
      </c>
      <c r="X1895">
        <v>1.6794225876222063E-2</v>
      </c>
      <c r="Y1895">
        <v>3.685973076829524E-3</v>
      </c>
    </row>
    <row r="1896" spans="1:25" x14ac:dyDescent="0.25">
      <c r="A1896" s="827"/>
      <c r="B1896" s="1066">
        <v>1646</v>
      </c>
      <c r="C1896" s="831">
        <v>0.98848937361774158</v>
      </c>
      <c r="D1896" s="831">
        <v>1.0370414746943644</v>
      </c>
      <c r="E1896" s="831">
        <v>0.96341114743021905</v>
      </c>
      <c r="F1896" s="831">
        <v>1.0012277700356267</v>
      </c>
      <c r="G1896" s="831">
        <v>0.98458091975687323</v>
      </c>
      <c r="H1896" s="831">
        <v>1.0213274344074741</v>
      </c>
      <c r="I1896" s="831">
        <v>1.0259186075417115</v>
      </c>
      <c r="K1896">
        <v>1.7389183319403412</v>
      </c>
      <c r="L1896">
        <v>0</v>
      </c>
      <c r="M1896">
        <v>1.5207180756374695E-3</v>
      </c>
      <c r="N1896">
        <v>0.13669995649073721</v>
      </c>
      <c r="O1896">
        <v>1.7749651345303298E-2</v>
      </c>
      <c r="P1896">
        <v>1.9367097040970987E-2</v>
      </c>
      <c r="Q1896">
        <v>2.0792799287261085E-3</v>
      </c>
      <c r="R1896">
        <v>1.5115216524215543E-3</v>
      </c>
      <c r="S1896">
        <v>0.15771276733155398</v>
      </c>
      <c r="T1896">
        <v>1.0746340993502872</v>
      </c>
      <c r="U1896">
        <v>2.3594110893621238E-2</v>
      </c>
      <c r="V1896">
        <v>0.20410653357815611</v>
      </c>
      <c r="W1896">
        <v>8.3810368255858511E-2</v>
      </c>
      <c r="X1896">
        <v>1.5059800483428077E-2</v>
      </c>
      <c r="Y1896">
        <v>4.1138636649126637E-3</v>
      </c>
    </row>
    <row r="1897" spans="1:25" x14ac:dyDescent="0.25">
      <c r="A1897" s="827"/>
      <c r="B1897" s="1066">
        <v>1647</v>
      </c>
      <c r="C1897" s="831">
        <v>0.98763208501230104</v>
      </c>
      <c r="D1897" s="831">
        <v>1.0277656210500385</v>
      </c>
      <c r="E1897" s="831">
        <v>1.0132932398471037</v>
      </c>
      <c r="F1897" s="831">
        <v>0.95747595915532013</v>
      </c>
      <c r="G1897" s="831">
        <v>0.95413392324765689</v>
      </c>
      <c r="H1897" s="831">
        <v>1.037193551261794</v>
      </c>
      <c r="I1897" s="831">
        <v>1.0091522693898201</v>
      </c>
      <c r="K1897">
        <v>1.750449843610747</v>
      </c>
      <c r="L1897">
        <v>0</v>
      </c>
      <c r="M1897">
        <v>1.3974658466282864E-3</v>
      </c>
      <c r="N1897">
        <v>0.14674355928533026</v>
      </c>
      <c r="O1897">
        <v>1.7837234859830853E-2</v>
      </c>
      <c r="P1897">
        <v>2.0051307892497722E-2</v>
      </c>
      <c r="Q1897">
        <v>2.1961095387189101E-3</v>
      </c>
      <c r="R1897">
        <v>1.389150045429685E-3</v>
      </c>
      <c r="S1897">
        <v>0.15699805113063794</v>
      </c>
      <c r="T1897">
        <v>1.0701857917720325</v>
      </c>
      <c r="U1897">
        <v>2.3614591154167155E-2</v>
      </c>
      <c r="V1897">
        <v>0.20501048114582127</v>
      </c>
      <c r="W1897">
        <v>8.6924670128122772E-2</v>
      </c>
      <c r="X1897">
        <v>1.711555401431623E-2</v>
      </c>
      <c r="Y1897">
        <v>3.7808084904701988E-3</v>
      </c>
    </row>
    <row r="1898" spans="1:25" x14ac:dyDescent="0.25">
      <c r="A1898" s="827"/>
      <c r="B1898" s="1066">
        <v>1648</v>
      </c>
      <c r="C1898" s="831">
        <v>1.0082952284757773</v>
      </c>
      <c r="D1898" s="831">
        <v>1.0361902526269073</v>
      </c>
      <c r="E1898" s="831">
        <v>1.0006316055132483</v>
      </c>
      <c r="F1898" s="831">
        <v>1.023333527345923</v>
      </c>
      <c r="G1898" s="831">
        <v>1.0156557896551179</v>
      </c>
      <c r="H1898" s="831">
        <v>0.99814284017890942</v>
      </c>
      <c r="I1898" s="831">
        <v>1.009394782250352</v>
      </c>
      <c r="K1898">
        <v>1.7234357456318883</v>
      </c>
      <c r="L1898">
        <v>0</v>
      </c>
      <c r="M1898">
        <v>1.3479567852354791E-3</v>
      </c>
      <c r="N1898">
        <v>0.13604779886350918</v>
      </c>
      <c r="O1898">
        <v>1.7407442836800405E-2</v>
      </c>
      <c r="P1898">
        <v>1.9744661375974741E-2</v>
      </c>
      <c r="Q1898">
        <v>2.117586245948975E-3</v>
      </c>
      <c r="R1898">
        <v>1.3396163251072218E-3</v>
      </c>
      <c r="S1898">
        <v>0.15053661172787608</v>
      </c>
      <c r="T1898">
        <v>1.0713060328094479</v>
      </c>
      <c r="U1898">
        <v>2.3130653839907075E-2</v>
      </c>
      <c r="V1898">
        <v>0.20210436636036783</v>
      </c>
      <c r="W1898">
        <v>8.1286769997897038E-2</v>
      </c>
      <c r="X1898">
        <v>1.6116168001745777E-2</v>
      </c>
      <c r="Y1898">
        <v>3.6459940325389707E-3</v>
      </c>
    </row>
    <row r="1899" spans="1:25" x14ac:dyDescent="0.25">
      <c r="A1899" s="827"/>
      <c r="B1899" s="1066">
        <v>1649</v>
      </c>
      <c r="C1899" s="831">
        <v>0.99514885939773445</v>
      </c>
      <c r="D1899" s="831">
        <v>1.0236794136499623</v>
      </c>
      <c r="E1899" s="831">
        <v>1.013163512949129</v>
      </c>
      <c r="F1899" s="831">
        <v>0.97912955095591503</v>
      </c>
      <c r="G1899" s="831">
        <v>0.98215694340923743</v>
      </c>
      <c r="H1899" s="831">
        <v>0.99349228053689043</v>
      </c>
      <c r="I1899" s="831">
        <v>1.0229877946187695</v>
      </c>
      <c r="K1899">
        <v>1.7359649084834159</v>
      </c>
      <c r="L1899">
        <v>0</v>
      </c>
      <c r="M1899">
        <v>1.3312278852465971E-3</v>
      </c>
      <c r="N1899">
        <v>0.13969525033251226</v>
      </c>
      <c r="O1899">
        <v>1.7734380414173391E-2</v>
      </c>
      <c r="P1899">
        <v>2.0013651136564576E-2</v>
      </c>
      <c r="Q1899">
        <v>2.1824602910524137E-3</v>
      </c>
      <c r="R1899">
        <v>1.3229604356075457E-3</v>
      </c>
      <c r="S1899">
        <v>0.15501842698750995</v>
      </c>
      <c r="T1899">
        <v>1.0701972386553738</v>
      </c>
      <c r="U1899">
        <v>2.343622029815521E-2</v>
      </c>
      <c r="V1899">
        <v>0.2045638481625707</v>
      </c>
      <c r="W1899">
        <v>8.2756828519848349E-2</v>
      </c>
      <c r="X1899">
        <v>1.6774208943358904E-2</v>
      </c>
      <c r="Y1899">
        <v>3.6006621919333491E-3</v>
      </c>
    </row>
    <row r="1900" spans="1:25" x14ac:dyDescent="0.25">
      <c r="A1900" s="827"/>
      <c r="B1900" s="1066">
        <v>1650</v>
      </c>
      <c r="C1900" s="831">
        <v>1.0219381852962595</v>
      </c>
      <c r="D1900" s="831">
        <v>1.0037114429896385</v>
      </c>
      <c r="E1900" s="831">
        <v>1.0148151721062191</v>
      </c>
      <c r="F1900" s="831">
        <v>1.0232168648012083</v>
      </c>
      <c r="G1900" s="831">
        <v>0.9601365500701754</v>
      </c>
      <c r="H1900" s="831">
        <v>0.99790039908153072</v>
      </c>
      <c r="I1900" s="831">
        <v>1.0202908742275938</v>
      </c>
      <c r="K1900">
        <v>1.7280643409780663</v>
      </c>
      <c r="L1900">
        <v>0</v>
      </c>
      <c r="M1900">
        <v>1.3091499203713214E-3</v>
      </c>
      <c r="N1900">
        <v>0.13809063216959355</v>
      </c>
      <c r="O1900">
        <v>1.7424022752996791E-2</v>
      </c>
      <c r="P1900">
        <v>1.9973189871997289E-2</v>
      </c>
      <c r="Q1900">
        <v>2.1443614147252901E-3</v>
      </c>
      <c r="R1900">
        <v>1.3010683849369658E-3</v>
      </c>
      <c r="S1900">
        <v>0.15210618389614852</v>
      </c>
      <c r="T1900">
        <v>1.0700515465908951</v>
      </c>
      <c r="U1900">
        <v>2.2821857754089105E-2</v>
      </c>
      <c r="V1900">
        <v>0.203536982162413</v>
      </c>
      <c r="W1900">
        <v>8.1714733307758594E-2</v>
      </c>
      <c r="X1900">
        <v>1.6667833346161037E-2</v>
      </c>
      <c r="Y1900">
        <v>3.5410792467205957E-3</v>
      </c>
    </row>
    <row r="1901" spans="1:25" x14ac:dyDescent="0.25">
      <c r="A1901" s="827"/>
      <c r="B1901" s="1066">
        <v>1651</v>
      </c>
      <c r="C1901" s="831">
        <v>1.0089072641778658</v>
      </c>
      <c r="D1901" s="831">
        <v>1.0032325175082766</v>
      </c>
      <c r="E1901" s="831">
        <v>1.0188999158893979</v>
      </c>
      <c r="F1901" s="831">
        <v>0.96817386839538588</v>
      </c>
      <c r="G1901" s="831">
        <v>0.99717065369549118</v>
      </c>
      <c r="H1901" s="831">
        <v>1.027072218932702</v>
      </c>
      <c r="I1901" s="831">
        <v>0.9992626278722716</v>
      </c>
      <c r="K1901">
        <v>1.7413781834971518</v>
      </c>
      <c r="L1901">
        <v>0</v>
      </c>
      <c r="M1901">
        <v>1.3533956315683758E-3</v>
      </c>
      <c r="N1901">
        <v>0.14460672492186089</v>
      </c>
      <c r="O1901">
        <v>1.7652883603147634E-2</v>
      </c>
      <c r="P1901">
        <v>2.006402365033649E-2</v>
      </c>
      <c r="Q1901">
        <v>2.1812974958018328E-3</v>
      </c>
      <c r="R1901">
        <v>1.3452785739801771E-3</v>
      </c>
      <c r="S1901">
        <v>0.15299635497148006</v>
      </c>
      <c r="T1901">
        <v>1.0696916767923292</v>
      </c>
      <c r="U1901">
        <v>2.3116622038902811E-2</v>
      </c>
      <c r="V1901">
        <v>0.20493456432627336</v>
      </c>
      <c r="W1901">
        <v>8.5334565105585167E-2</v>
      </c>
      <c r="X1901">
        <v>1.7146182841608952E-2</v>
      </c>
      <c r="Y1901">
        <v>3.6614048074113158E-3</v>
      </c>
    </row>
    <row r="1902" spans="1:25" x14ac:dyDescent="0.25">
      <c r="A1902" s="827"/>
      <c r="B1902" s="1066">
        <v>1652</v>
      </c>
      <c r="C1902" s="831">
        <v>1.0318176302292588</v>
      </c>
      <c r="D1902" s="831">
        <v>0.97624339922536718</v>
      </c>
      <c r="E1902" s="831">
        <v>1.0311401151218758</v>
      </c>
      <c r="F1902" s="831">
        <v>0.99286147470166874</v>
      </c>
      <c r="G1902" s="831">
        <v>0.98483903289721297</v>
      </c>
      <c r="H1902" s="831">
        <v>0.98920743069598804</v>
      </c>
      <c r="I1902" s="831">
        <v>0.99832309105275308</v>
      </c>
      <c r="K1902">
        <v>1.726414582433351</v>
      </c>
      <c r="L1902">
        <v>0</v>
      </c>
      <c r="M1902">
        <v>1.2574400685377036E-3</v>
      </c>
      <c r="N1902">
        <v>0.13952896799607609</v>
      </c>
      <c r="O1902">
        <v>1.7475726831007236E-2</v>
      </c>
      <c r="P1902">
        <v>2.0160608657423022E-2</v>
      </c>
      <c r="Q1902">
        <v>2.1808632135957269E-3</v>
      </c>
      <c r="R1902">
        <v>1.2496273074610984E-3</v>
      </c>
      <c r="S1902">
        <v>0.14850559109696784</v>
      </c>
      <c r="T1902">
        <v>1.0686170893909543</v>
      </c>
      <c r="U1902">
        <v>2.2603343086046269E-2</v>
      </c>
      <c r="V1902">
        <v>0.20503490246671352</v>
      </c>
      <c r="W1902">
        <v>8.1663183957271304E-2</v>
      </c>
      <c r="X1902">
        <v>1.7251044906994511E-2</v>
      </c>
      <c r="Y1902">
        <v>3.4010735913779172E-3</v>
      </c>
    </row>
    <row r="1903" spans="1:25" x14ac:dyDescent="0.25">
      <c r="A1903" s="827"/>
      <c r="B1903" s="1066">
        <v>1653</v>
      </c>
      <c r="C1903" s="831">
        <v>1.0003398622194406</v>
      </c>
      <c r="D1903" s="831">
        <v>0.97470938118172146</v>
      </c>
      <c r="E1903" s="831">
        <v>0.99185563707579072</v>
      </c>
      <c r="F1903" s="831">
        <v>0.99975794179528554</v>
      </c>
      <c r="G1903" s="831">
        <v>0.98428318932571235</v>
      </c>
      <c r="H1903" s="831">
        <v>1.0012697050110835</v>
      </c>
      <c r="I1903" s="831">
        <v>1.0322577138651343</v>
      </c>
      <c r="K1903">
        <v>1.7478560015301403</v>
      </c>
      <c r="L1903">
        <v>0</v>
      </c>
      <c r="M1903">
        <v>1.4272782499240397E-3</v>
      </c>
      <c r="N1903">
        <v>0.14017970986261821</v>
      </c>
      <c r="O1903">
        <v>1.803851928285374E-2</v>
      </c>
      <c r="P1903">
        <v>1.9835685901546888E-2</v>
      </c>
      <c r="Q1903">
        <v>2.1641933587366268E-3</v>
      </c>
      <c r="R1903">
        <v>1.4185182155244998E-3</v>
      </c>
      <c r="S1903">
        <v>0.15939308554766662</v>
      </c>
      <c r="T1903">
        <v>1.0720860404341823</v>
      </c>
      <c r="U1903">
        <v>2.3314604145192989E-2</v>
      </c>
      <c r="V1903">
        <v>0.20852896923261482</v>
      </c>
      <c r="W1903">
        <v>8.4261317877721592E-2</v>
      </c>
      <c r="X1903">
        <v>1.6201896953153175E-2</v>
      </c>
      <c r="Y1903">
        <v>3.860738968253616E-3</v>
      </c>
    </row>
    <row r="1904" spans="1:25" x14ac:dyDescent="0.25">
      <c r="A1904" s="827"/>
      <c r="B1904" s="1066">
        <v>1654</v>
      </c>
      <c r="C1904" s="831">
        <v>1.0140224605158847</v>
      </c>
      <c r="D1904" s="831">
        <v>1.0167956050970757</v>
      </c>
      <c r="E1904" s="831">
        <v>0.97567066889084486</v>
      </c>
      <c r="F1904" s="831">
        <v>1.0064340240262397</v>
      </c>
      <c r="G1904" s="831">
        <v>0.99695368528141037</v>
      </c>
      <c r="H1904" s="831">
        <v>1.0250378135857416</v>
      </c>
      <c r="I1904" s="831">
        <v>1.0231698791541775</v>
      </c>
      <c r="K1904">
        <v>1.7326047618119322</v>
      </c>
      <c r="L1904">
        <v>0</v>
      </c>
      <c r="M1904">
        <v>1.4630245919581768E-3</v>
      </c>
      <c r="N1904">
        <v>0.13664281286921742</v>
      </c>
      <c r="O1904">
        <v>1.7457445776856595E-2</v>
      </c>
      <c r="P1904">
        <v>1.9476836459266702E-2</v>
      </c>
      <c r="Q1904">
        <v>2.0675450279805979E-3</v>
      </c>
      <c r="R1904">
        <v>1.454223041242521E-3</v>
      </c>
      <c r="S1904">
        <v>0.15485375544508106</v>
      </c>
      <c r="T1904">
        <v>1.0735321660277979</v>
      </c>
      <c r="U1904">
        <v>2.3000011150086173E-2</v>
      </c>
      <c r="V1904">
        <v>0.20319168944757116</v>
      </c>
      <c r="W1904">
        <v>8.3060480953471003E-2</v>
      </c>
      <c r="X1904">
        <v>1.53729044715542E-2</v>
      </c>
      <c r="Y1904">
        <v>3.9579157337654332E-3</v>
      </c>
    </row>
    <row r="1905" spans="1:25" x14ac:dyDescent="0.25">
      <c r="A1905" s="827"/>
      <c r="B1905" s="1066">
        <v>1655</v>
      </c>
      <c r="C1905" s="831">
        <v>1.0332420571849361</v>
      </c>
      <c r="D1905" s="831">
        <v>0.99839165954681997</v>
      </c>
      <c r="E1905" s="831">
        <v>1.0209407473070304</v>
      </c>
      <c r="F1905" s="831">
        <v>0.9746592240087647</v>
      </c>
      <c r="G1905" s="831">
        <v>0.96827187068737675</v>
      </c>
      <c r="H1905" s="831">
        <v>1.0128068005489954</v>
      </c>
      <c r="I1905" s="831">
        <v>0.97772824265285085</v>
      </c>
      <c r="K1905">
        <v>1.7223997316435005</v>
      </c>
      <c r="L1905">
        <v>0</v>
      </c>
      <c r="M1905">
        <v>1.3004023042517052E-3</v>
      </c>
      <c r="N1905">
        <v>0.1398166748452371</v>
      </c>
      <c r="O1905">
        <v>1.7274928709512603E-2</v>
      </c>
      <c r="P1905">
        <v>1.9951375016754168E-2</v>
      </c>
      <c r="Q1905">
        <v>2.1380829747514123E-3</v>
      </c>
      <c r="R1905">
        <v>1.2924963390426362E-3</v>
      </c>
      <c r="S1905">
        <v>0.14549791903888953</v>
      </c>
      <c r="T1905">
        <v>1.0695121143277817</v>
      </c>
      <c r="U1905">
        <v>2.2572182129176277E-2</v>
      </c>
      <c r="V1905">
        <v>0.20286197013937665</v>
      </c>
      <c r="W1905">
        <v>8.2394335378053088E-2</v>
      </c>
      <c r="X1905">
        <v>1.6870306085607092E-2</v>
      </c>
      <c r="Y1905">
        <v>3.5177489635703982E-3</v>
      </c>
    </row>
    <row r="1906" spans="1:25" x14ac:dyDescent="0.25">
      <c r="A1906" s="827"/>
      <c r="B1906" s="1066">
        <v>1656</v>
      </c>
      <c r="C1906" s="831">
        <v>0.99086082992012936</v>
      </c>
      <c r="D1906" s="831">
        <v>0.98821254246890045</v>
      </c>
      <c r="E1906" s="831">
        <v>0.99004299347653502</v>
      </c>
      <c r="F1906" s="831">
        <v>1.0234519621403102</v>
      </c>
      <c r="G1906" s="831">
        <v>1.0361851126962307</v>
      </c>
      <c r="H1906" s="831">
        <v>1.0021621069522666</v>
      </c>
      <c r="I1906" s="831">
        <v>1.0011236758100865</v>
      </c>
      <c r="K1906">
        <v>1.7444284041030969</v>
      </c>
      <c r="L1906">
        <v>0</v>
      </c>
      <c r="M1906">
        <v>1.4387205352887342E-3</v>
      </c>
      <c r="N1906">
        <v>0.1405081543499033</v>
      </c>
      <c r="O1906">
        <v>1.8097693888122979E-2</v>
      </c>
      <c r="P1906">
        <v>1.9754190647927827E-2</v>
      </c>
      <c r="Q1906">
        <v>2.1697906635120556E-3</v>
      </c>
      <c r="R1906">
        <v>1.4298881427309675E-3</v>
      </c>
      <c r="S1906">
        <v>0.15523862761098459</v>
      </c>
      <c r="T1906">
        <v>1.0722475098738344</v>
      </c>
      <c r="U1906">
        <v>2.3537642415618662E-2</v>
      </c>
      <c r="V1906">
        <v>0.20827876979492019</v>
      </c>
      <c r="W1906">
        <v>8.4564227880087897E-2</v>
      </c>
      <c r="X1906">
        <v>1.6148945208728897E-2</v>
      </c>
      <c r="Y1906">
        <v>3.891684162014122E-3</v>
      </c>
    </row>
    <row r="1907" spans="1:25" x14ac:dyDescent="0.25">
      <c r="A1907" s="827"/>
      <c r="B1907" s="1066">
        <v>1657</v>
      </c>
      <c r="C1907" s="831">
        <v>1.0161663554809075</v>
      </c>
      <c r="D1907" s="831">
        <v>0.9747450040391028</v>
      </c>
      <c r="E1907" s="831">
        <v>1.0011917533151844</v>
      </c>
      <c r="F1907" s="831">
        <v>1.0100007123163184</v>
      </c>
      <c r="G1907" s="831">
        <v>0.98853755322313153</v>
      </c>
      <c r="H1907" s="831">
        <v>0.98391904282750575</v>
      </c>
      <c r="I1907" s="831">
        <v>1.0158792085754138</v>
      </c>
      <c r="K1907">
        <v>1.7324794773036345</v>
      </c>
      <c r="L1907">
        <v>0</v>
      </c>
      <c r="M1907">
        <v>1.3538119599853995E-3</v>
      </c>
      <c r="N1907">
        <v>0.13686902853064434</v>
      </c>
      <c r="O1907">
        <v>1.7757279777547468E-2</v>
      </c>
      <c r="P1907">
        <v>1.9849934458010032E-2</v>
      </c>
      <c r="Q1907">
        <v>2.1505840190130859E-3</v>
      </c>
      <c r="R1907">
        <v>1.3453562801372903E-3</v>
      </c>
      <c r="S1907">
        <v>0.1531588711118953</v>
      </c>
      <c r="T1907">
        <v>1.0712563455505175</v>
      </c>
      <c r="U1907">
        <v>2.2951486016544655E-2</v>
      </c>
      <c r="V1907">
        <v>0.20681369158473861</v>
      </c>
      <c r="W1907">
        <v>8.1746126525016033E-2</v>
      </c>
      <c r="X1907">
        <v>1.6272969111599991E-2</v>
      </c>
      <c r="Y1907">
        <v>3.6616162979551496E-3</v>
      </c>
    </row>
    <row r="1908" spans="1:25" x14ac:dyDescent="0.25">
      <c r="A1908" s="827"/>
      <c r="B1908" s="1066">
        <v>1658</v>
      </c>
      <c r="C1908" s="831">
        <v>0.99467642722938732</v>
      </c>
      <c r="D1908" s="831">
        <v>1.0021119156179259</v>
      </c>
      <c r="E1908" s="831">
        <v>1.0142870279060552</v>
      </c>
      <c r="F1908" s="831">
        <v>1.0068052031499188</v>
      </c>
      <c r="G1908" s="831">
        <v>0.99100135410074897</v>
      </c>
      <c r="H1908" s="831">
        <v>0.98853090227857388</v>
      </c>
      <c r="I1908" s="831">
        <v>0.99293141166938392</v>
      </c>
      <c r="K1908">
        <v>1.7359989292920666</v>
      </c>
      <c r="L1908">
        <v>0</v>
      </c>
      <c r="M1908">
        <v>1.3348505454589723E-3</v>
      </c>
      <c r="N1908">
        <v>0.14056248743186409</v>
      </c>
      <c r="O1908">
        <v>1.7914507336582355E-2</v>
      </c>
      <c r="P1908">
        <v>2.0008261939885516E-2</v>
      </c>
      <c r="Q1908">
        <v>2.2032765940672326E-3</v>
      </c>
      <c r="R1908">
        <v>1.3265333339487363E-3</v>
      </c>
      <c r="S1908">
        <v>0.15151439216233603</v>
      </c>
      <c r="T1908">
        <v>1.0700981227102329</v>
      </c>
      <c r="U1908">
        <v>2.3447351580721289E-2</v>
      </c>
      <c r="V1908">
        <v>0.20656276491639147</v>
      </c>
      <c r="W1908">
        <v>8.3207207096713059E-2</v>
      </c>
      <c r="X1908">
        <v>1.6878488291369842E-2</v>
      </c>
      <c r="Y1908">
        <v>3.6103864434124493E-3</v>
      </c>
    </row>
    <row r="1909" spans="1:25" x14ac:dyDescent="0.25">
      <c r="A1909" s="827"/>
      <c r="B1909" s="1066">
        <v>1659</v>
      </c>
      <c r="C1909" s="831">
        <v>1.0339038376895899</v>
      </c>
      <c r="D1909" s="831">
        <v>0.99704552409902092</v>
      </c>
      <c r="E1909" s="831">
        <v>1.0222446021349507</v>
      </c>
      <c r="F1909" s="831">
        <v>1.0293435320095625</v>
      </c>
      <c r="G1909" s="831">
        <v>1.0008987720230247</v>
      </c>
      <c r="H1909" s="831">
        <v>0.98805824539956433</v>
      </c>
      <c r="I1909" s="831">
        <v>1.0383058229525666</v>
      </c>
      <c r="K1909">
        <v>1.7242356640092225</v>
      </c>
      <c r="L1909">
        <v>0</v>
      </c>
      <c r="M1909">
        <v>1.2650985615847374E-3</v>
      </c>
      <c r="N1909">
        <v>0.13655205223389744</v>
      </c>
      <c r="O1909">
        <v>1.7274428203433671E-2</v>
      </c>
      <c r="P1909">
        <v>2.0069484837785458E-2</v>
      </c>
      <c r="Q1909">
        <v>2.1405546961018231E-3</v>
      </c>
      <c r="R1909">
        <v>1.2572154477489056E-3</v>
      </c>
      <c r="S1909">
        <v>0.15271371677578607</v>
      </c>
      <c r="T1909">
        <v>1.0693974773277057</v>
      </c>
      <c r="U1909">
        <v>2.2557734141330586E-2</v>
      </c>
      <c r="V1909">
        <v>0.20291501106685322</v>
      </c>
      <c r="W1909">
        <v>8.0399794998439827E-2</v>
      </c>
      <c r="X1909">
        <v>1.6801566833911707E-2</v>
      </c>
      <c r="Y1909">
        <v>3.4217260078115547E-3</v>
      </c>
    </row>
    <row r="1910" spans="1:25" x14ac:dyDescent="0.25">
      <c r="A1910" s="827"/>
      <c r="B1910" s="1066">
        <v>1660</v>
      </c>
      <c r="C1910" s="831">
        <v>0.99260683274278783</v>
      </c>
      <c r="D1910" s="831">
        <v>1.0138962667277509</v>
      </c>
      <c r="E1910" s="831">
        <v>0.97940581507616908</v>
      </c>
      <c r="F1910" s="831">
        <v>1.0287966085367717</v>
      </c>
      <c r="G1910" s="831">
        <v>1.012957557012435</v>
      </c>
      <c r="H1910" s="831">
        <v>1.0026180036040615</v>
      </c>
      <c r="I1910" s="831">
        <v>0.98069427947055876</v>
      </c>
      <c r="K1910">
        <v>1.7320375987690171</v>
      </c>
      <c r="L1910">
        <v>0</v>
      </c>
      <c r="M1910">
        <v>1.4523576218070623E-3</v>
      </c>
      <c r="N1910">
        <v>0.13721629377664835</v>
      </c>
      <c r="O1910">
        <v>1.7857133659203626E-2</v>
      </c>
      <c r="P1910">
        <v>1.9506168971525514E-2</v>
      </c>
      <c r="Q1910">
        <v>2.1224438110589313E-3</v>
      </c>
      <c r="R1910">
        <v>1.4434269257187556E-3</v>
      </c>
      <c r="S1910">
        <v>0.15022697760454207</v>
      </c>
      <c r="T1910">
        <v>1.0731975569098111</v>
      </c>
      <c r="U1910">
        <v>2.349623952704211E-2</v>
      </c>
      <c r="V1910">
        <v>0.20571031347115168</v>
      </c>
      <c r="W1910">
        <v>8.3192808903179136E-2</v>
      </c>
      <c r="X1910">
        <v>1.5592060564694293E-2</v>
      </c>
      <c r="Y1910">
        <v>3.9285322662482693E-3</v>
      </c>
    </row>
    <row r="1911" spans="1:25" x14ac:dyDescent="0.25">
      <c r="A1911" s="827"/>
      <c r="B1911" s="1066">
        <v>1661</v>
      </c>
      <c r="C1911" s="831">
        <v>0.98345167778415643</v>
      </c>
      <c r="D1911" s="831">
        <v>1.0185064973363105</v>
      </c>
      <c r="E1911" s="831">
        <v>1.013317138302553</v>
      </c>
      <c r="F1911" s="831">
        <v>1.0078848960692981</v>
      </c>
      <c r="G1911" s="831">
        <v>1.0309740092696762</v>
      </c>
      <c r="H1911" s="831">
        <v>0.99949200794081638</v>
      </c>
      <c r="I1911" s="831">
        <v>0.99437497213725279</v>
      </c>
      <c r="K1911">
        <v>1.7412686924252267</v>
      </c>
      <c r="L1911">
        <v>0</v>
      </c>
      <c r="M1911">
        <v>1.3578585318787491E-3</v>
      </c>
      <c r="N1911">
        <v>0.14256355524767642</v>
      </c>
      <c r="O1911">
        <v>1.7986439495949365E-2</v>
      </c>
      <c r="P1911">
        <v>2.0018703781165267E-2</v>
      </c>
      <c r="Q1911">
        <v>2.2129099712698765E-3</v>
      </c>
      <c r="R1911">
        <v>1.3494797364436472E-3</v>
      </c>
      <c r="S1911">
        <v>0.15322684418890334</v>
      </c>
      <c r="T1911">
        <v>1.0701836830819718</v>
      </c>
      <c r="U1911">
        <v>2.3714970877727132E-2</v>
      </c>
      <c r="V1911">
        <v>0.20629227708205874</v>
      </c>
      <c r="W1911">
        <v>8.4447244582078196E-2</v>
      </c>
      <c r="X1911">
        <v>1.6957603925138259E-2</v>
      </c>
      <c r="Y1911">
        <v>3.6728389867240465E-3</v>
      </c>
    </row>
    <row r="1912" spans="1:25" x14ac:dyDescent="0.25">
      <c r="A1912" s="827"/>
      <c r="B1912" s="1066">
        <v>1662</v>
      </c>
      <c r="C1912" s="831">
        <v>0.97765185917224762</v>
      </c>
      <c r="D1912" s="831">
        <v>1.045078682917332</v>
      </c>
      <c r="E1912" s="831">
        <v>0.99770151390129713</v>
      </c>
      <c r="F1912" s="831">
        <v>1.0138134042743074</v>
      </c>
      <c r="G1912" s="831">
        <v>0.98418146548534269</v>
      </c>
      <c r="H1912" s="831">
        <v>1.0024502409702596</v>
      </c>
      <c r="I1912" s="831">
        <v>0.97617117577116685</v>
      </c>
      <c r="K1912">
        <v>1.7335474471187757</v>
      </c>
      <c r="L1912">
        <v>0</v>
      </c>
      <c r="M1912">
        <v>1.399453501705219E-3</v>
      </c>
      <c r="N1912">
        <v>0.13996666138316713</v>
      </c>
      <c r="O1912">
        <v>1.7884055699129587E-2</v>
      </c>
      <c r="P1912">
        <v>1.9740192906628391E-2</v>
      </c>
      <c r="Q1912">
        <v>2.1706516587643469E-3</v>
      </c>
      <c r="R1912">
        <v>1.3908257380207732E-3</v>
      </c>
      <c r="S1912">
        <v>0.14991858802961361</v>
      </c>
      <c r="T1912">
        <v>1.071566136166956</v>
      </c>
      <c r="U1912">
        <v>2.3855657491460968E-2</v>
      </c>
      <c r="V1912">
        <v>0.20457745710954828</v>
      </c>
      <c r="W1912">
        <v>8.3796170142589874E-2</v>
      </c>
      <c r="X1912">
        <v>1.6295135121290768E-2</v>
      </c>
      <c r="Y1912">
        <v>3.7853691733112267E-3</v>
      </c>
    </row>
    <row r="1913" spans="1:25" x14ac:dyDescent="0.25">
      <c r="A1913" s="827"/>
      <c r="B1913" s="1066">
        <v>1663</v>
      </c>
      <c r="C1913" s="831">
        <v>0.97680288778995727</v>
      </c>
      <c r="D1913" s="831">
        <v>0.9924639088138969</v>
      </c>
      <c r="E1913" s="831">
        <v>0.98212197667119561</v>
      </c>
      <c r="F1913" s="831">
        <v>1.0254040798726651</v>
      </c>
      <c r="G1913" s="831">
        <v>1.0268329700474668</v>
      </c>
      <c r="H1913" s="831">
        <v>0.98825895495733984</v>
      </c>
      <c r="I1913" s="831">
        <v>1.030498607556384</v>
      </c>
      <c r="K1913">
        <v>1.7504840583148298</v>
      </c>
      <c r="L1913">
        <v>0</v>
      </c>
      <c r="M1913">
        <v>1.4604920845957209E-3</v>
      </c>
      <c r="N1913">
        <v>0.13914645966927919</v>
      </c>
      <c r="O1913">
        <v>1.832244833004204E-2</v>
      </c>
      <c r="P1913">
        <v>1.9740359568968441E-2</v>
      </c>
      <c r="Q1913">
        <v>2.1799526303373693E-3</v>
      </c>
      <c r="R1913">
        <v>1.4513967010305346E-3</v>
      </c>
      <c r="S1913">
        <v>0.16074782696939666</v>
      </c>
      <c r="T1913">
        <v>1.0729545615695897</v>
      </c>
      <c r="U1913">
        <v>2.3876391224713713E-2</v>
      </c>
      <c r="V1913">
        <v>0.20945258010189652</v>
      </c>
      <c r="W1913">
        <v>8.4204282597785701E-2</v>
      </c>
      <c r="X1913">
        <v>1.5918067668974932E-2</v>
      </c>
      <c r="Y1913">
        <v>3.9502233674112083E-3</v>
      </c>
    </row>
    <row r="1914" spans="1:25" x14ac:dyDescent="0.25">
      <c r="A1914" s="827"/>
      <c r="B1914" s="1066">
        <v>1664</v>
      </c>
      <c r="C1914" s="831">
        <v>0.96412046624752945</v>
      </c>
      <c r="D1914" s="831">
        <v>1.0186305964656566</v>
      </c>
      <c r="E1914" s="831">
        <v>0.98830270829593636</v>
      </c>
      <c r="F1914" s="831">
        <v>1.0033175142253103</v>
      </c>
      <c r="G1914" s="831">
        <v>0.9923010099790236</v>
      </c>
      <c r="H1914" s="831">
        <v>0.97777790672989195</v>
      </c>
      <c r="I1914" s="831">
        <v>1.0098207248769051</v>
      </c>
      <c r="K1914">
        <v>1.7446732365644613</v>
      </c>
      <c r="L1914">
        <v>0</v>
      </c>
      <c r="M1914">
        <v>1.4282165522328512E-3</v>
      </c>
      <c r="N1914">
        <v>0.13870502698156692</v>
      </c>
      <c r="O1914">
        <v>1.8346068410585947E-2</v>
      </c>
      <c r="P1914">
        <v>1.9766569197092899E-2</v>
      </c>
      <c r="Q1914">
        <v>2.2011554683141511E-3</v>
      </c>
      <c r="R1914">
        <v>1.4192078029922181E-3</v>
      </c>
      <c r="S1914">
        <v>0.15709983207744543</v>
      </c>
      <c r="T1914">
        <v>1.0724026500977326</v>
      </c>
      <c r="U1914">
        <v>2.4190470708579846E-2</v>
      </c>
      <c r="V1914">
        <v>0.20843843821359348</v>
      </c>
      <c r="W1914">
        <v>8.3579243731175298E-2</v>
      </c>
      <c r="X1914">
        <v>1.6090174629594878E-2</v>
      </c>
      <c r="Y1914">
        <v>3.8626157980182971E-3</v>
      </c>
    </row>
    <row r="1915" spans="1:25" x14ac:dyDescent="0.25">
      <c r="A1915" s="827"/>
      <c r="B1915" s="1066">
        <v>1665</v>
      </c>
      <c r="C1915" s="831">
        <v>1.037479565468105</v>
      </c>
      <c r="D1915" s="831">
        <v>1.009782098521222</v>
      </c>
      <c r="E1915" s="831">
        <v>1.0368054366391037</v>
      </c>
      <c r="F1915" s="831">
        <v>0.99950096986222303</v>
      </c>
      <c r="G1915" s="831">
        <v>0.97912067222842347</v>
      </c>
      <c r="H1915" s="831">
        <v>1.0138179720557805</v>
      </c>
      <c r="I1915" s="831">
        <v>0.97954681490246664</v>
      </c>
      <c r="K1915">
        <v>1.7197367883640535</v>
      </c>
      <c r="L1915">
        <v>0</v>
      </c>
      <c r="M1915">
        <v>1.2471888041022082E-3</v>
      </c>
      <c r="N1915">
        <v>0.14086506171627858</v>
      </c>
      <c r="O1915">
        <v>1.7116234293108438E-2</v>
      </c>
      <c r="P1915">
        <v>2.0128968463844921E-2</v>
      </c>
      <c r="Q1915">
        <v>2.1539509030663231E-3</v>
      </c>
      <c r="R1915">
        <v>1.2396069312475024E-3</v>
      </c>
      <c r="S1915">
        <v>0.14455925136059058</v>
      </c>
      <c r="T1915">
        <v>1.0681216454177951</v>
      </c>
      <c r="U1915">
        <v>2.2479987726582558E-2</v>
      </c>
      <c r="V1915">
        <v>0.20143189547826057</v>
      </c>
      <c r="W1915">
        <v>8.2133622326225258E-2</v>
      </c>
      <c r="X1915">
        <v>1.7379951120613663E-2</v>
      </c>
      <c r="Y1915">
        <v>3.3738014305406388E-3</v>
      </c>
    </row>
    <row r="1916" spans="1:25" x14ac:dyDescent="0.25">
      <c r="A1916" s="827"/>
      <c r="B1916" s="1066">
        <v>1666</v>
      </c>
      <c r="C1916" s="831">
        <v>1.0177309847004286</v>
      </c>
      <c r="D1916" s="831">
        <v>0.99219905073689529</v>
      </c>
      <c r="E1916" s="831">
        <v>1.0180535197792604</v>
      </c>
      <c r="F1916" s="831">
        <v>0.97440004321914886</v>
      </c>
      <c r="G1916" s="831">
        <v>1.0236230557353656</v>
      </c>
      <c r="H1916" s="831">
        <v>1.0149831438222312</v>
      </c>
      <c r="I1916" s="831">
        <v>1.0100904839850613</v>
      </c>
      <c r="K1916">
        <v>1.7375051301087425</v>
      </c>
      <c r="L1916">
        <v>0</v>
      </c>
      <c r="M1916">
        <v>1.3349064342508142E-3</v>
      </c>
      <c r="N1916">
        <v>0.14224718807472178</v>
      </c>
      <c r="O1916">
        <v>1.7587738387982988E-2</v>
      </c>
      <c r="P1916">
        <v>2.0053148083913643E-2</v>
      </c>
      <c r="Q1916">
        <v>2.1694483861259104E-3</v>
      </c>
      <c r="R1916">
        <v>1.3268122127687802E-3</v>
      </c>
      <c r="S1916">
        <v>0.1531554670253166</v>
      </c>
      <c r="T1916">
        <v>1.0697661931993527</v>
      </c>
      <c r="U1916">
        <v>2.2916201087430008E-2</v>
      </c>
      <c r="V1916">
        <v>0.20501617457654975</v>
      </c>
      <c r="W1916">
        <v>8.3990173873097707E-2</v>
      </c>
      <c r="X1916">
        <v>1.7000346176104998E-2</v>
      </c>
      <c r="Y1916">
        <v>3.6111454596282296E-3</v>
      </c>
    </row>
    <row r="1917" spans="1:25" x14ac:dyDescent="0.25">
      <c r="A1917" s="827"/>
      <c r="B1917" s="1066">
        <v>1667</v>
      </c>
      <c r="C1917" s="831">
        <v>1.0159733131094839</v>
      </c>
      <c r="D1917" s="831">
        <v>1.0228539970177881</v>
      </c>
      <c r="E1917" s="831">
        <v>1.0114139169088607</v>
      </c>
      <c r="F1917" s="831">
        <v>1.0115455672535716</v>
      </c>
      <c r="G1917" s="831">
        <v>0.9889686042519884</v>
      </c>
      <c r="H1917" s="831">
        <v>1.0180486928417047</v>
      </c>
      <c r="I1917" s="831">
        <v>0.9736203064560438</v>
      </c>
      <c r="K1917">
        <v>1.7246711386459475</v>
      </c>
      <c r="L1917">
        <v>0</v>
      </c>
      <c r="M1917">
        <v>1.3416013283700681E-3</v>
      </c>
      <c r="N1917">
        <v>0.14004143378863965</v>
      </c>
      <c r="O1917">
        <v>1.737720902995353E-2</v>
      </c>
      <c r="P1917">
        <v>1.983347738056452E-2</v>
      </c>
      <c r="Q1917">
        <v>2.1346337980831607E-3</v>
      </c>
      <c r="R1917">
        <v>1.3334709569607416E-3</v>
      </c>
      <c r="S1917">
        <v>0.14623387919089417</v>
      </c>
      <c r="T1917">
        <v>1.0703516822691996</v>
      </c>
      <c r="U1917">
        <v>2.2955846967005818E-2</v>
      </c>
      <c r="V1917">
        <v>0.20246077675593477</v>
      </c>
      <c r="W1917">
        <v>8.3060439786903431E-2</v>
      </c>
      <c r="X1917">
        <v>1.6600621683911292E-2</v>
      </c>
      <c r="Y1917">
        <v>3.6292683662643155E-3</v>
      </c>
    </row>
    <row r="1918" spans="1:25" x14ac:dyDescent="0.25">
      <c r="A1918" s="827"/>
      <c r="B1918" s="1066">
        <v>1668</v>
      </c>
      <c r="C1918" s="831">
        <v>1.0330234980092718</v>
      </c>
      <c r="D1918" s="831">
        <v>0.98038105175651169</v>
      </c>
      <c r="E1918" s="831">
        <v>1.0056627305913584</v>
      </c>
      <c r="F1918" s="831">
        <v>0.96809162852774866</v>
      </c>
      <c r="G1918" s="831">
        <v>0.98278372981835316</v>
      </c>
      <c r="H1918" s="831">
        <v>0.98545135129422878</v>
      </c>
      <c r="I1918" s="831">
        <v>1.0028652318309892</v>
      </c>
      <c r="K1918">
        <v>1.7211251871616524</v>
      </c>
      <c r="L1918">
        <v>0</v>
      </c>
      <c r="M1918">
        <v>1.3178365285363466E-3</v>
      </c>
      <c r="N1918">
        <v>0.13509855501069998</v>
      </c>
      <c r="O1918">
        <v>1.7421832213530632E-2</v>
      </c>
      <c r="P1918">
        <v>1.9809994138569806E-2</v>
      </c>
      <c r="Q1918">
        <v>2.1204577436364797E-3</v>
      </c>
      <c r="R1918">
        <v>1.3096144359413513E-3</v>
      </c>
      <c r="S1918">
        <v>0.14848102705589042</v>
      </c>
      <c r="T1918">
        <v>1.0708601774311426</v>
      </c>
      <c r="U1918">
        <v>2.2576957778063886E-2</v>
      </c>
      <c r="V1918">
        <v>0.20452192069914019</v>
      </c>
      <c r="W1918">
        <v>8.0442817046589662E-2</v>
      </c>
      <c r="X1918">
        <v>1.6235331356631147E-2</v>
      </c>
      <c r="Y1918">
        <v>3.5643387803495764E-3</v>
      </c>
    </row>
    <row r="1919" spans="1:25" x14ac:dyDescent="0.25">
      <c r="A1919" s="827"/>
      <c r="B1919" s="1066">
        <v>1669</v>
      </c>
      <c r="C1919" s="831">
        <v>1.0318668110517655</v>
      </c>
      <c r="D1919" s="831">
        <v>0.99792716424136341</v>
      </c>
      <c r="E1919" s="831">
        <v>1.0048782630553146</v>
      </c>
      <c r="F1919" s="831">
        <v>1.012859904473528</v>
      </c>
      <c r="G1919" s="831">
        <v>1.0036010128985615</v>
      </c>
      <c r="H1919" s="831">
        <v>0.98694148561242157</v>
      </c>
      <c r="I1919" s="831">
        <v>1.0144033675607114</v>
      </c>
      <c r="K1919">
        <v>1.7190773557537273</v>
      </c>
      <c r="L1919">
        <v>0</v>
      </c>
      <c r="M1919">
        <v>1.3129015171804833E-3</v>
      </c>
      <c r="N1919">
        <v>0.13426473489158416</v>
      </c>
      <c r="O1919">
        <v>1.7301599677026717E-2</v>
      </c>
      <c r="P1919">
        <v>1.9791492629643567E-2</v>
      </c>
      <c r="Q1919">
        <v>2.1072486795296712E-3</v>
      </c>
      <c r="R1919">
        <v>1.304710684733548E-3</v>
      </c>
      <c r="S1919">
        <v>0.149358965819753</v>
      </c>
      <c r="T1919">
        <v>1.0709296335721423</v>
      </c>
      <c r="U1919">
        <v>2.2602265765802557E-2</v>
      </c>
      <c r="V1919">
        <v>0.20304102832357568</v>
      </c>
      <c r="W1919">
        <v>7.9989095133007088E-2</v>
      </c>
      <c r="X1919">
        <v>1.6148489708025352E-2</v>
      </c>
      <c r="Y1919">
        <v>3.5509923860830876E-3</v>
      </c>
    </row>
    <row r="1920" spans="1:25" x14ac:dyDescent="0.25">
      <c r="A1920" s="827"/>
      <c r="B1920" s="1066">
        <v>1670</v>
      </c>
      <c r="C1920" s="831">
        <v>1.012539326441646</v>
      </c>
      <c r="D1920" s="831">
        <v>0.99962142026386724</v>
      </c>
      <c r="E1920" s="831">
        <v>0.99764633036620809</v>
      </c>
      <c r="F1920" s="831">
        <v>1.005421744905743</v>
      </c>
      <c r="G1920" s="831">
        <v>1.0446407469277987</v>
      </c>
      <c r="H1920" s="831">
        <v>1.0052418096920541</v>
      </c>
      <c r="I1920" s="831">
        <v>1.0099777792338789</v>
      </c>
      <c r="K1920">
        <v>1.7327101694164928</v>
      </c>
      <c r="L1920">
        <v>0</v>
      </c>
      <c r="M1920">
        <v>1.3826276192287943E-3</v>
      </c>
      <c r="N1920">
        <v>0.13826551315255436</v>
      </c>
      <c r="O1920">
        <v>1.7618310176357389E-2</v>
      </c>
      <c r="P1920">
        <v>1.9770962274999176E-2</v>
      </c>
      <c r="Q1920">
        <v>2.1305874188035832E-3</v>
      </c>
      <c r="R1920">
        <v>1.3741576459860511E-3</v>
      </c>
      <c r="S1920">
        <v>0.1527498731413128</v>
      </c>
      <c r="T1920">
        <v>1.0715710379009429</v>
      </c>
      <c r="U1920">
        <v>2.3033700804753175E-2</v>
      </c>
      <c r="V1920">
        <v>0.20488149969631836</v>
      </c>
      <c r="W1920">
        <v>8.2780846156723403E-2</v>
      </c>
      <c r="X1920">
        <v>1.617630454554209E-2</v>
      </c>
      <c r="Y1920">
        <v>3.7400041214277762E-3</v>
      </c>
    </row>
    <row r="1921" spans="1:25" x14ac:dyDescent="0.25">
      <c r="A1921" s="827"/>
      <c r="B1921" s="1066">
        <v>1671</v>
      </c>
      <c r="C1921" s="831">
        <v>0.97251617010936109</v>
      </c>
      <c r="D1921" s="831">
        <v>0.99961367272707236</v>
      </c>
      <c r="E1921" s="831">
        <v>1.0276668852628732</v>
      </c>
      <c r="F1921" s="831">
        <v>0.98123802964129336</v>
      </c>
      <c r="G1921" s="831">
        <v>1.0011538229247134</v>
      </c>
      <c r="H1921" s="831">
        <v>0.97289768573332902</v>
      </c>
      <c r="I1921" s="831">
        <v>0.99070462879830301</v>
      </c>
      <c r="K1921">
        <v>1.7455172794864739</v>
      </c>
      <c r="L1921">
        <v>0</v>
      </c>
      <c r="M1921">
        <v>1.3077016851490923E-3</v>
      </c>
      <c r="N1921">
        <v>0.14353316878223826</v>
      </c>
      <c r="O1921">
        <v>1.8343442606408709E-2</v>
      </c>
      <c r="P1921">
        <v>2.0263448296392244E-2</v>
      </c>
      <c r="Q1921">
        <v>2.28575595973476E-3</v>
      </c>
      <c r="R1921">
        <v>1.2994243871216398E-3</v>
      </c>
      <c r="S1921">
        <v>0.15363611306815506</v>
      </c>
      <c r="T1921">
        <v>1.0689214327251104</v>
      </c>
      <c r="U1921">
        <v>2.3981635077266146E-2</v>
      </c>
      <c r="V1921">
        <v>0.20925582873168358</v>
      </c>
      <c r="W1921">
        <v>8.4202584685825296E-2</v>
      </c>
      <c r="X1921">
        <v>1.7565542025074737E-2</v>
      </c>
      <c r="Y1921">
        <v>3.5366048266110119E-3</v>
      </c>
    </row>
    <row r="1922" spans="1:25" x14ac:dyDescent="0.25">
      <c r="A1922" s="827"/>
      <c r="B1922" s="1066">
        <v>1672</v>
      </c>
      <c r="C1922" s="831">
        <v>0.99574450778622503</v>
      </c>
      <c r="D1922" s="831">
        <v>1.0382089915377191</v>
      </c>
      <c r="E1922" s="831">
        <v>1.0090377818366962</v>
      </c>
      <c r="F1922" s="831">
        <v>0.99788873722701665</v>
      </c>
      <c r="G1922" s="831">
        <v>0.97574056544738141</v>
      </c>
      <c r="H1922" s="831">
        <v>1.0312573831865781</v>
      </c>
      <c r="I1922" s="831">
        <v>0.99365046222688047</v>
      </c>
      <c r="K1922">
        <v>1.7383084995051545</v>
      </c>
      <c r="L1922">
        <v>0</v>
      </c>
      <c r="M1922">
        <v>1.3842525613600373E-3</v>
      </c>
      <c r="N1922">
        <v>0.14344028439512138</v>
      </c>
      <c r="O1922">
        <v>1.7611385449748648E-2</v>
      </c>
      <c r="P1922">
        <v>1.9901546204759292E-2</v>
      </c>
      <c r="Q1922">
        <v>2.1608642102783002E-3</v>
      </c>
      <c r="R1922">
        <v>1.3759612631080364E-3</v>
      </c>
      <c r="S1922">
        <v>0.15226808885312137</v>
      </c>
      <c r="T1922">
        <v>1.0705616183131483</v>
      </c>
      <c r="U1922">
        <v>2.3422200891827866E-2</v>
      </c>
      <c r="V1922">
        <v>0.20323889396635625</v>
      </c>
      <c r="W1922">
        <v>8.5213792836104529E-2</v>
      </c>
      <c r="X1922">
        <v>1.6753202710266823E-2</v>
      </c>
      <c r="Y1922">
        <v>3.7449129726715952E-3</v>
      </c>
    </row>
    <row r="1923" spans="1:25" x14ac:dyDescent="0.25">
      <c r="A1923" s="827"/>
      <c r="B1923" s="1066">
        <v>1673</v>
      </c>
      <c r="C1923" s="831">
        <v>0.96098660609101472</v>
      </c>
      <c r="D1923" s="831">
        <v>0.97863107714944042</v>
      </c>
      <c r="E1923" s="831">
        <v>0.98883901543885333</v>
      </c>
      <c r="F1923" s="831">
        <v>1.0157849246063027</v>
      </c>
      <c r="G1923" s="831">
        <v>0.96792104142461621</v>
      </c>
      <c r="H1923" s="831">
        <v>1.0026677903395156</v>
      </c>
      <c r="I1923" s="831">
        <v>0.9704874384495159</v>
      </c>
      <c r="K1923">
        <v>1.7593940208182846</v>
      </c>
      <c r="L1923">
        <v>0</v>
      </c>
      <c r="M1923">
        <v>1.4945432610720792E-3</v>
      </c>
      <c r="N1923">
        <v>0.14541495135595661</v>
      </c>
      <c r="O1923">
        <v>1.8742995970330814E-2</v>
      </c>
      <c r="P1923">
        <v>1.981465330358138E-2</v>
      </c>
      <c r="Q1923">
        <v>2.2426163613164067E-3</v>
      </c>
      <c r="R1923">
        <v>1.4853801378338736E-3</v>
      </c>
      <c r="S1923">
        <v>0.15583349370863672</v>
      </c>
      <c r="T1923">
        <v>1.0723548280697195</v>
      </c>
      <c r="U1923">
        <v>2.4269357918703702E-2</v>
      </c>
      <c r="V1923">
        <v>0.21263570715824395</v>
      </c>
      <c r="W1923">
        <v>8.7590024775020023E-2</v>
      </c>
      <c r="X1923">
        <v>1.6461840240260869E-2</v>
      </c>
      <c r="Y1923">
        <v>4.0427150797529652E-3</v>
      </c>
    </row>
    <row r="1924" spans="1:25" x14ac:dyDescent="0.25">
      <c r="A1924" s="827"/>
      <c r="B1924" s="1066">
        <v>1674</v>
      </c>
      <c r="C1924" s="831">
        <v>0.9709394413559157</v>
      </c>
      <c r="D1924" s="831">
        <v>1.0232965219486354</v>
      </c>
      <c r="E1924" s="831">
        <v>1.002571957610733</v>
      </c>
      <c r="F1924" s="831">
        <v>1.036596833777121</v>
      </c>
      <c r="G1924" s="831">
        <v>1.0176966674389907</v>
      </c>
      <c r="H1924" s="831">
        <v>0.97832370095695276</v>
      </c>
      <c r="I1924" s="831">
        <v>0.98644858141842529</v>
      </c>
      <c r="K1924">
        <v>1.7377964781043393</v>
      </c>
      <c r="L1924">
        <v>0</v>
      </c>
      <c r="M1924">
        <v>1.3741634925655882E-3</v>
      </c>
      <c r="N1924">
        <v>0.1395157761326235</v>
      </c>
      <c r="O1924">
        <v>1.8179641717465517E-2</v>
      </c>
      <c r="P1924">
        <v>1.9875197853451852E-2</v>
      </c>
      <c r="Q1924">
        <v>2.2135986283332268E-3</v>
      </c>
      <c r="R1924">
        <v>1.3654973384739809E-3</v>
      </c>
      <c r="S1924">
        <v>0.1521375122808758</v>
      </c>
      <c r="T1924">
        <v>1.0711339666899728</v>
      </c>
      <c r="U1924">
        <v>2.4020579353263561E-2</v>
      </c>
      <c r="V1924">
        <v>0.20724226760966025</v>
      </c>
      <c r="W1924">
        <v>8.3248364842452308E-2</v>
      </c>
      <c r="X1924">
        <v>1.6521805531082307E-2</v>
      </c>
      <c r="Y1924">
        <v>3.7164336192495252E-3</v>
      </c>
    </row>
    <row r="1925" spans="1:25" x14ac:dyDescent="0.25">
      <c r="A1925" s="827"/>
      <c r="B1925" s="1066">
        <v>1675</v>
      </c>
      <c r="C1925" s="831">
        <v>0.97692235617080236</v>
      </c>
      <c r="D1925" s="831">
        <v>0.99886291521928761</v>
      </c>
      <c r="E1925" s="831">
        <v>1.0298030825310422</v>
      </c>
      <c r="F1925" s="831">
        <v>0.98565291526423493</v>
      </c>
      <c r="G1925" s="831">
        <v>1.0253090240069218</v>
      </c>
      <c r="H1925" s="831">
        <v>0.99086570058569667</v>
      </c>
      <c r="I1925" s="831">
        <v>0.97319756160866977</v>
      </c>
      <c r="K1925">
        <v>1.7464589047353012</v>
      </c>
      <c r="L1925">
        <v>0</v>
      </c>
      <c r="M1925">
        <v>1.320317748119263E-3</v>
      </c>
      <c r="N1925">
        <v>0.14589907804280866</v>
      </c>
      <c r="O1925">
        <v>1.8266924890366774E-2</v>
      </c>
      <c r="P1925">
        <v>2.0256118035344391E-2</v>
      </c>
      <c r="Q1925">
        <v>2.2808965473290906E-3</v>
      </c>
      <c r="R1925">
        <v>1.3121126429543268E-3</v>
      </c>
      <c r="S1925">
        <v>0.15157289313759445</v>
      </c>
      <c r="T1925">
        <v>1.0687341932975862</v>
      </c>
      <c r="U1925">
        <v>2.3873471367488595E-2</v>
      </c>
      <c r="V1925">
        <v>0.20882975117998193</v>
      </c>
      <c r="W1925">
        <v>8.5467984058674035E-2</v>
      </c>
      <c r="X1925">
        <v>1.7714661206986802E-2</v>
      </c>
      <c r="Y1925">
        <v>3.5711380763051742E-3</v>
      </c>
    </row>
    <row r="1926" spans="1:25" x14ac:dyDescent="0.25">
      <c r="A1926" s="827"/>
      <c r="B1926" s="1066">
        <v>1676</v>
      </c>
      <c r="C1926" s="831">
        <v>0.98240699223485739</v>
      </c>
      <c r="D1926" s="831">
        <v>0.98151833902627761</v>
      </c>
      <c r="E1926" s="831">
        <v>0.99440987223385524</v>
      </c>
      <c r="F1926" s="831">
        <v>0.98627173924356704</v>
      </c>
      <c r="G1926" s="831">
        <v>0.97321892943634125</v>
      </c>
      <c r="H1926" s="831">
        <v>0.97314270432630878</v>
      </c>
      <c r="I1926" s="831">
        <v>1.0031382276886824</v>
      </c>
      <c r="K1926">
        <v>1.7428603996753038</v>
      </c>
      <c r="L1926">
        <v>0</v>
      </c>
      <c r="M1926">
        <v>1.4005065826403196E-3</v>
      </c>
      <c r="N1926">
        <v>0.13862304554222848</v>
      </c>
      <c r="O1926">
        <v>1.8309816477645818E-2</v>
      </c>
      <c r="P1926">
        <v>1.983753523686918E-2</v>
      </c>
      <c r="Q1926">
        <v>2.2036834284672245E-3</v>
      </c>
      <c r="R1926">
        <v>1.3916573405608288E-3</v>
      </c>
      <c r="S1926">
        <v>0.15518853262804883</v>
      </c>
      <c r="T1926">
        <v>1.0718587205114043</v>
      </c>
      <c r="U1926">
        <v>2.3740189231804241E-2</v>
      </c>
      <c r="V1926">
        <v>0.20986916001538897</v>
      </c>
      <c r="W1926">
        <v>8.3179413325877721E-2</v>
      </c>
      <c r="X1926">
        <v>1.6271519998361891E-2</v>
      </c>
      <c r="Y1926">
        <v>3.7876325212875535E-3</v>
      </c>
    </row>
    <row r="1927" spans="1:25" x14ac:dyDescent="0.25">
      <c r="A1927" s="827"/>
      <c r="B1927" s="1066">
        <v>1677</v>
      </c>
      <c r="C1927" s="831">
        <v>1.0125804348835337</v>
      </c>
      <c r="D1927" s="831">
        <v>1.010978973087548</v>
      </c>
      <c r="E1927" s="831">
        <v>1.046535574098338</v>
      </c>
      <c r="F1927" s="831">
        <v>1.0255559518239916</v>
      </c>
      <c r="G1927" s="831">
        <v>1.0282692939806748</v>
      </c>
      <c r="H1927" s="831">
        <v>1.0059902008227695</v>
      </c>
      <c r="I1927" s="831">
        <v>0.99458046262073418</v>
      </c>
      <c r="K1927">
        <v>1.7336248996016921</v>
      </c>
      <c r="L1927">
        <v>0</v>
      </c>
      <c r="M1927">
        <v>1.2414480084402023E-3</v>
      </c>
      <c r="N1927">
        <v>0.14450570842380386</v>
      </c>
      <c r="O1927">
        <v>1.7527722751436672E-2</v>
      </c>
      <c r="P1927">
        <v>2.0373923432522565E-2</v>
      </c>
      <c r="Q1927">
        <v>2.2271340460015944E-3</v>
      </c>
      <c r="R1927">
        <v>1.2338415806482286E-3</v>
      </c>
      <c r="S1927">
        <v>0.14976400174942883</v>
      </c>
      <c r="T1927">
        <v>1.0672735697475835</v>
      </c>
      <c r="U1927">
        <v>2.3032765689360454E-2</v>
      </c>
      <c r="V1927">
        <v>0.20385754769322958</v>
      </c>
      <c r="W1927">
        <v>8.3713152470928309E-2</v>
      </c>
      <c r="X1927">
        <v>1.7998869978433356E-2</v>
      </c>
      <c r="Y1927">
        <v>3.358110046756731E-3</v>
      </c>
    </row>
    <row r="1928" spans="1:25" x14ac:dyDescent="0.25">
      <c r="A1928" s="827"/>
      <c r="B1928" s="1066">
        <v>1678</v>
      </c>
      <c r="C1928" s="831">
        <v>1.0097390473611183</v>
      </c>
      <c r="D1928" s="831">
        <v>0.97846037337822078</v>
      </c>
      <c r="E1928" s="831">
        <v>0.99438029642151193</v>
      </c>
      <c r="F1928" s="831">
        <v>0.99049203786876439</v>
      </c>
      <c r="G1928" s="831">
        <v>1.0022328126679749</v>
      </c>
      <c r="H1928" s="831">
        <v>1.0061310260929071</v>
      </c>
      <c r="I1928" s="831">
        <v>1.0073436689856381</v>
      </c>
      <c r="K1928">
        <v>1.7395437956298097</v>
      </c>
      <c r="L1928">
        <v>0</v>
      </c>
      <c r="M1928">
        <v>1.4108703613188054E-3</v>
      </c>
      <c r="N1928">
        <v>0.13966533767025871</v>
      </c>
      <c r="O1928">
        <v>1.783945574600547E-2</v>
      </c>
      <c r="P1928">
        <v>1.9778024165934455E-2</v>
      </c>
      <c r="Q1928">
        <v>2.1464539632610356E-3</v>
      </c>
      <c r="R1928">
        <v>1.4022501398084943E-3</v>
      </c>
      <c r="S1928">
        <v>0.15420352425145115</v>
      </c>
      <c r="T1928">
        <v>1.0718613512703545</v>
      </c>
      <c r="U1928">
        <v>2.3097579477841308E-2</v>
      </c>
      <c r="V1928">
        <v>0.20714773388654056</v>
      </c>
      <c r="W1928">
        <v>8.3806533232957822E-2</v>
      </c>
      <c r="X1928">
        <v>1.6189959557788472E-2</v>
      </c>
      <c r="Y1928">
        <v>3.8164626289243653E-3</v>
      </c>
    </row>
    <row r="1929" spans="1:25" x14ac:dyDescent="0.25">
      <c r="A1929" s="827"/>
      <c r="B1929" s="1066">
        <v>1679</v>
      </c>
      <c r="C1929" s="831">
        <v>1.0113545646869158</v>
      </c>
      <c r="D1929" s="831">
        <v>1.0348210299524958</v>
      </c>
      <c r="E1929" s="831">
        <v>0.98601685479580581</v>
      </c>
      <c r="F1929" s="831">
        <v>0.98847941988007904</v>
      </c>
      <c r="G1929" s="831">
        <v>1.0266203832739285</v>
      </c>
      <c r="H1929" s="831">
        <v>0.9978991617877353</v>
      </c>
      <c r="I1929" s="831">
        <v>0.99406075009057926</v>
      </c>
      <c r="K1929">
        <v>1.7180582975892402</v>
      </c>
      <c r="L1929">
        <v>0</v>
      </c>
      <c r="M1929">
        <v>1.3863269143771792E-3</v>
      </c>
      <c r="N1929">
        <v>0.13369787627666405</v>
      </c>
      <c r="O1929">
        <v>1.736514071163733E-2</v>
      </c>
      <c r="P1929">
        <v>1.9507035499298424E-2</v>
      </c>
      <c r="Q1929">
        <v>2.0812995365362399E-3</v>
      </c>
      <c r="R1929">
        <v>1.3777478522522947E-3</v>
      </c>
      <c r="S1929">
        <v>0.14786519901381889</v>
      </c>
      <c r="T1929">
        <v>1.0726065990276739</v>
      </c>
      <c r="U1929">
        <v>2.306068387155906E-2</v>
      </c>
      <c r="V1929">
        <v>0.20190595032493316</v>
      </c>
      <c r="W1929">
        <v>8.0689336109062496E-2</v>
      </c>
      <c r="X1929">
        <v>1.5537980800807479E-2</v>
      </c>
      <c r="Y1929">
        <v>3.7497754793733144E-3</v>
      </c>
    </row>
    <row r="1930" spans="1:25" x14ac:dyDescent="0.25">
      <c r="A1930" s="827"/>
      <c r="B1930" s="1066">
        <v>1680</v>
      </c>
      <c r="C1930" s="831">
        <v>1.0063588651645123</v>
      </c>
      <c r="D1930" s="831">
        <v>1.0077210731734128</v>
      </c>
      <c r="E1930" s="831">
        <v>0.96754230754401482</v>
      </c>
      <c r="F1930" s="831">
        <v>1.0021853778141856</v>
      </c>
      <c r="G1930" s="831">
        <v>1.0025375144972184</v>
      </c>
      <c r="H1930" s="831">
        <v>1.0049769056361402</v>
      </c>
      <c r="I1930" s="831">
        <v>0.95710278783388181</v>
      </c>
      <c r="K1930">
        <v>1.721952810881183</v>
      </c>
      <c r="L1930">
        <v>0</v>
      </c>
      <c r="M1930">
        <v>1.4761226981730652E-3</v>
      </c>
      <c r="N1930">
        <v>0.13440066241192566</v>
      </c>
      <c r="O1930">
        <v>1.7661858994511923E-2</v>
      </c>
      <c r="P1930">
        <v>1.9260024797837106E-2</v>
      </c>
      <c r="Q1930">
        <v>2.0729498428834533E-3</v>
      </c>
      <c r="R1930">
        <v>1.4670716536340771E-3</v>
      </c>
      <c r="S1930">
        <v>0.14513694522877404</v>
      </c>
      <c r="T1930">
        <v>1.0742621456344197</v>
      </c>
      <c r="U1930">
        <v>2.3175160179555419E-2</v>
      </c>
      <c r="V1930">
        <v>0.20479860967186589</v>
      </c>
      <c r="W1930">
        <v>8.2162389281121628E-2</v>
      </c>
      <c r="X1930">
        <v>1.5038230461674568E-2</v>
      </c>
      <c r="Y1930">
        <v>3.9928854211513133E-3</v>
      </c>
    </row>
    <row r="1931" spans="1:25" x14ac:dyDescent="0.25">
      <c r="A1931" s="827"/>
      <c r="B1931" s="1066">
        <v>1681</v>
      </c>
      <c r="C1931" s="831">
        <v>0.99041493958893101</v>
      </c>
      <c r="D1931" s="831">
        <v>1.0043197190742468</v>
      </c>
      <c r="E1931" s="831">
        <v>1.0057918054789241</v>
      </c>
      <c r="F1931" s="831">
        <v>0.97751855408882304</v>
      </c>
      <c r="G1931" s="831">
        <v>1.0090289420970273</v>
      </c>
      <c r="H1931" s="831">
        <v>0.99789411603342237</v>
      </c>
      <c r="I1931" s="831">
        <v>0.95779949130498354</v>
      </c>
      <c r="K1931">
        <v>1.7340730141318412</v>
      </c>
      <c r="L1931">
        <v>0</v>
      </c>
      <c r="M1931">
        <v>1.3763880320820218E-3</v>
      </c>
      <c r="N1931">
        <v>0.14116695677670929</v>
      </c>
      <c r="O1931">
        <v>1.7973669376198986E-2</v>
      </c>
      <c r="P1931">
        <v>1.9840328376800293E-2</v>
      </c>
      <c r="Q1931">
        <v>2.1922551177887702E-3</v>
      </c>
      <c r="R1931">
        <v>1.3678909559468612E-3</v>
      </c>
      <c r="S1931">
        <v>0.14729718879861883</v>
      </c>
      <c r="T1931">
        <v>1.0708487514694118</v>
      </c>
      <c r="U1931">
        <v>2.3548239193547645E-2</v>
      </c>
      <c r="V1931">
        <v>0.20682046129230786</v>
      </c>
      <c r="W1931">
        <v>8.4048780451242602E-2</v>
      </c>
      <c r="X1931">
        <v>1.6621932098394621E-2</v>
      </c>
      <c r="Y1931">
        <v>3.7229482569549176E-3</v>
      </c>
    </row>
    <row r="1932" spans="1:25" x14ac:dyDescent="0.25">
      <c r="A1932" s="827"/>
      <c r="B1932" s="1066">
        <v>1682</v>
      </c>
      <c r="C1932" s="831">
        <v>1.0081195724685663</v>
      </c>
      <c r="D1932" s="831">
        <v>0.99558023617757119</v>
      </c>
      <c r="E1932" s="831">
        <v>0.98886712373998764</v>
      </c>
      <c r="F1932" s="831">
        <v>0.98620895465000069</v>
      </c>
      <c r="G1932" s="831">
        <v>0.99222853380535725</v>
      </c>
      <c r="H1932" s="831">
        <v>1.0030822782088895</v>
      </c>
      <c r="I1932" s="831">
        <v>1.000768659317024</v>
      </c>
      <c r="K1932">
        <v>1.7330304709218127</v>
      </c>
      <c r="L1932">
        <v>0</v>
      </c>
      <c r="M1932">
        <v>1.4141266998415317E-3</v>
      </c>
      <c r="N1932">
        <v>0.13760183820690439</v>
      </c>
      <c r="O1932">
        <v>1.7728060535973252E-2</v>
      </c>
      <c r="P1932">
        <v>1.9655864168759692E-2</v>
      </c>
      <c r="Q1932">
        <v>2.1242473158736342E-3</v>
      </c>
      <c r="R1932">
        <v>1.4054479811833128E-3</v>
      </c>
      <c r="S1932">
        <v>0.15212245524150711</v>
      </c>
      <c r="T1932">
        <v>1.072352321976328</v>
      </c>
      <c r="U1932">
        <v>2.3134684153779197E-2</v>
      </c>
      <c r="V1932">
        <v>0.20572081937118555</v>
      </c>
      <c r="W1932">
        <v>8.2882225579769334E-2</v>
      </c>
      <c r="X1932">
        <v>1.5891466991410346E-2</v>
      </c>
      <c r="Y1932">
        <v>3.8251660989784956E-3</v>
      </c>
    </row>
    <row r="1933" spans="1:25" x14ac:dyDescent="0.25">
      <c r="A1933" s="827"/>
      <c r="B1933" s="1066">
        <v>1683</v>
      </c>
      <c r="C1933" s="831">
        <v>1.0350671176555417</v>
      </c>
      <c r="D1933" s="831">
        <v>1.0080166880277839</v>
      </c>
      <c r="E1933" s="831">
        <v>1.0308760032381736</v>
      </c>
      <c r="F1933" s="831">
        <v>1.0143943280597132</v>
      </c>
      <c r="G1933" s="831">
        <v>1.005152876559501</v>
      </c>
      <c r="H1933" s="831">
        <v>1.0271598144735576</v>
      </c>
      <c r="I1933" s="831">
        <v>1.0029618996106979</v>
      </c>
      <c r="K1933">
        <v>1.7282555151580385</v>
      </c>
      <c r="L1933">
        <v>0</v>
      </c>
      <c r="M1933">
        <v>1.2835582065695431E-3</v>
      </c>
      <c r="N1933">
        <v>0.14234102031458015</v>
      </c>
      <c r="O1933">
        <v>1.716971679490005E-2</v>
      </c>
      <c r="P1933">
        <v>2.0123634884598268E-2</v>
      </c>
      <c r="Q1933">
        <v>2.1477714101344665E-3</v>
      </c>
      <c r="R1933">
        <v>1.2758576838370532E-3</v>
      </c>
      <c r="S1933">
        <v>0.1493922576640471</v>
      </c>
      <c r="T1933">
        <v>1.068640216235957</v>
      </c>
      <c r="U1933">
        <v>2.253238220061457E-2</v>
      </c>
      <c r="V1933">
        <v>0.20182463420877916</v>
      </c>
      <c r="W1933">
        <v>8.3323750783757297E-2</v>
      </c>
      <c r="X1933">
        <v>1.7295367154371539E-2</v>
      </c>
      <c r="Y1933">
        <v>3.4724640290320166E-3</v>
      </c>
    </row>
    <row r="1934" spans="1:25" x14ac:dyDescent="0.25">
      <c r="A1934" s="827"/>
      <c r="B1934" s="1066">
        <v>1684</v>
      </c>
      <c r="C1934" s="831">
        <v>0.98056690950329062</v>
      </c>
      <c r="D1934" s="831">
        <v>0.97806475135589743</v>
      </c>
      <c r="E1934" s="831">
        <v>1.0146705513057004</v>
      </c>
      <c r="F1934" s="831">
        <v>1.0152037417004196</v>
      </c>
      <c r="G1934" s="831">
        <v>0.9856352961280811</v>
      </c>
      <c r="H1934" s="831">
        <v>1.0204909644511724</v>
      </c>
      <c r="I1934" s="831">
        <v>1.0195880985045369</v>
      </c>
      <c r="K1934">
        <v>1.7652087020741871</v>
      </c>
      <c r="L1934">
        <v>0</v>
      </c>
      <c r="M1934">
        <v>1.4121572919965932E-3</v>
      </c>
      <c r="N1934">
        <v>0.14891142286482231</v>
      </c>
      <c r="O1934">
        <v>1.8373558710462076E-2</v>
      </c>
      <c r="P1934">
        <v>2.0213621417610191E-2</v>
      </c>
      <c r="Q1934">
        <v>2.2560784793446784E-3</v>
      </c>
      <c r="R1934">
        <v>1.4036509020055388E-3</v>
      </c>
      <c r="S1934">
        <v>0.1618310189651031</v>
      </c>
      <c r="T1934">
        <v>1.0700642993983878</v>
      </c>
      <c r="U1934">
        <v>2.3784738881426567E-2</v>
      </c>
      <c r="V1934">
        <v>0.21041718106886245</v>
      </c>
      <c r="W1934">
        <v>8.8126536043715398E-2</v>
      </c>
      <c r="X1934">
        <v>1.7418477592577624E-2</v>
      </c>
      <c r="Y1934">
        <v>3.8202750418635878E-3</v>
      </c>
    </row>
    <row r="1935" spans="1:25" x14ac:dyDescent="0.25">
      <c r="A1935" s="827"/>
      <c r="B1935" s="1066">
        <v>1685</v>
      </c>
      <c r="C1935" s="831">
        <v>0.987897061265129</v>
      </c>
      <c r="D1935" s="831">
        <v>1.0270961959334752</v>
      </c>
      <c r="E1935" s="831">
        <v>1.0059927014465175</v>
      </c>
      <c r="F1935" s="831">
        <v>0.99570895825867034</v>
      </c>
      <c r="G1935" s="831">
        <v>0.99108826674541295</v>
      </c>
      <c r="H1935" s="831">
        <v>0.9961964626399249</v>
      </c>
      <c r="I1935" s="831">
        <v>0.99224556926526575</v>
      </c>
      <c r="K1935">
        <v>1.7342216912000734</v>
      </c>
      <c r="L1935">
        <v>0</v>
      </c>
      <c r="M1935">
        <v>1.3630897240486297E-3</v>
      </c>
      <c r="N1935">
        <v>0.13988734582949686</v>
      </c>
      <c r="O1935">
        <v>1.7837697488679333E-2</v>
      </c>
      <c r="P1935">
        <v>1.9876363367399716E-2</v>
      </c>
      <c r="Q1935">
        <v>2.1800795055448774E-3</v>
      </c>
      <c r="R1935">
        <v>1.3546451173116144E-3</v>
      </c>
      <c r="S1935">
        <v>0.15144756621336836</v>
      </c>
      <c r="T1935">
        <v>1.0708309690175313</v>
      </c>
      <c r="U1935">
        <v>2.360825718869506E-2</v>
      </c>
      <c r="V1935">
        <v>0.20504057130068942</v>
      </c>
      <c r="W1935">
        <v>8.3275517479371772E-2</v>
      </c>
      <c r="X1935">
        <v>1.6558870965351264E-2</v>
      </c>
      <c r="Y1935">
        <v>3.6868974506793083E-3</v>
      </c>
    </row>
    <row r="1936" spans="1:25" x14ac:dyDescent="0.25">
      <c r="A1936" s="827"/>
      <c r="B1936" s="1066">
        <v>1686</v>
      </c>
      <c r="C1936" s="831">
        <v>1.0012632740630159</v>
      </c>
      <c r="D1936" s="831">
        <v>0.95722462744646664</v>
      </c>
      <c r="E1936" s="831">
        <v>1.0079181258015972</v>
      </c>
      <c r="F1936" s="831">
        <v>0.99896770773645049</v>
      </c>
      <c r="G1936" s="831">
        <v>0.99233461622268715</v>
      </c>
      <c r="H1936" s="831">
        <v>1.0049667206311552</v>
      </c>
      <c r="I1936" s="831">
        <v>0.99381048153950524</v>
      </c>
      <c r="K1936">
        <v>1.7495863260606779</v>
      </c>
      <c r="L1936">
        <v>0</v>
      </c>
      <c r="M1936">
        <v>1.3950496597299228E-3</v>
      </c>
      <c r="N1936">
        <v>0.14403992377739092</v>
      </c>
      <c r="O1936">
        <v>1.8170869429807612E-2</v>
      </c>
      <c r="P1936">
        <v>2.0013506589466164E-2</v>
      </c>
      <c r="Q1936">
        <v>2.2122131358633954E-3</v>
      </c>
      <c r="R1936">
        <v>1.3865317332187744E-3</v>
      </c>
      <c r="S1936">
        <v>0.15474484858812804</v>
      </c>
      <c r="T1936">
        <v>1.0706606160507337</v>
      </c>
      <c r="U1936">
        <v>2.3293102326287177E-2</v>
      </c>
      <c r="V1936">
        <v>0.21014940349166711</v>
      </c>
      <c r="W1936">
        <v>8.5635216319210491E-2</v>
      </c>
      <c r="X1936">
        <v>1.6901461970876486E-2</v>
      </c>
      <c r="Y1936">
        <v>3.7736823077584888E-3</v>
      </c>
    </row>
    <row r="1937" spans="1:25" x14ac:dyDescent="0.25">
      <c r="A1937" s="827"/>
      <c r="B1937" s="1066">
        <v>1687</v>
      </c>
      <c r="C1937" s="831">
        <v>0.99554687357944915</v>
      </c>
      <c r="D1937" s="831">
        <v>0.99681391186761215</v>
      </c>
      <c r="E1937" s="831">
        <v>1.0134879112141284</v>
      </c>
      <c r="F1937" s="831">
        <v>0.9944995486831455</v>
      </c>
      <c r="G1937" s="831">
        <v>1.0229385402821487</v>
      </c>
      <c r="H1937" s="831">
        <v>0.97582632173843631</v>
      </c>
      <c r="I1937" s="831">
        <v>1.0024929287082225</v>
      </c>
      <c r="K1937">
        <v>1.7344046096421806</v>
      </c>
      <c r="L1937">
        <v>0</v>
      </c>
      <c r="M1937">
        <v>1.3219321019680851E-3</v>
      </c>
      <c r="N1937">
        <v>0.13884590349133077</v>
      </c>
      <c r="O1937">
        <v>1.7941875345499077E-2</v>
      </c>
      <c r="P1937">
        <v>2.0012817005572746E-2</v>
      </c>
      <c r="Q1937">
        <v>2.2039261473671538E-3</v>
      </c>
      <c r="R1937">
        <v>1.3135917501612287E-3</v>
      </c>
      <c r="S1937">
        <v>0.15225653274898199</v>
      </c>
      <c r="T1937">
        <v>1.0701686154927499</v>
      </c>
      <c r="U1937">
        <v>2.3426850625775143E-2</v>
      </c>
      <c r="V1937">
        <v>0.20695582908121224</v>
      </c>
      <c r="W1937">
        <v>8.2235580374278291E-2</v>
      </c>
      <c r="X1937">
        <v>1.6789855962682607E-2</v>
      </c>
      <c r="Y1937">
        <v>3.5751637185348038E-3</v>
      </c>
    </row>
    <row r="1938" spans="1:25" x14ac:dyDescent="0.25">
      <c r="A1938" s="827"/>
      <c r="B1938" s="1066">
        <v>1688</v>
      </c>
      <c r="C1938" s="831">
        <v>1.0150681811403259</v>
      </c>
      <c r="D1938" s="831">
        <v>1.019732025692454</v>
      </c>
      <c r="E1938" s="831">
        <v>1.0150272964451788</v>
      </c>
      <c r="F1938" s="831">
        <v>0.99130845176838944</v>
      </c>
      <c r="G1938" s="831">
        <v>1.0174399418606113</v>
      </c>
      <c r="H1938" s="831">
        <v>0.96648334975105443</v>
      </c>
      <c r="I1938" s="831">
        <v>1.0373269686466446</v>
      </c>
      <c r="K1938">
        <v>1.7204476138662008</v>
      </c>
      <c r="L1938">
        <v>0</v>
      </c>
      <c r="M1938">
        <v>1.2668468374621444E-3</v>
      </c>
      <c r="N1938">
        <v>0.13368847396414291</v>
      </c>
      <c r="O1938">
        <v>1.7416744267593431E-2</v>
      </c>
      <c r="P1938">
        <v>1.9972280838045565E-2</v>
      </c>
      <c r="Q1938">
        <v>2.1466865646091477E-3</v>
      </c>
      <c r="R1938">
        <v>1.2587618706266601E-3</v>
      </c>
      <c r="S1938">
        <v>0.15238935921161101</v>
      </c>
      <c r="T1938">
        <v>1.0700328426856722</v>
      </c>
      <c r="U1938">
        <v>2.2976316597869011E-2</v>
      </c>
      <c r="V1938">
        <v>0.20282606483531293</v>
      </c>
      <c r="W1938">
        <v>7.9098406146581104E-2</v>
      </c>
      <c r="X1938">
        <v>1.6482588860492493E-2</v>
      </c>
      <c r="Y1938">
        <v>3.4259348611066372E-3</v>
      </c>
    </row>
    <row r="1939" spans="1:25" x14ac:dyDescent="0.25">
      <c r="A1939" s="827"/>
      <c r="B1939" s="1066">
        <v>1689</v>
      </c>
      <c r="C1939" s="831">
        <v>0.98653436630717672</v>
      </c>
      <c r="D1939" s="831">
        <v>1.0202441211387032</v>
      </c>
      <c r="E1939" s="831">
        <v>0.98756790987163223</v>
      </c>
      <c r="F1939" s="831">
        <v>1.0095435666093908</v>
      </c>
      <c r="G1939" s="831">
        <v>0.98283787371285103</v>
      </c>
      <c r="H1939" s="831">
        <v>0.96895253358926403</v>
      </c>
      <c r="I1939" s="831">
        <v>1.0337968034639342</v>
      </c>
      <c r="K1939">
        <v>1.7325939416086402</v>
      </c>
      <c r="L1939">
        <v>0</v>
      </c>
      <c r="M1939">
        <v>1.3843180862117995E-3</v>
      </c>
      <c r="N1939">
        <v>0.13412658425296373</v>
      </c>
      <c r="O1939">
        <v>1.7916428257005762E-2</v>
      </c>
      <c r="P1939">
        <v>1.9704089147477542E-2</v>
      </c>
      <c r="Q1939">
        <v>2.1482854762866358E-3</v>
      </c>
      <c r="R1939">
        <v>1.375505579206366E-3</v>
      </c>
      <c r="S1939">
        <v>0.15641498549539284</v>
      </c>
      <c r="T1939">
        <v>1.0724681889972509</v>
      </c>
      <c r="U1939">
        <v>2.3640867155601226E-2</v>
      </c>
      <c r="V1939">
        <v>0.20579676773975164</v>
      </c>
      <c r="W1939">
        <v>8.0861409117359284E-2</v>
      </c>
      <c r="X1939">
        <v>1.5781475725246553E-2</v>
      </c>
      <c r="Y1939">
        <v>3.7436727513074056E-3</v>
      </c>
    </row>
    <row r="1940" spans="1:25" x14ac:dyDescent="0.25">
      <c r="A1940" s="827"/>
      <c r="B1940" s="1066">
        <v>1690</v>
      </c>
      <c r="C1940" s="831">
        <v>1.0038315623666003</v>
      </c>
      <c r="D1940" s="831">
        <v>0.97219470659211127</v>
      </c>
      <c r="E1940" s="831">
        <v>1.0127917460388633</v>
      </c>
      <c r="F1940" s="831">
        <v>1.0414726786537269</v>
      </c>
      <c r="G1940" s="831">
        <v>0.99049823787652924</v>
      </c>
      <c r="H1940" s="831">
        <v>0.97155218072898064</v>
      </c>
      <c r="I1940" s="831">
        <v>1.0041986175190458</v>
      </c>
      <c r="K1940">
        <v>1.7356131026348898</v>
      </c>
      <c r="L1940">
        <v>0</v>
      </c>
      <c r="M1940">
        <v>1.3221015051386967E-3</v>
      </c>
      <c r="N1940">
        <v>0.13856149919009245</v>
      </c>
      <c r="O1940">
        <v>1.7996887922595989E-2</v>
      </c>
      <c r="P1940">
        <v>2.0024203272618918E-2</v>
      </c>
      <c r="Q1940">
        <v>2.2045865906878768E-3</v>
      </c>
      <c r="R1940">
        <v>1.3137405826914859E-3</v>
      </c>
      <c r="S1940">
        <v>0.15252585204762406</v>
      </c>
      <c r="T1940">
        <v>1.0702300462696106</v>
      </c>
      <c r="U1940">
        <v>2.3233507266217809E-2</v>
      </c>
      <c r="V1940">
        <v>0.20839055262120368</v>
      </c>
      <c r="W1940">
        <v>8.2105878551868711E-2</v>
      </c>
      <c r="X1940">
        <v>1.6772881033196158E-2</v>
      </c>
      <c r="Y1940">
        <v>3.5755687916195311E-3</v>
      </c>
    </row>
    <row r="1941" spans="1:25" x14ac:dyDescent="0.25">
      <c r="A1941" s="827"/>
      <c r="B1941" s="1066">
        <v>1691</v>
      </c>
      <c r="C1941" s="831">
        <v>0.98058376027699312</v>
      </c>
      <c r="D1941" s="831">
        <v>0.9865638996625018</v>
      </c>
      <c r="E1941" s="831">
        <v>0.99783484142744527</v>
      </c>
      <c r="F1941" s="831">
        <v>0.99063558903242277</v>
      </c>
      <c r="G1941" s="831">
        <v>1.0127199039319648</v>
      </c>
      <c r="H1941" s="831">
        <v>1.0183315831649602</v>
      </c>
      <c r="I1941" s="831">
        <v>1.0432018854297429</v>
      </c>
      <c r="K1941">
        <v>1.7635485494130039</v>
      </c>
      <c r="L1941">
        <v>0</v>
      </c>
      <c r="M1941">
        <v>1.454335356608973E-3</v>
      </c>
      <c r="N1941">
        <v>0.14553424538677048</v>
      </c>
      <c r="O1941">
        <v>1.8301224916319227E-2</v>
      </c>
      <c r="P1941">
        <v>2.0012259801764704E-2</v>
      </c>
      <c r="Q1941">
        <v>2.2111990476152391E-3</v>
      </c>
      <c r="R1941">
        <v>1.4455500732913668E-3</v>
      </c>
      <c r="S1941">
        <v>0.16481482434549163</v>
      </c>
      <c r="T1941">
        <v>1.0715542936870777</v>
      </c>
      <c r="U1941">
        <v>2.3784330154228858E-2</v>
      </c>
      <c r="V1941">
        <v>0.20958684266747959</v>
      </c>
      <c r="W1941">
        <v>8.7121447607919941E-2</v>
      </c>
      <c r="X1941">
        <v>1.6702356307605953E-2</v>
      </c>
      <c r="Y1941">
        <v>3.934310774045509E-3</v>
      </c>
    </row>
    <row r="1942" spans="1:25" x14ac:dyDescent="0.25">
      <c r="A1942" s="827"/>
      <c r="B1942" s="1066">
        <v>1692</v>
      </c>
      <c r="C1942" s="831">
        <v>0.97718725735900991</v>
      </c>
      <c r="D1942" s="831">
        <v>0.98868216299019951</v>
      </c>
      <c r="E1942" s="831">
        <v>0.97535247057761965</v>
      </c>
      <c r="F1942" s="831">
        <v>1.0126235413576055</v>
      </c>
      <c r="G1942" s="831">
        <v>0.98516939173063522</v>
      </c>
      <c r="H1942" s="831">
        <v>0.99494016386342665</v>
      </c>
      <c r="I1942" s="831">
        <v>0.99552405826279888</v>
      </c>
      <c r="K1942">
        <v>1.7470050569717046</v>
      </c>
      <c r="L1942">
        <v>0</v>
      </c>
      <c r="M1942">
        <v>1.4934004381611675E-3</v>
      </c>
      <c r="N1942">
        <v>0.13931804760890781</v>
      </c>
      <c r="O1942">
        <v>1.8346976795661565E-2</v>
      </c>
      <c r="P1942">
        <v>1.9587144108847869E-2</v>
      </c>
      <c r="Q1942">
        <v>2.1672109843979834E-3</v>
      </c>
      <c r="R1942">
        <v>1.4841654546648639E-3</v>
      </c>
      <c r="S1942">
        <v>0.15596858290199683</v>
      </c>
      <c r="T1942">
        <v>1.0735606956982073</v>
      </c>
      <c r="U1942">
        <v>2.3866999618205945E-2</v>
      </c>
      <c r="V1942">
        <v>0.20976819108635461</v>
      </c>
      <c r="W1942">
        <v>8.4705423927506782E-2</v>
      </c>
      <c r="X1942">
        <v>1.5685610112525991E-2</v>
      </c>
      <c r="Y1942">
        <v>4.0394091125871192E-3</v>
      </c>
    </row>
    <row r="1943" spans="1:25" x14ac:dyDescent="0.25">
      <c r="A1943" s="827"/>
      <c r="B1943" s="1066">
        <v>1693</v>
      </c>
      <c r="C1943" s="831">
        <v>0.98274665169006126</v>
      </c>
      <c r="D1943" s="831">
        <v>0.98216827956779373</v>
      </c>
      <c r="E1943" s="831">
        <v>0.98854266583927641</v>
      </c>
      <c r="F1943" s="831">
        <v>0.98383485138039384</v>
      </c>
      <c r="G1943" s="831">
        <v>0.99654177263637567</v>
      </c>
      <c r="H1943" s="831">
        <v>1.0012598152312986</v>
      </c>
      <c r="I1943" s="831">
        <v>1.0146446373782774</v>
      </c>
      <c r="K1943">
        <v>1.7523980464078559</v>
      </c>
      <c r="L1943">
        <v>0</v>
      </c>
      <c r="M1943">
        <v>1.4579207655351185E-3</v>
      </c>
      <c r="N1943">
        <v>0.14171936052418188</v>
      </c>
      <c r="O1943">
        <v>1.8297988925797887E-2</v>
      </c>
      <c r="P1943">
        <v>1.9806991928672184E-2</v>
      </c>
      <c r="Q1943">
        <v>2.1893689338081802E-3</v>
      </c>
      <c r="R1943">
        <v>1.4489669480455892E-3</v>
      </c>
      <c r="S1943">
        <v>0.15897220046148086</v>
      </c>
      <c r="T1943">
        <v>1.0723812519596341</v>
      </c>
      <c r="U1943">
        <v>2.3731984085821761E-2</v>
      </c>
      <c r="V1943">
        <v>0.20976891927282504</v>
      </c>
      <c r="W1943">
        <v>8.5381451569069983E-2</v>
      </c>
      <c r="X1943">
        <v>1.621387218329956E-2</v>
      </c>
      <c r="Y1943">
        <v>3.9436103807540422E-3</v>
      </c>
    </row>
    <row r="1944" spans="1:25" x14ac:dyDescent="0.25">
      <c r="A1944" s="827"/>
      <c r="B1944" s="1066">
        <v>1694</v>
      </c>
      <c r="C1944" s="831">
        <v>0.99623426435483509</v>
      </c>
      <c r="D1944" s="831">
        <v>0.98640668426719869</v>
      </c>
      <c r="E1944" s="831">
        <v>0.99031726955079236</v>
      </c>
      <c r="F1944" s="831">
        <v>1.0224189264804666</v>
      </c>
      <c r="G1944" s="831">
        <v>1.0364012800884197</v>
      </c>
      <c r="H1944" s="831">
        <v>1.0082380520526968</v>
      </c>
      <c r="I1944" s="831">
        <v>0.98646600240024751</v>
      </c>
      <c r="K1944">
        <v>1.7415568586255126</v>
      </c>
      <c r="L1944">
        <v>0</v>
      </c>
      <c r="M1944">
        <v>1.4399991033490929E-3</v>
      </c>
      <c r="N1944">
        <v>0.14075853206596817</v>
      </c>
      <c r="O1944">
        <v>1.8015021373104199E-2</v>
      </c>
      <c r="P1944">
        <v>1.971604865630611E-2</v>
      </c>
      <c r="Q1944">
        <v>2.1601514863672398E-3</v>
      </c>
      <c r="R1944">
        <v>1.4312134537008804E-3</v>
      </c>
      <c r="S1944">
        <v>0.15269102427929537</v>
      </c>
      <c r="T1944">
        <v>1.0722230695431043</v>
      </c>
      <c r="U1944">
        <v>2.3410686354385646E-2</v>
      </c>
      <c r="V1944">
        <v>0.20786160208466506</v>
      </c>
      <c r="W1944">
        <v>8.4698910080222983E-2</v>
      </c>
      <c r="X1944">
        <v>1.6135307130156172E-2</v>
      </c>
      <c r="Y1944">
        <v>3.8952912215855832E-3</v>
      </c>
    </row>
    <row r="1945" spans="1:25" x14ac:dyDescent="0.25">
      <c r="A1945" s="827"/>
      <c r="B1945" s="1066">
        <v>1695</v>
      </c>
      <c r="C1945" s="831">
        <v>0.98017832905122637</v>
      </c>
      <c r="D1945" s="831">
        <v>0.98121985980911408</v>
      </c>
      <c r="E1945" s="831">
        <v>1.0343454045742901</v>
      </c>
      <c r="F1945" s="831">
        <v>0.97284918617429494</v>
      </c>
      <c r="G1945" s="831">
        <v>0.99205632877221284</v>
      </c>
      <c r="H1945" s="831">
        <v>0.97824872177755728</v>
      </c>
      <c r="I1945" s="831">
        <v>1.0028801858247081</v>
      </c>
      <c r="K1945">
        <v>1.7508808835724758</v>
      </c>
      <c r="L1945">
        <v>0</v>
      </c>
      <c r="M1945">
        <v>1.2971772339804137E-3</v>
      </c>
      <c r="N1945">
        <v>0.14536677219670696</v>
      </c>
      <c r="O1945">
        <v>1.8353982128396527E-2</v>
      </c>
      <c r="P1945">
        <v>2.0395369916677959E-2</v>
      </c>
      <c r="Q1945">
        <v>2.2986921208259024E-3</v>
      </c>
      <c r="R1945">
        <v>1.2890238740944887E-3</v>
      </c>
      <c r="S1945">
        <v>0.15589930493311491</v>
      </c>
      <c r="T1945">
        <v>1.0683366305969886</v>
      </c>
      <c r="U1945">
        <v>2.3794168068251881E-2</v>
      </c>
      <c r="V1945">
        <v>0.2101528187101061</v>
      </c>
      <c r="W1945">
        <v>8.4897717672145448E-2</v>
      </c>
      <c r="X1945">
        <v>1.7885282530467134E-2</v>
      </c>
      <c r="Y1945">
        <v>3.5082980586793053E-3</v>
      </c>
    </row>
    <row r="1946" spans="1:25" x14ac:dyDescent="0.25">
      <c r="A1946" s="827"/>
      <c r="B1946" s="1066">
        <v>1696</v>
      </c>
      <c r="C1946" s="831">
        <v>0.96959243376884008</v>
      </c>
      <c r="D1946" s="831">
        <v>0.99016380699274165</v>
      </c>
      <c r="E1946" s="831">
        <v>0.99964140022923753</v>
      </c>
      <c r="F1946" s="831">
        <v>0.97509731705703984</v>
      </c>
      <c r="G1946" s="831">
        <v>0.97925232785827288</v>
      </c>
      <c r="H1946" s="831">
        <v>1.030125944633322</v>
      </c>
      <c r="I1946" s="831">
        <v>1.0188066678571936</v>
      </c>
      <c r="K1946">
        <v>1.769022563800579</v>
      </c>
      <c r="L1946">
        <v>0</v>
      </c>
      <c r="M1946">
        <v>1.4797641677569782E-3</v>
      </c>
      <c r="N1946">
        <v>0.14892366696621476</v>
      </c>
      <c r="O1946">
        <v>1.8478134926895963E-2</v>
      </c>
      <c r="P1946">
        <v>2.0034331885451988E-2</v>
      </c>
      <c r="Q1946">
        <v>2.2373064890622652E-3</v>
      </c>
      <c r="R1946">
        <v>1.4709249816867126E-3</v>
      </c>
      <c r="S1946">
        <v>0.16343244311586935</v>
      </c>
      <c r="T1946">
        <v>1.0713938967912016</v>
      </c>
      <c r="U1946">
        <v>2.4053949975298108E-2</v>
      </c>
      <c r="V1946">
        <v>0.21049653094987875</v>
      </c>
      <c r="W1946">
        <v>8.9040233850629674E-2</v>
      </c>
      <c r="X1946">
        <v>1.6937535126283203E-2</v>
      </c>
      <c r="Y1946">
        <v>4.0033729098613354E-3</v>
      </c>
    </row>
    <row r="1947" spans="1:25" x14ac:dyDescent="0.25">
      <c r="A1947" s="827"/>
      <c r="B1947" s="1066">
        <v>1697</v>
      </c>
      <c r="C1947" s="831">
        <v>1.0080402731698321</v>
      </c>
      <c r="D1947" s="831">
        <v>0.95631188786915666</v>
      </c>
      <c r="E1947" s="831">
        <v>0.98644331712837396</v>
      </c>
      <c r="F1947" s="831">
        <v>1.0105419036207699</v>
      </c>
      <c r="G1947" s="831">
        <v>0.99030985294323548</v>
      </c>
      <c r="H1947" s="831">
        <v>0.97532186335390803</v>
      </c>
      <c r="I1947" s="831">
        <v>1.029828856865066</v>
      </c>
      <c r="K1947">
        <v>1.7398391350642364</v>
      </c>
      <c r="L1947">
        <v>0</v>
      </c>
      <c r="M1947">
        <v>1.4075922726168352E-3</v>
      </c>
      <c r="N1947">
        <v>0.13591509753735634</v>
      </c>
      <c r="O1947">
        <v>1.8056549570266676E-2</v>
      </c>
      <c r="P1947">
        <v>1.9741335591651071E-2</v>
      </c>
      <c r="Q1947">
        <v>2.1511061159835026E-3</v>
      </c>
      <c r="R1947">
        <v>1.3987372380198683E-3</v>
      </c>
      <c r="S1947">
        <v>0.15711999582947697</v>
      </c>
      <c r="T1947">
        <v>1.0725685341884739</v>
      </c>
      <c r="U1947">
        <v>2.3136504085262726E-2</v>
      </c>
      <c r="V1947">
        <v>0.20949081818834925</v>
      </c>
      <c r="W1947">
        <v>8.200330938545107E-2</v>
      </c>
      <c r="X1947">
        <v>1.5857837938277823E-2</v>
      </c>
      <c r="Y1947">
        <v>3.8069016682834912E-3</v>
      </c>
    </row>
    <row r="1948" spans="1:25" x14ac:dyDescent="0.25">
      <c r="A1948" s="827"/>
      <c r="B1948" s="1066">
        <v>1698</v>
      </c>
      <c r="C1948" s="831">
        <v>0.97799221653788626</v>
      </c>
      <c r="D1948" s="831">
        <v>0.99512945154421717</v>
      </c>
      <c r="E1948" s="831">
        <v>1.0449205548054548</v>
      </c>
      <c r="F1948" s="831">
        <v>1.037562321997711</v>
      </c>
      <c r="G1948" s="831">
        <v>0.9664661895002431</v>
      </c>
      <c r="H1948" s="831">
        <v>1.0154142504089552</v>
      </c>
      <c r="I1948" s="831">
        <v>0.97448627554581702</v>
      </c>
      <c r="K1948">
        <v>1.7570097714314956</v>
      </c>
      <c r="L1948">
        <v>0</v>
      </c>
      <c r="M1948">
        <v>1.3111830667367622E-3</v>
      </c>
      <c r="N1948">
        <v>0.15187045902793345</v>
      </c>
      <c r="O1948">
        <v>1.8277930236428368E-2</v>
      </c>
      <c r="P1948">
        <v>2.0491333094016167E-2</v>
      </c>
      <c r="Q1948">
        <v>2.3157875880910725E-3</v>
      </c>
      <c r="R1948">
        <v>1.3032341516100363E-3</v>
      </c>
      <c r="S1948">
        <v>0.15360327721627509</v>
      </c>
      <c r="T1948">
        <v>1.0674140852803535</v>
      </c>
      <c r="U1948">
        <v>2.38473553305623E-2</v>
      </c>
      <c r="V1948">
        <v>0.20905970086247647</v>
      </c>
      <c r="W1948">
        <v>8.8073840615458365E-2</v>
      </c>
      <c r="X1948">
        <v>1.8516977345365213E-2</v>
      </c>
      <c r="Y1948">
        <v>3.5469737496599011E-3</v>
      </c>
    </row>
    <row r="1949" spans="1:25" x14ac:dyDescent="0.25">
      <c r="A1949" s="827"/>
      <c r="B1949" s="1066">
        <v>1699</v>
      </c>
      <c r="C1949" s="831">
        <v>1.0043161793921269</v>
      </c>
      <c r="D1949" s="831">
        <v>1.020109206937402</v>
      </c>
      <c r="E1949" s="831">
        <v>0.98144035402750252</v>
      </c>
      <c r="F1949" s="831">
        <v>0.99148368359447236</v>
      </c>
      <c r="G1949" s="831">
        <v>1.0013638244489906</v>
      </c>
      <c r="H1949" s="831">
        <v>0.99277360947413817</v>
      </c>
      <c r="I1949" s="831">
        <v>1.0278337958155628</v>
      </c>
      <c r="K1949">
        <v>1.7286441143256195</v>
      </c>
      <c r="L1949">
        <v>0</v>
      </c>
      <c r="M1949">
        <v>1.4113734808381166E-3</v>
      </c>
      <c r="N1949">
        <v>0.13418347067978623</v>
      </c>
      <c r="O1949">
        <v>1.7600262646676981E-2</v>
      </c>
      <c r="P1949">
        <v>1.9563513799066186E-2</v>
      </c>
      <c r="Q1949">
        <v>2.0972828779659038E-3</v>
      </c>
      <c r="R1949">
        <v>1.402604417955973E-3</v>
      </c>
      <c r="S1949">
        <v>0.1545021202378388</v>
      </c>
      <c r="T1949">
        <v>1.0730155153596586</v>
      </c>
      <c r="U1949">
        <v>2.322229630156844E-2</v>
      </c>
      <c r="V1949">
        <v>0.20391009437638427</v>
      </c>
      <c r="W1949">
        <v>8.123930364262695E-2</v>
      </c>
      <c r="X1949">
        <v>1.5501596609676831E-2</v>
      </c>
      <c r="Y1949">
        <v>3.8174268572540439E-3</v>
      </c>
    </row>
    <row r="1950" spans="1:25" x14ac:dyDescent="0.25">
      <c r="A1950" s="827"/>
      <c r="B1950" s="1066">
        <v>1700</v>
      </c>
      <c r="C1950" s="831">
        <v>0.96301970225941946</v>
      </c>
      <c r="D1950" s="831">
        <v>0.99317840756002196</v>
      </c>
      <c r="E1950" s="831">
        <v>1.0027123536933724</v>
      </c>
      <c r="F1950" s="831">
        <v>0.98359822002758879</v>
      </c>
      <c r="G1950" s="831">
        <v>0.98178347147088207</v>
      </c>
      <c r="H1950" s="831">
        <v>1.0096697652660849</v>
      </c>
      <c r="I1950" s="831">
        <v>0.99836270485118039</v>
      </c>
      <c r="K1950">
        <v>1.7625973918591238</v>
      </c>
      <c r="L1950">
        <v>0</v>
      </c>
      <c r="M1950">
        <v>1.4488667788183579E-3</v>
      </c>
      <c r="N1950">
        <v>0.14719567510774723</v>
      </c>
      <c r="O1950">
        <v>1.8578625272163328E-2</v>
      </c>
      <c r="P1950">
        <v>2.00316525935808E-2</v>
      </c>
      <c r="Q1950">
        <v>2.2569885724698464E-3</v>
      </c>
      <c r="R1950">
        <v>1.440034612622521E-3</v>
      </c>
      <c r="S1950">
        <v>0.15951504846542214</v>
      </c>
      <c r="T1950">
        <v>1.0711215221920305</v>
      </c>
      <c r="U1950">
        <v>2.4218121232186928E-2</v>
      </c>
      <c r="V1950">
        <v>0.21096822530876452</v>
      </c>
      <c r="W1950">
        <v>8.7822500590012509E-2</v>
      </c>
      <c r="X1950">
        <v>1.6978565182664839E-2</v>
      </c>
      <c r="Y1950">
        <v>3.9192995082760326E-3</v>
      </c>
    </row>
    <row r="1951" spans="1:25" x14ac:dyDescent="0.25">
      <c r="A1951" s="827"/>
      <c r="B1951" s="1066">
        <v>1701</v>
      </c>
      <c r="C1951" s="831">
        <v>1.0080780778740908</v>
      </c>
      <c r="D1951" s="831">
        <v>1.0267299462256261</v>
      </c>
      <c r="E1951" s="831">
        <v>0.99693292667074485</v>
      </c>
      <c r="F1951" s="831">
        <v>0.99732289675723229</v>
      </c>
      <c r="G1951" s="831">
        <v>1.0113241825794901</v>
      </c>
      <c r="H1951" s="831">
        <v>0.99225829154053147</v>
      </c>
      <c r="I1951" s="831">
        <v>1.0386546057918213</v>
      </c>
      <c r="K1951">
        <v>1.7282311428294241</v>
      </c>
      <c r="L1951">
        <v>0</v>
      </c>
      <c r="M1951">
        <v>1.3563740187014692E-3</v>
      </c>
      <c r="N1951">
        <v>0.13532657726743394</v>
      </c>
      <c r="O1951">
        <v>1.7483414720608388E-2</v>
      </c>
      <c r="P1951">
        <v>1.9768138340918312E-2</v>
      </c>
      <c r="Q1951">
        <v>2.1173638023199264E-3</v>
      </c>
      <c r="R1951">
        <v>1.347937908095535E-3</v>
      </c>
      <c r="S1951">
        <v>0.15509244659719523</v>
      </c>
      <c r="T1951">
        <v>1.0716344170565768</v>
      </c>
      <c r="U1951">
        <v>2.3135636425590626E-2</v>
      </c>
      <c r="V1951">
        <v>0.20294099980113781</v>
      </c>
      <c r="W1951">
        <v>8.1060912330010448E-2</v>
      </c>
      <c r="X1951">
        <v>1.6011029960013745E-2</v>
      </c>
      <c r="Y1951">
        <v>3.668642638224064E-3</v>
      </c>
    </row>
    <row r="1952" spans="1:25" x14ac:dyDescent="0.25">
      <c r="A1952" s="827"/>
      <c r="B1952" s="1066">
        <v>1702</v>
      </c>
      <c r="C1952" s="831">
        <v>0.99807093850481765</v>
      </c>
      <c r="D1952" s="831">
        <v>0.96662119562346471</v>
      </c>
      <c r="E1952" s="831">
        <v>1.0166942917678377</v>
      </c>
      <c r="F1952" s="831">
        <v>0.99330367614885851</v>
      </c>
      <c r="G1952" s="831">
        <v>0.98757982659768528</v>
      </c>
      <c r="H1952" s="831">
        <v>0.97274419068787943</v>
      </c>
      <c r="I1952" s="831">
        <v>0.99031260203244664</v>
      </c>
      <c r="K1952">
        <v>1.739051631007664</v>
      </c>
      <c r="L1952">
        <v>0</v>
      </c>
      <c r="M1952">
        <v>1.3238944260653114E-3</v>
      </c>
      <c r="N1952">
        <v>0.14044392430664246</v>
      </c>
      <c r="O1952">
        <v>1.8148136662123504E-2</v>
      </c>
      <c r="P1952">
        <v>2.0084277481564813E-2</v>
      </c>
      <c r="Q1952">
        <v>2.2307121040963458E-3</v>
      </c>
      <c r="R1952">
        <v>1.3155364056017197E-3</v>
      </c>
      <c r="S1952">
        <v>0.15173354522211963</v>
      </c>
      <c r="T1952">
        <v>1.0698859159057166</v>
      </c>
      <c r="U1952">
        <v>2.3367605446204063E-2</v>
      </c>
      <c r="V1952">
        <v>0.20956878720337557</v>
      </c>
      <c r="W1952">
        <v>8.3001663918646607E-2</v>
      </c>
      <c r="X1952">
        <v>1.7014964348048965E-2</v>
      </c>
      <c r="Y1952">
        <v>3.5804564295883251E-3</v>
      </c>
    </row>
    <row r="1953" spans="1:25" x14ac:dyDescent="0.25">
      <c r="A1953" s="827"/>
      <c r="B1953" s="1066">
        <v>1703</v>
      </c>
      <c r="C1953" s="831">
        <v>1.0226287285962876</v>
      </c>
      <c r="D1953" s="831">
        <v>0.95755374453040687</v>
      </c>
      <c r="E1953" s="831">
        <v>1.0093907433739406</v>
      </c>
      <c r="F1953" s="831">
        <v>1.0017026561302809</v>
      </c>
      <c r="G1953" s="831">
        <v>1.0142928443719825</v>
      </c>
      <c r="H1953" s="831">
        <v>1.0191193140644486</v>
      </c>
      <c r="I1953" s="831">
        <v>0.99122561068879189</v>
      </c>
      <c r="K1953">
        <v>1.7419517439094494</v>
      </c>
      <c r="L1953">
        <v>0</v>
      </c>
      <c r="M1953">
        <v>1.3806283170207617E-3</v>
      </c>
      <c r="N1953">
        <v>0.1432172734331881</v>
      </c>
      <c r="O1953">
        <v>1.7788446816442382E-2</v>
      </c>
      <c r="P1953">
        <v>1.9958062937428002E-2</v>
      </c>
      <c r="Q1953">
        <v>2.1689103762135543E-3</v>
      </c>
      <c r="R1953">
        <v>1.3723152727540696E-3</v>
      </c>
      <c r="S1953">
        <v>0.1521003927975603</v>
      </c>
      <c r="T1953">
        <v>1.0705304199889563</v>
      </c>
      <c r="U1953">
        <v>2.2806446998919004E-2</v>
      </c>
      <c r="V1953">
        <v>0.20778745163991155</v>
      </c>
      <c r="W1953">
        <v>8.5060894378237037E-2</v>
      </c>
      <c r="X1953">
        <v>1.6806767798031634E-2</v>
      </c>
      <c r="Y1953">
        <v>3.7349897888284936E-3</v>
      </c>
    </row>
    <row r="1954" spans="1:25" x14ac:dyDescent="0.25">
      <c r="A1954" s="827"/>
      <c r="B1954" s="1066">
        <v>1704</v>
      </c>
      <c r="C1954" s="831">
        <v>1.01775566895314</v>
      </c>
      <c r="D1954" s="831">
        <v>1.0287296488898152</v>
      </c>
      <c r="E1954" s="831">
        <v>0.99970673507396757</v>
      </c>
      <c r="F1954" s="831">
        <v>1.0140223944132711</v>
      </c>
      <c r="G1954" s="831">
        <v>0.97388265355444992</v>
      </c>
      <c r="H1954" s="831">
        <v>1.0402572902564617</v>
      </c>
      <c r="I1954" s="831">
        <v>1.0046640320107103</v>
      </c>
      <c r="K1954">
        <v>1.732123773894179</v>
      </c>
      <c r="L1954">
        <v>0</v>
      </c>
      <c r="M1954">
        <v>1.3990355970847205E-3</v>
      </c>
      <c r="N1954">
        <v>0.14083339775598991</v>
      </c>
      <c r="O1954">
        <v>1.7301962206250646E-2</v>
      </c>
      <c r="P1954">
        <v>1.974236683560161E-2</v>
      </c>
      <c r="Q1954">
        <v>2.1015748738588435E-3</v>
      </c>
      <c r="R1954">
        <v>1.3907343491959304E-3</v>
      </c>
      <c r="S1954">
        <v>0.15182905238114991</v>
      </c>
      <c r="T1954">
        <v>1.0713880982877171</v>
      </c>
      <c r="U1954">
        <v>2.2915645286744189E-2</v>
      </c>
      <c r="V1954">
        <v>0.20177507316888402</v>
      </c>
      <c r="W1954">
        <v>8.4199363471703204E-2</v>
      </c>
      <c r="X1954">
        <v>1.6260420431109281E-2</v>
      </c>
      <c r="Y1954">
        <v>3.7851204430563224E-3</v>
      </c>
    </row>
    <row r="1955" spans="1:25" x14ac:dyDescent="0.25">
      <c r="A1955" s="827"/>
      <c r="B1955" s="1066">
        <v>1705</v>
      </c>
      <c r="C1955" s="831">
        <v>0.98787461786946473</v>
      </c>
      <c r="D1955" s="831">
        <v>0.97215535695494359</v>
      </c>
      <c r="E1955" s="831">
        <v>0.98337012445655647</v>
      </c>
      <c r="F1955" s="831">
        <v>0.97286034458028137</v>
      </c>
      <c r="G1955" s="831">
        <v>1.0162565260644956</v>
      </c>
      <c r="H1955" s="831">
        <v>0.9869806492725387</v>
      </c>
      <c r="I1955" s="831">
        <v>0.96870657901777057</v>
      </c>
      <c r="K1955">
        <v>1.739984558768078</v>
      </c>
      <c r="L1955">
        <v>0</v>
      </c>
      <c r="M1955">
        <v>1.4520279161995171E-3</v>
      </c>
      <c r="N1955">
        <v>0.13887932691475657</v>
      </c>
      <c r="O1955">
        <v>1.8287924526905645E-2</v>
      </c>
      <c r="P1955">
        <v>1.9626964616660254E-2</v>
      </c>
      <c r="Q1955">
        <v>2.1748785863758115E-3</v>
      </c>
      <c r="R1955">
        <v>1.4429889159010866E-3</v>
      </c>
      <c r="S1955">
        <v>0.15061425273022361</v>
      </c>
      <c r="T1955">
        <v>1.0728429918068534</v>
      </c>
      <c r="U1955">
        <v>2.3608793541636447E-2</v>
      </c>
      <c r="V1955">
        <v>0.21016595558847279</v>
      </c>
      <c r="W1955">
        <v>8.3970011687641663E-2</v>
      </c>
      <c r="X1955">
        <v>1.5895157620933551E-2</v>
      </c>
      <c r="Y1955">
        <v>3.9273401479144729E-3</v>
      </c>
    </row>
    <row r="1956" spans="1:25" x14ac:dyDescent="0.25">
      <c r="A1956" s="827"/>
      <c r="B1956" s="1066">
        <v>1706</v>
      </c>
      <c r="C1956" s="831">
        <v>1.0223410393586145</v>
      </c>
      <c r="D1956" s="831">
        <v>0.9910776633713857</v>
      </c>
      <c r="E1956" s="831">
        <v>1.0208952051283631</v>
      </c>
      <c r="F1956" s="831">
        <v>1.0017491456566368</v>
      </c>
      <c r="G1956" s="831">
        <v>1.0205260290021463</v>
      </c>
      <c r="H1956" s="831">
        <v>1.048807772486736</v>
      </c>
      <c r="I1956" s="831">
        <v>1.0338902991885555</v>
      </c>
      <c r="K1956">
        <v>1.7497825150358066</v>
      </c>
      <c r="L1956">
        <v>0</v>
      </c>
      <c r="M1956">
        <v>1.3656543857872908E-3</v>
      </c>
      <c r="N1956">
        <v>0.14684302445067687</v>
      </c>
      <c r="O1956">
        <v>1.7517409360658483E-2</v>
      </c>
      <c r="P1956">
        <v>2.0160293721861514E-2</v>
      </c>
      <c r="Q1956">
        <v>2.1666862260416291E-3</v>
      </c>
      <c r="R1956">
        <v>1.3576415211793982E-3</v>
      </c>
      <c r="S1956">
        <v>0.15859620374570069</v>
      </c>
      <c r="T1956">
        <v>1.0695161196331766</v>
      </c>
      <c r="U1956">
        <v>2.2812864788187507E-2</v>
      </c>
      <c r="V1956">
        <v>0.20464047022402776</v>
      </c>
      <c r="W1956">
        <v>8.653763938041921E-2</v>
      </c>
      <c r="X1956">
        <v>1.7304763695421031E-2</v>
      </c>
      <c r="Y1956">
        <v>3.6950526742431464E-3</v>
      </c>
    </row>
    <row r="1957" spans="1:25" x14ac:dyDescent="0.25">
      <c r="A1957" s="827"/>
      <c r="B1957" s="1066">
        <v>1707</v>
      </c>
      <c r="C1957" s="831">
        <v>0.99301463057810146</v>
      </c>
      <c r="D1957" s="831">
        <v>1.0169091238796664</v>
      </c>
      <c r="E1957" s="831">
        <v>0.98575180031236509</v>
      </c>
      <c r="F1957" s="831">
        <v>1.00504688753362</v>
      </c>
      <c r="G1957" s="831">
        <v>1.0230333463020411</v>
      </c>
      <c r="H1957" s="831">
        <v>1.0261176769042828</v>
      </c>
      <c r="I1957" s="831">
        <v>0.98613123628284349</v>
      </c>
      <c r="K1957">
        <v>1.7397553259702923</v>
      </c>
      <c r="L1957">
        <v>0</v>
      </c>
      <c r="M1957">
        <v>1.4641536996593382E-3</v>
      </c>
      <c r="N1957">
        <v>0.14111236577011227</v>
      </c>
      <c r="O1957">
        <v>1.782586901693297E-2</v>
      </c>
      <c r="P1957">
        <v>1.9618548128621731E-2</v>
      </c>
      <c r="Q1957">
        <v>2.1329326670675051E-3</v>
      </c>
      <c r="R1957">
        <v>1.4553545466220699E-3</v>
      </c>
      <c r="S1957">
        <v>0.15247484385258614</v>
      </c>
      <c r="T1957">
        <v>1.0726302605006062</v>
      </c>
      <c r="U1957">
        <v>2.348659040876926E-2</v>
      </c>
      <c r="V1957">
        <v>0.20539460346177754</v>
      </c>
      <c r="W1957">
        <v>8.517972864547918E-2</v>
      </c>
      <c r="X1957">
        <v>1.5947387352967274E-2</v>
      </c>
      <c r="Y1957">
        <v>3.9609953184079182E-3</v>
      </c>
    </row>
    <row r="1958" spans="1:25" x14ac:dyDescent="0.25">
      <c r="A1958" s="827"/>
      <c r="B1958" s="1066">
        <v>1708</v>
      </c>
      <c r="C1958" s="831">
        <v>1.0071011180968745</v>
      </c>
      <c r="D1958" s="831">
        <v>1.0065983842158845</v>
      </c>
      <c r="E1958" s="831">
        <v>0.99313013318222043</v>
      </c>
      <c r="F1958" s="831">
        <v>1.0096146017650993</v>
      </c>
      <c r="G1958" s="831">
        <v>0.9925746593314615</v>
      </c>
      <c r="H1958" s="831">
        <v>1.0090078771104778</v>
      </c>
      <c r="I1958" s="831">
        <v>0.96871299720275683</v>
      </c>
      <c r="K1958">
        <v>1.7279393362631417</v>
      </c>
      <c r="L1958">
        <v>0</v>
      </c>
      <c r="M1958">
        <v>1.4042012589497242E-3</v>
      </c>
      <c r="N1958">
        <v>0.13846575857876525</v>
      </c>
      <c r="O1958">
        <v>1.7657747944818E-2</v>
      </c>
      <c r="P1958">
        <v>1.9634225881893858E-2</v>
      </c>
      <c r="Q1958">
        <v>2.1268705802451309E-3</v>
      </c>
      <c r="R1958">
        <v>1.3956263831800991E-3</v>
      </c>
      <c r="S1958">
        <v>0.14713469172620747</v>
      </c>
      <c r="T1958">
        <v>1.0719725830409033</v>
      </c>
      <c r="U1958">
        <v>2.3158079639883564E-2</v>
      </c>
      <c r="V1958">
        <v>0.20482043872791514</v>
      </c>
      <c r="W1958">
        <v>8.3158137803791624E-2</v>
      </c>
      <c r="X1958">
        <v>1.6020942267583403E-2</v>
      </c>
      <c r="Y1958">
        <v>3.7984349469026599E-3</v>
      </c>
    </row>
    <row r="1959" spans="1:25" x14ac:dyDescent="0.25">
      <c r="A1959" s="827"/>
      <c r="B1959" s="1066">
        <v>1709</v>
      </c>
      <c r="C1959" s="831">
        <v>1.0074307682396413</v>
      </c>
      <c r="D1959" s="831">
        <v>1.0274227820664492</v>
      </c>
      <c r="E1959" s="831">
        <v>1.0134159025566942</v>
      </c>
      <c r="F1959" s="831">
        <v>0.97508166932401164</v>
      </c>
      <c r="G1959" s="831">
        <v>0.9820824421317379</v>
      </c>
      <c r="H1959" s="831">
        <v>0.97349414342606144</v>
      </c>
      <c r="I1959" s="831">
        <v>1.0075548937394116</v>
      </c>
      <c r="K1959">
        <v>1.7199313808821219</v>
      </c>
      <c r="L1959">
        <v>0</v>
      </c>
      <c r="M1959">
        <v>1.2857237071721159E-3</v>
      </c>
      <c r="N1959">
        <v>0.13500846352056434</v>
      </c>
      <c r="O1959">
        <v>1.7489320368353101E-2</v>
      </c>
      <c r="P1959">
        <v>1.9910235459777346E-2</v>
      </c>
      <c r="Q1959">
        <v>2.1534800280182606E-3</v>
      </c>
      <c r="R1959">
        <v>1.2775724353124142E-3</v>
      </c>
      <c r="S1959">
        <v>0.14917246136146417</v>
      </c>
      <c r="T1959">
        <v>1.0701749688065272</v>
      </c>
      <c r="U1959">
        <v>2.3150501884170522E-2</v>
      </c>
      <c r="V1959">
        <v>0.20294501993737643</v>
      </c>
      <c r="W1959">
        <v>7.9966646596951546E-2</v>
      </c>
      <c r="X1959">
        <v>1.649130317349826E-2</v>
      </c>
      <c r="Y1959">
        <v>3.4771310172802762E-3</v>
      </c>
    </row>
    <row r="1960" spans="1:25" x14ac:dyDescent="0.25">
      <c r="A1960" s="827"/>
      <c r="B1960" s="1066">
        <v>1710</v>
      </c>
      <c r="C1960" s="831">
        <v>0.99259022980173439</v>
      </c>
      <c r="D1960" s="831">
        <v>1.0213063617065687</v>
      </c>
      <c r="E1960" s="831">
        <v>1.0030775160659653</v>
      </c>
      <c r="F1960" s="831">
        <v>0.98185911835716633</v>
      </c>
      <c r="G1960" s="831">
        <v>1.0166565532808329</v>
      </c>
      <c r="H1960" s="831">
        <v>1.011729274831374</v>
      </c>
      <c r="I1960" s="831">
        <v>1.0132065872619707</v>
      </c>
      <c r="K1960">
        <v>1.7408554837990173</v>
      </c>
      <c r="L1960">
        <v>0</v>
      </c>
      <c r="M1960">
        <v>1.3898286601664912E-3</v>
      </c>
      <c r="N1960">
        <v>0.14135804420665593</v>
      </c>
      <c r="O1960">
        <v>1.7798747427223639E-2</v>
      </c>
      <c r="P1960">
        <v>1.9889562881404119E-2</v>
      </c>
      <c r="Q1960">
        <v>2.1679779221921449E-3</v>
      </c>
      <c r="R1960">
        <v>1.3813544457476081E-3</v>
      </c>
      <c r="S1960">
        <v>0.15540366220863241</v>
      </c>
      <c r="T1960">
        <v>1.0710891582335635</v>
      </c>
      <c r="U1960">
        <v>2.3496632545901393E-2</v>
      </c>
      <c r="V1960">
        <v>0.20504806225398595</v>
      </c>
      <c r="W1960">
        <v>8.4318521616982375E-2</v>
      </c>
      <c r="X1960">
        <v>1.6533997278939339E-2</v>
      </c>
      <c r="Y1960">
        <v>3.7595914379543304E-3</v>
      </c>
    </row>
    <row r="1961" spans="1:25" x14ac:dyDescent="0.25">
      <c r="A1961" s="827"/>
      <c r="B1961" s="1066">
        <v>1711</v>
      </c>
      <c r="C1961" s="831">
        <v>1.0326859408943314</v>
      </c>
      <c r="D1961" s="831">
        <v>1.0080512813192897</v>
      </c>
      <c r="E1961" s="831">
        <v>0.98432501172894515</v>
      </c>
      <c r="F1961" s="831">
        <v>1.0371890706220519</v>
      </c>
      <c r="G1961" s="831">
        <v>1.0012512315283284</v>
      </c>
      <c r="H1961" s="831">
        <v>0.98394544562138631</v>
      </c>
      <c r="I1961" s="831">
        <v>0.99441864646403266</v>
      </c>
      <c r="K1961">
        <v>1.7097819006693447</v>
      </c>
      <c r="L1961">
        <v>0</v>
      </c>
      <c r="M1961">
        <v>1.3594599523785529E-3</v>
      </c>
      <c r="N1961">
        <v>0.13040801286676867</v>
      </c>
      <c r="O1961">
        <v>1.7209039627281032E-2</v>
      </c>
      <c r="P1961">
        <v>1.9447643320676385E-2</v>
      </c>
      <c r="Q1961">
        <v>2.0546867212015455E-3</v>
      </c>
      <c r="R1961">
        <v>1.3509458421733409E-3</v>
      </c>
      <c r="S1961">
        <v>0.14548270112300576</v>
      </c>
      <c r="T1961">
        <v>1.072757675644624</v>
      </c>
      <c r="U1961">
        <v>2.2584337575183099E-2</v>
      </c>
      <c r="V1961">
        <v>0.20206008191651015</v>
      </c>
      <c r="W1961">
        <v>7.8795951807283146E-2</v>
      </c>
      <c r="X1961">
        <v>1.5313454933796634E-2</v>
      </c>
      <c r="Y1961">
        <v>3.6768292432186492E-3</v>
      </c>
    </row>
    <row r="1962" spans="1:25" x14ac:dyDescent="0.25">
      <c r="A1962" s="827"/>
      <c r="B1962" s="1066">
        <v>1712</v>
      </c>
      <c r="C1962" s="831">
        <v>1.0180881547274463</v>
      </c>
      <c r="D1962" s="831">
        <v>1.0155351669728097</v>
      </c>
      <c r="E1962" s="831">
        <v>1.0227087086274966</v>
      </c>
      <c r="F1962" s="831">
        <v>1.0249885925104754</v>
      </c>
      <c r="G1962" s="831">
        <v>1.0254596489388976</v>
      </c>
      <c r="H1962" s="831">
        <v>1.0039303106107162</v>
      </c>
      <c r="I1962" s="831">
        <v>0.98342536617083209</v>
      </c>
      <c r="K1962">
        <v>1.7241319026150508</v>
      </c>
      <c r="L1962">
        <v>0</v>
      </c>
      <c r="M1962">
        <v>1.2933207201243399E-3</v>
      </c>
      <c r="N1962">
        <v>0.1398122369220767</v>
      </c>
      <c r="O1962">
        <v>1.7397483825177158E-2</v>
      </c>
      <c r="P1962">
        <v>1.9999028523505047E-2</v>
      </c>
      <c r="Q1962">
        <v>2.1600369158425625E-3</v>
      </c>
      <c r="R1962">
        <v>1.2853773168392413E-3</v>
      </c>
      <c r="S1962">
        <v>0.14686696826571649</v>
      </c>
      <c r="T1962">
        <v>1.0693566878896761</v>
      </c>
      <c r="U1962">
        <v>2.2908161528062222E-2</v>
      </c>
      <c r="V1962">
        <v>0.20288437659869582</v>
      </c>
      <c r="W1962">
        <v>8.2293611160477995E-2</v>
      </c>
      <c r="X1962">
        <v>1.6962881057189294E-2</v>
      </c>
      <c r="Y1962">
        <v>3.4983733319177974E-3</v>
      </c>
    </row>
    <row r="1963" spans="1:25" x14ac:dyDescent="0.25">
      <c r="A1963" s="827"/>
      <c r="B1963" s="1066">
        <v>1713</v>
      </c>
      <c r="C1963" s="831">
        <v>1.0043152650576463</v>
      </c>
      <c r="D1963" s="831">
        <v>0.99072941215190613</v>
      </c>
      <c r="E1963" s="831">
        <v>1.0361997858108927</v>
      </c>
      <c r="F1963" s="831">
        <v>0.99879593377288067</v>
      </c>
      <c r="G1963" s="831">
        <v>1.009740946731807</v>
      </c>
      <c r="H1963" s="831">
        <v>0.99921204525194407</v>
      </c>
      <c r="I1963" s="831">
        <v>1.0051427431100342</v>
      </c>
      <c r="K1963">
        <v>1.7418856296520926</v>
      </c>
      <c r="L1963">
        <v>0</v>
      </c>
      <c r="M1963">
        <v>1.2824465741446396E-3</v>
      </c>
      <c r="N1963">
        <v>0.14456381667266499</v>
      </c>
      <c r="O1963">
        <v>1.783465947453599E-2</v>
      </c>
      <c r="P1963">
        <v>2.0327294390514214E-2</v>
      </c>
      <c r="Q1963">
        <v>2.2395213915286324E-3</v>
      </c>
      <c r="R1963">
        <v>1.2745486669920186E-3</v>
      </c>
      <c r="S1963">
        <v>0.1533984538286717</v>
      </c>
      <c r="T1963">
        <v>1.0681745526544915</v>
      </c>
      <c r="U1963">
        <v>2.3222317443282615E-2</v>
      </c>
      <c r="V1963">
        <v>0.2065768666949267</v>
      </c>
      <c r="W1963">
        <v>8.4324303487147478E-2</v>
      </c>
      <c r="X1963">
        <v>1.7762840204782637E-2</v>
      </c>
      <c r="Y1963">
        <v>3.4689013166971207E-3</v>
      </c>
    </row>
    <row r="1964" spans="1:25" x14ac:dyDescent="0.25">
      <c r="A1964" s="827"/>
      <c r="B1964" s="1066">
        <v>1714</v>
      </c>
      <c r="C1964" s="831">
        <v>0.99962200689827918</v>
      </c>
      <c r="D1964" s="831">
        <v>1.0306679880083061</v>
      </c>
      <c r="E1964" s="831">
        <v>0.9580776181214985</v>
      </c>
      <c r="F1964" s="831">
        <v>1.0360980255298657</v>
      </c>
      <c r="G1964" s="831">
        <v>0.96150944628217416</v>
      </c>
      <c r="H1964" s="831">
        <v>0.99565209418087097</v>
      </c>
      <c r="I1964" s="831">
        <v>0.98197979763523113</v>
      </c>
      <c r="K1964">
        <v>1.7195131668274788</v>
      </c>
      <c r="L1964">
        <v>0</v>
      </c>
      <c r="M1964">
        <v>1.4865578757070248E-3</v>
      </c>
      <c r="N1964">
        <v>0.13140362035642036</v>
      </c>
      <c r="O1964">
        <v>1.760086603861017E-2</v>
      </c>
      <c r="P1964">
        <v>1.9151858911908771E-2</v>
      </c>
      <c r="Q1964">
        <v>2.0495656247120808E-3</v>
      </c>
      <c r="R1964">
        <v>1.477340757262772E-3</v>
      </c>
      <c r="S1964">
        <v>0.14787223397982546</v>
      </c>
      <c r="T1964">
        <v>1.0751152538193025</v>
      </c>
      <c r="U1964">
        <v>2.3331346986517978E-2</v>
      </c>
      <c r="V1964">
        <v>0.20347910530420488</v>
      </c>
      <c r="W1964">
        <v>8.0865990982215377E-2</v>
      </c>
      <c r="X1964">
        <v>1.4631707406183737E-2</v>
      </c>
      <c r="Y1964">
        <v>4.0208345360195187E-3</v>
      </c>
    </row>
    <row r="1965" spans="1:25" x14ac:dyDescent="0.25">
      <c r="A1965" s="827"/>
      <c r="B1965" s="1066">
        <v>1715</v>
      </c>
      <c r="C1965" s="831">
        <v>1.0381307647097242</v>
      </c>
      <c r="D1965" s="831">
        <v>1.0086088094188554</v>
      </c>
      <c r="E1965" s="831">
        <v>0.9761179626009362</v>
      </c>
      <c r="F1965" s="831">
        <v>0.99244910078859028</v>
      </c>
      <c r="G1965" s="831">
        <v>1.0108492757082159</v>
      </c>
      <c r="H1965" s="831">
        <v>0.96744400269444419</v>
      </c>
      <c r="I1965" s="831">
        <v>0.98966090113242045</v>
      </c>
      <c r="K1965">
        <v>1.700537113933275</v>
      </c>
      <c r="L1965">
        <v>0</v>
      </c>
      <c r="M1965">
        <v>1.3524204922543944E-3</v>
      </c>
      <c r="N1965">
        <v>0.12644383499008086</v>
      </c>
      <c r="O1965">
        <v>1.7114498313903728E-2</v>
      </c>
      <c r="P1965">
        <v>1.9292019308640312E-2</v>
      </c>
      <c r="Q1965">
        <v>2.0265180159115782E-3</v>
      </c>
      <c r="R1965">
        <v>1.3438056118766687E-3</v>
      </c>
      <c r="S1965">
        <v>0.14286935324075906</v>
      </c>
      <c r="T1965">
        <v>1.0734920680858624</v>
      </c>
      <c r="U1965">
        <v>2.2465886467418639E-2</v>
      </c>
      <c r="V1965">
        <v>0.20146688687281158</v>
      </c>
      <c r="W1965">
        <v>7.6836951284704733E-2</v>
      </c>
      <c r="X1965">
        <v>1.4880316343433977E-2</v>
      </c>
      <c r="Y1965">
        <v>3.6573958901273923E-3</v>
      </c>
    </row>
    <row r="1966" spans="1:25" x14ac:dyDescent="0.25">
      <c r="A1966" s="827"/>
      <c r="B1966" s="1066">
        <v>1716</v>
      </c>
      <c r="C1966" s="831">
        <v>0.99211039493646491</v>
      </c>
      <c r="D1966" s="831">
        <v>0.9950559374193384</v>
      </c>
      <c r="E1966" s="831">
        <v>1.0302791155076856</v>
      </c>
      <c r="F1966" s="831">
        <v>1.0102631596354137</v>
      </c>
      <c r="G1966" s="831">
        <v>1.0134382954104508</v>
      </c>
      <c r="H1966" s="831">
        <v>1.0215863579259969</v>
      </c>
      <c r="I1966" s="831">
        <v>1.040791931014784</v>
      </c>
      <c r="K1966">
        <v>1.7594231130565066</v>
      </c>
      <c r="L1966">
        <v>0</v>
      </c>
      <c r="M1966">
        <v>1.3413807293529742E-3</v>
      </c>
      <c r="N1966">
        <v>0.148473993014797</v>
      </c>
      <c r="O1966">
        <v>1.801843034511811E-2</v>
      </c>
      <c r="P1966">
        <v>2.0387001496112642E-2</v>
      </c>
      <c r="Q1966">
        <v>2.2502218309992557E-3</v>
      </c>
      <c r="R1966">
        <v>1.3332979236464794E-3</v>
      </c>
      <c r="S1966">
        <v>0.1621909523857904</v>
      </c>
      <c r="T1966">
        <v>1.0686924922068344</v>
      </c>
      <c r="U1966">
        <v>2.3507996708165464E-2</v>
      </c>
      <c r="V1966">
        <v>0.20749554814935542</v>
      </c>
      <c r="W1966">
        <v>8.6948634615995252E-2</v>
      </c>
      <c r="X1966">
        <v>1.7837127682421905E-2</v>
      </c>
      <c r="Y1966">
        <v>3.62879742662331E-3</v>
      </c>
    </row>
    <row r="1967" spans="1:25" x14ac:dyDescent="0.25">
      <c r="A1967" s="827"/>
      <c r="B1967" s="1066">
        <v>1717</v>
      </c>
      <c r="C1967" s="831">
        <v>1.0093171060189903</v>
      </c>
      <c r="D1967" s="831">
        <v>1.019544979666374</v>
      </c>
      <c r="E1967" s="831">
        <v>0.97398444880877555</v>
      </c>
      <c r="F1967" s="831">
        <v>1.0364284929943626</v>
      </c>
      <c r="G1967" s="831">
        <v>0.98056957237704723</v>
      </c>
      <c r="H1967" s="831">
        <v>0.97370714658099811</v>
      </c>
      <c r="I1967" s="831">
        <v>0.99278235579939644</v>
      </c>
      <c r="K1967">
        <v>1.714286595313433</v>
      </c>
      <c r="L1967">
        <v>0</v>
      </c>
      <c r="M1967">
        <v>1.399479831995348E-3</v>
      </c>
      <c r="N1967">
        <v>0.12998105154692136</v>
      </c>
      <c r="O1967">
        <v>1.7517436840170073E-2</v>
      </c>
      <c r="P1967">
        <v>1.9355997602275018E-2</v>
      </c>
      <c r="Q1967">
        <v>2.0715412172699127E-3</v>
      </c>
      <c r="R1967">
        <v>1.3906147987044857E-3</v>
      </c>
      <c r="S1967">
        <v>0.14719328691997738</v>
      </c>
      <c r="T1967">
        <v>1.0736833958539627</v>
      </c>
      <c r="U1967">
        <v>2.310723533686385E-2</v>
      </c>
      <c r="V1967">
        <v>0.20343695609888815</v>
      </c>
      <c r="W1967">
        <v>7.9103862725455831E-2</v>
      </c>
      <c r="X1967">
        <v>1.5059901138910193E-2</v>
      </c>
      <c r="Y1967">
        <v>3.7847950660284198E-3</v>
      </c>
    </row>
    <row r="1968" spans="1:25" x14ac:dyDescent="0.25">
      <c r="A1968" s="827"/>
      <c r="B1968" s="1066">
        <v>1718</v>
      </c>
      <c r="C1968" s="831">
        <v>0.99379748570025783</v>
      </c>
      <c r="D1968" s="831">
        <v>0.99121989448163605</v>
      </c>
      <c r="E1968" s="831">
        <v>1.0086379505466518</v>
      </c>
      <c r="F1968" s="831">
        <v>1.031395861001386</v>
      </c>
      <c r="G1968" s="831">
        <v>1.0445947277119012</v>
      </c>
      <c r="H1968" s="831">
        <v>1.0439787937174678</v>
      </c>
      <c r="I1968" s="831">
        <v>1.0207493124150995</v>
      </c>
      <c r="K1968">
        <v>1.7605007717656072</v>
      </c>
      <c r="L1968">
        <v>0</v>
      </c>
      <c r="M1968">
        <v>1.4349673925232102E-3</v>
      </c>
      <c r="N1968">
        <v>0.14852498245024284</v>
      </c>
      <c r="O1968">
        <v>1.8019366599687701E-2</v>
      </c>
      <c r="P1968">
        <v>2.0073629221597746E-2</v>
      </c>
      <c r="Q1968">
        <v>2.201726753047209E-3</v>
      </c>
      <c r="R1968">
        <v>1.4265087951186367E-3</v>
      </c>
      <c r="S1968">
        <v>0.16071055667653319</v>
      </c>
      <c r="T1968">
        <v>1.0705969651521592</v>
      </c>
      <c r="U1968">
        <v>2.3468089056262277E-2</v>
      </c>
      <c r="V1968">
        <v>0.20767226295376531</v>
      </c>
      <c r="W1968">
        <v>8.8258461523681775E-2</v>
      </c>
      <c r="X1968">
        <v>1.7100703284217658E-2</v>
      </c>
      <c r="Y1968">
        <v>3.8824866918149999E-3</v>
      </c>
    </row>
    <row r="1969" spans="1:25" x14ac:dyDescent="0.25">
      <c r="A1969" s="827"/>
      <c r="B1969" s="1066">
        <v>1719</v>
      </c>
      <c r="C1969" s="831">
        <v>1.0142340944373081</v>
      </c>
      <c r="D1969" s="831">
        <v>0.96988234447360488</v>
      </c>
      <c r="E1969" s="831">
        <v>1.033156366276855</v>
      </c>
      <c r="F1969" s="831">
        <v>0.983067407455959</v>
      </c>
      <c r="G1969" s="831">
        <v>0.98675653784030137</v>
      </c>
      <c r="H1969" s="831">
        <v>1.0029243271256401</v>
      </c>
      <c r="I1969" s="831">
        <v>1.011281781031059</v>
      </c>
      <c r="K1969">
        <v>1.7441054078433698</v>
      </c>
      <c r="L1969">
        <v>0</v>
      </c>
      <c r="M1969">
        <v>1.2952944295723026E-3</v>
      </c>
      <c r="N1969">
        <v>0.14464450123312242</v>
      </c>
      <c r="O1969">
        <v>1.7831592896671043E-2</v>
      </c>
      <c r="P1969">
        <v>2.031061976787259E-2</v>
      </c>
      <c r="Q1969">
        <v>2.2284963416634002E-3</v>
      </c>
      <c r="R1969">
        <v>1.2873608299525669E-3</v>
      </c>
      <c r="S1969">
        <v>0.15445388202335097</v>
      </c>
      <c r="T1969">
        <v>1.0684406244551046</v>
      </c>
      <c r="U1969">
        <v>2.2995211880786192E-2</v>
      </c>
      <c r="V1969">
        <v>0.2074883657333933</v>
      </c>
      <c r="W1969">
        <v>8.4543055940209264E-2</v>
      </c>
      <c r="X1969">
        <v>1.7673219370065437E-2</v>
      </c>
      <c r="Y1969">
        <v>3.503771800747347E-3</v>
      </c>
    </row>
    <row r="1970" spans="1:25" x14ac:dyDescent="0.25">
      <c r="A1970" s="827"/>
      <c r="B1970" s="1066">
        <v>1720</v>
      </c>
      <c r="C1970" s="831">
        <v>0.99617601551772517</v>
      </c>
      <c r="D1970" s="831">
        <v>0.97952081139880365</v>
      </c>
      <c r="E1970" s="831">
        <v>0.98362167487339291</v>
      </c>
      <c r="F1970" s="831">
        <v>0.98218604249371921</v>
      </c>
      <c r="G1970" s="831">
        <v>0.98207044597032833</v>
      </c>
      <c r="H1970" s="831">
        <v>1.0021393452771237</v>
      </c>
      <c r="I1970" s="831">
        <v>1.0154589469916331</v>
      </c>
      <c r="K1970">
        <v>1.7453836727250558</v>
      </c>
      <c r="L1970">
        <v>0</v>
      </c>
      <c r="M1970">
        <v>1.456274583256833E-3</v>
      </c>
      <c r="N1970">
        <v>0.13940735305596796</v>
      </c>
      <c r="O1970">
        <v>1.8073449448085938E-2</v>
      </c>
      <c r="P1970">
        <v>1.9694341455049651E-2</v>
      </c>
      <c r="Q1970">
        <v>2.1512688303398394E-3</v>
      </c>
      <c r="R1970">
        <v>1.4473407102905198E-3</v>
      </c>
      <c r="S1970">
        <v>0.15719633244732284</v>
      </c>
      <c r="T1970">
        <v>1.0728205132445938</v>
      </c>
      <c r="U1970">
        <v>2.3412055234216973E-2</v>
      </c>
      <c r="V1970">
        <v>0.2085234812348645</v>
      </c>
      <c r="W1970">
        <v>8.4274594640460915E-2</v>
      </c>
      <c r="X1970">
        <v>1.5900032709444845E-2</v>
      </c>
      <c r="Y1970">
        <v>3.9391842976738761E-3</v>
      </c>
    </row>
    <row r="1971" spans="1:25" x14ac:dyDescent="0.25">
      <c r="A1971" s="827"/>
      <c r="B1971" s="1066">
        <v>1721</v>
      </c>
      <c r="C1971" s="831">
        <v>1.0484949969837323</v>
      </c>
      <c r="D1971" s="831">
        <v>0.98819991890845393</v>
      </c>
      <c r="E1971" s="831">
        <v>0.99998751504592798</v>
      </c>
      <c r="F1971" s="831">
        <v>0.98869920103598874</v>
      </c>
      <c r="G1971" s="831">
        <v>1.0375473285497183</v>
      </c>
      <c r="H1971" s="831">
        <v>1.0163376895025036</v>
      </c>
      <c r="I1971" s="831">
        <v>0.97384984394130591</v>
      </c>
      <c r="K1971">
        <v>1.7153035956160045</v>
      </c>
      <c r="L1971">
        <v>0</v>
      </c>
      <c r="M1971">
        <v>1.3503213922254017E-3</v>
      </c>
      <c r="N1971">
        <v>0.13603198670798144</v>
      </c>
      <c r="O1971">
        <v>1.7102990423445607E-2</v>
      </c>
      <c r="P1971">
        <v>1.9631988246777241E-2</v>
      </c>
      <c r="Q1971">
        <v>2.0711875254233098E-3</v>
      </c>
      <c r="R1971">
        <v>1.3421473183174849E-3</v>
      </c>
      <c r="S1971">
        <v>0.14365969409082466</v>
      </c>
      <c r="T1971">
        <v>1.0713631807443513</v>
      </c>
      <c r="U1971">
        <v>2.2243814195963208E-2</v>
      </c>
      <c r="V1971">
        <v>0.20225030511601108</v>
      </c>
      <c r="W1971">
        <v>8.1313142571353511E-2</v>
      </c>
      <c r="X1971">
        <v>1.5990597506066313E-2</v>
      </c>
      <c r="Y1971">
        <v>3.6528825617156186E-3</v>
      </c>
    </row>
    <row r="1972" spans="1:25" x14ac:dyDescent="0.25">
      <c r="A1972" s="827"/>
      <c r="B1972" s="1066">
        <v>1722</v>
      </c>
      <c r="C1972" s="831">
        <v>0.9962240456798338</v>
      </c>
      <c r="D1972" s="831">
        <v>1.0403141658817674</v>
      </c>
      <c r="E1972" s="831">
        <v>1.0362193270527933</v>
      </c>
      <c r="F1972" s="831">
        <v>1.0289721063897588</v>
      </c>
      <c r="G1972" s="831">
        <v>1.012848358650642</v>
      </c>
      <c r="H1972" s="831">
        <v>0.99257449792901276</v>
      </c>
      <c r="I1972" s="831">
        <v>0.99671113141155521</v>
      </c>
      <c r="K1972">
        <v>1.7295602156403369</v>
      </c>
      <c r="L1972">
        <v>0</v>
      </c>
      <c r="M1972">
        <v>1.2562043921127712E-3</v>
      </c>
      <c r="N1972">
        <v>0.14160489056391909</v>
      </c>
      <c r="O1972">
        <v>1.7586836706599135E-2</v>
      </c>
      <c r="P1972">
        <v>2.0229798172639948E-2</v>
      </c>
      <c r="Q1972">
        <v>2.2172323378609614E-3</v>
      </c>
      <c r="R1972">
        <v>1.2483855637347165E-3</v>
      </c>
      <c r="S1972">
        <v>0.14980652147154447</v>
      </c>
      <c r="T1972">
        <v>1.0681728453922124</v>
      </c>
      <c r="U1972">
        <v>2.3410926487312078E-2</v>
      </c>
      <c r="V1972">
        <v>0.20300494867535868</v>
      </c>
      <c r="W1972">
        <v>8.2597280222903996E-2</v>
      </c>
      <c r="X1972">
        <v>1.7539060464066621E-2</v>
      </c>
      <c r="Y1972">
        <v>3.3976939742954146E-3</v>
      </c>
    </row>
    <row r="1973" spans="1:25" x14ac:dyDescent="0.25">
      <c r="A1973" s="827"/>
      <c r="B1973" s="1066">
        <v>1723</v>
      </c>
      <c r="C1973" s="831">
        <v>0.99372801914360442</v>
      </c>
      <c r="D1973" s="831">
        <v>1.0109937535148066</v>
      </c>
      <c r="E1973" s="831">
        <v>0.98800439790695105</v>
      </c>
      <c r="F1973" s="831">
        <v>0.9678652953450162</v>
      </c>
      <c r="G1973" s="831">
        <v>1.0093176991725299</v>
      </c>
      <c r="H1973" s="831">
        <v>1.0093401639464781</v>
      </c>
      <c r="I1973" s="831">
        <v>1.0014812267111257</v>
      </c>
      <c r="K1973">
        <v>1.7385560431154317</v>
      </c>
      <c r="L1973">
        <v>0</v>
      </c>
      <c r="M1973">
        <v>1.4361628808499925E-3</v>
      </c>
      <c r="N1973">
        <v>0.13937543780389816</v>
      </c>
      <c r="O1973">
        <v>1.7860130138513279E-2</v>
      </c>
      <c r="P1973">
        <v>1.9674553917937942E-2</v>
      </c>
      <c r="Q1973">
        <v>2.1408952807672175E-3</v>
      </c>
      <c r="R1973">
        <v>1.4273926178324323E-3</v>
      </c>
      <c r="S1973">
        <v>0.15390429861267019</v>
      </c>
      <c r="T1973">
        <v>1.0724292548549883</v>
      </c>
      <c r="U1973">
        <v>2.3469729593015371E-2</v>
      </c>
      <c r="V1973">
        <v>0.20585399686398664</v>
      </c>
      <c r="W1973">
        <v>8.4000498732090687E-2</v>
      </c>
      <c r="X1973">
        <v>1.5971125414690406E-2</v>
      </c>
      <c r="Y1973">
        <v>3.8848921658898726E-3</v>
      </c>
    </row>
    <row r="1974" spans="1:25" x14ac:dyDescent="0.25">
      <c r="A1974" s="827"/>
      <c r="B1974" s="1066">
        <v>1724</v>
      </c>
      <c r="C1974" s="831">
        <v>0.96473856740362141</v>
      </c>
      <c r="D1974" s="831">
        <v>1.0222551962277844</v>
      </c>
      <c r="E1974" s="831">
        <v>1.0147899691732047</v>
      </c>
      <c r="F1974" s="831">
        <v>1.0184597339093349</v>
      </c>
      <c r="G1974" s="831">
        <v>0.96657459180212124</v>
      </c>
      <c r="H1974" s="831">
        <v>1.0113385708423075</v>
      </c>
      <c r="I1974" s="831">
        <v>0.972829925972027</v>
      </c>
      <c r="K1974">
        <v>1.7514144786759247</v>
      </c>
      <c r="L1974">
        <v>0</v>
      </c>
      <c r="M1974">
        <v>1.3939429609730733E-3</v>
      </c>
      <c r="N1974">
        <v>0.14703398219401673</v>
      </c>
      <c r="O1974">
        <v>1.8304909304964305E-2</v>
      </c>
      <c r="P1974">
        <v>2.0071898483512384E-2</v>
      </c>
      <c r="Q1974">
        <v>2.2560748369696987E-3</v>
      </c>
      <c r="R1974">
        <v>1.3854397409931696E-3</v>
      </c>
      <c r="S1974">
        <v>0.15343137534665457</v>
      </c>
      <c r="T1974">
        <v>1.0700537689538929</v>
      </c>
      <c r="U1974">
        <v>2.4174972045608759E-2</v>
      </c>
      <c r="V1974">
        <v>0.20803709002793327</v>
      </c>
      <c r="W1974">
        <v>8.7008419930376418E-2</v>
      </c>
      <c r="X1974">
        <v>1.7279780507078409E-2</v>
      </c>
      <c r="Y1974">
        <v>3.7707102648955322E-3</v>
      </c>
    </row>
    <row r="1975" spans="1:25" x14ac:dyDescent="0.25">
      <c r="A1975" s="827"/>
      <c r="B1975" s="1066">
        <v>1725</v>
      </c>
      <c r="C1975" s="831">
        <v>1.0077958099255513</v>
      </c>
      <c r="D1975" s="831">
        <v>1.0212931743728257</v>
      </c>
      <c r="E1975" s="831">
        <v>1.017849087983784</v>
      </c>
      <c r="F1975" s="831">
        <v>0.97323410812050959</v>
      </c>
      <c r="G1975" s="831">
        <v>1.0117718248963574</v>
      </c>
      <c r="H1975" s="831">
        <v>0.99761952830947931</v>
      </c>
      <c r="I1975" s="831">
        <v>1.0227802409102582</v>
      </c>
      <c r="K1975">
        <v>1.7315527638982748</v>
      </c>
      <c r="L1975">
        <v>0</v>
      </c>
      <c r="M1975">
        <v>1.3083687603948166E-3</v>
      </c>
      <c r="N1975">
        <v>0.13931399063863709</v>
      </c>
      <c r="O1975">
        <v>1.7530302964172639E-2</v>
      </c>
      <c r="P1975">
        <v>2.003631785732125E-2</v>
      </c>
      <c r="Q1975">
        <v>2.1670336942394173E-3</v>
      </c>
      <c r="R1975">
        <v>1.300278411060216E-3</v>
      </c>
      <c r="S1975">
        <v>0.1534877861637457</v>
      </c>
      <c r="T1975">
        <v>1.0697841953684049</v>
      </c>
      <c r="U1975">
        <v>2.3142116357901983E-2</v>
      </c>
      <c r="V1975">
        <v>0.20344064545118898</v>
      </c>
      <c r="W1975">
        <v>8.2269624963693416E-2</v>
      </c>
      <c r="X1975">
        <v>1.6849911590061429E-2</v>
      </c>
      <c r="Y1975">
        <v>3.5389291982428992E-3</v>
      </c>
    </row>
    <row r="1976" spans="1:25" x14ac:dyDescent="0.25">
      <c r="A1976" s="827"/>
      <c r="B1976" s="1066">
        <v>1726</v>
      </c>
      <c r="C1976" s="831">
        <v>1.0100758111761192</v>
      </c>
      <c r="D1976" s="831">
        <v>0.99803672521190412</v>
      </c>
      <c r="E1976" s="831">
        <v>0.99371448624371639</v>
      </c>
      <c r="F1976" s="831">
        <v>1.0338323900300435</v>
      </c>
      <c r="G1976" s="831">
        <v>0.99594802502034185</v>
      </c>
      <c r="H1976" s="831">
        <v>1.0173220764172</v>
      </c>
      <c r="I1976" s="831">
        <v>1.0194821934221527</v>
      </c>
      <c r="K1976">
        <v>1.739126921160699</v>
      </c>
      <c r="L1976">
        <v>0</v>
      </c>
      <c r="M1976">
        <v>1.4153261054848998E-3</v>
      </c>
      <c r="N1976">
        <v>0.13982445035743871</v>
      </c>
      <c r="O1976">
        <v>1.7673978837552812E-2</v>
      </c>
      <c r="P1976">
        <v>1.9761757220136886E-2</v>
      </c>
      <c r="Q1976">
        <v>2.1285918109535821E-3</v>
      </c>
      <c r="R1976">
        <v>1.4067598853018724E-3</v>
      </c>
      <c r="S1976">
        <v>0.15554131697329887</v>
      </c>
      <c r="T1976">
        <v>1.0719205835973382</v>
      </c>
      <c r="U1976">
        <v>2.308987864103659E-2</v>
      </c>
      <c r="V1976">
        <v>0.20528811813106931</v>
      </c>
      <c r="W1976">
        <v>8.3940400937567064E-2</v>
      </c>
      <c r="X1976">
        <v>1.613767420496898E-2</v>
      </c>
      <c r="Y1976">
        <v>3.8287366695201395E-3</v>
      </c>
    </row>
    <row r="1977" spans="1:25" x14ac:dyDescent="0.25">
      <c r="A1977" s="827"/>
      <c r="B1977" s="1066">
        <v>1727</v>
      </c>
      <c r="C1977" s="831">
        <v>1.0272007984454181</v>
      </c>
      <c r="D1977" s="831">
        <v>0.9979557241563829</v>
      </c>
      <c r="E1977" s="831">
        <v>1.0026171687710201</v>
      </c>
      <c r="F1977" s="831">
        <v>0.97974537335171896</v>
      </c>
      <c r="G1977" s="831">
        <v>1.0078258498432242</v>
      </c>
      <c r="H1977" s="831">
        <v>0.96691502727228107</v>
      </c>
      <c r="I1977" s="831">
        <v>0.97103557822360631</v>
      </c>
      <c r="K1977">
        <v>1.7087123768273571</v>
      </c>
      <c r="L1977">
        <v>0</v>
      </c>
      <c r="M1977">
        <v>1.2982576997401718E-3</v>
      </c>
      <c r="N1977">
        <v>0.13181961302485196</v>
      </c>
      <c r="O1977">
        <v>1.7379966043290382E-2</v>
      </c>
      <c r="P1977">
        <v>1.9671773182960962E-2</v>
      </c>
      <c r="Q1977">
        <v>2.1120026183738304E-3</v>
      </c>
      <c r="R1977">
        <v>1.2899904528515436E-3</v>
      </c>
      <c r="S1977">
        <v>0.14226102688132922</v>
      </c>
      <c r="T1977">
        <v>1.0711299591593599</v>
      </c>
      <c r="U1977">
        <v>2.2704935523414571E-2</v>
      </c>
      <c r="V1977">
        <v>0.2035132859465329</v>
      </c>
      <c r="W1977">
        <v>7.8653674050778152E-2</v>
      </c>
      <c r="X1977">
        <v>1.5963478875928434E-2</v>
      </c>
      <c r="Y1977">
        <v>3.5109287674234056E-3</v>
      </c>
    </row>
    <row r="1978" spans="1:25" x14ac:dyDescent="0.25">
      <c r="A1978" s="827"/>
      <c r="B1978" s="1066">
        <v>1728</v>
      </c>
      <c r="C1978" s="831">
        <v>1.00037481204528</v>
      </c>
      <c r="D1978" s="831">
        <v>0.98379680000948189</v>
      </c>
      <c r="E1978" s="831">
        <v>0.99723062328674839</v>
      </c>
      <c r="F1978" s="831">
        <v>1.0134592579914858</v>
      </c>
      <c r="G1978" s="831">
        <v>1.0156109314974084</v>
      </c>
      <c r="H1978" s="831">
        <v>1.0478693398677774</v>
      </c>
      <c r="I1978" s="831">
        <v>0.97227309179161614</v>
      </c>
      <c r="K1978">
        <v>1.7508067995600949</v>
      </c>
      <c r="L1978">
        <v>0</v>
      </c>
      <c r="M1978">
        <v>1.4706513361586963E-3</v>
      </c>
      <c r="N1978">
        <v>0.146915904085655</v>
      </c>
      <c r="O1978">
        <v>1.7962038153045038E-2</v>
      </c>
      <c r="P1978">
        <v>1.9807919889280313E-2</v>
      </c>
      <c r="Q1978">
        <v>2.1683949117764847E-3</v>
      </c>
      <c r="R1978">
        <v>1.4620199043440787E-3</v>
      </c>
      <c r="S1978">
        <v>0.15282216735355689</v>
      </c>
      <c r="T1978">
        <v>1.0716079672000991</v>
      </c>
      <c r="U1978">
        <v>2.3313789609136524E-2</v>
      </c>
      <c r="V1978">
        <v>0.20765707856374724</v>
      </c>
      <c r="W1978">
        <v>8.7984983535220412E-2</v>
      </c>
      <c r="X1978">
        <v>1.6596051465499726E-2</v>
      </c>
      <c r="Y1978">
        <v>3.9791362248926439E-3</v>
      </c>
    </row>
    <row r="1979" spans="1:25" x14ac:dyDescent="0.25">
      <c r="A1979" s="827"/>
      <c r="B1979" s="1066">
        <v>1729</v>
      </c>
      <c r="C1979" s="831">
        <v>1.0021102212702158</v>
      </c>
      <c r="D1979" s="831">
        <v>1.0032395516633035</v>
      </c>
      <c r="E1979" s="831">
        <v>0.98437636555041985</v>
      </c>
      <c r="F1979" s="831">
        <v>1.0047935359123146</v>
      </c>
      <c r="G1979" s="831">
        <v>1.0094774320854156</v>
      </c>
      <c r="H1979" s="831">
        <v>0.99560342275638147</v>
      </c>
      <c r="I1979" s="831">
        <v>0.98549473025564582</v>
      </c>
      <c r="K1979">
        <v>1.7290016498161684</v>
      </c>
      <c r="L1979">
        <v>0</v>
      </c>
      <c r="M1979">
        <v>1.4204543516337989E-3</v>
      </c>
      <c r="N1979">
        <v>0.13629116581304385</v>
      </c>
      <c r="O1979">
        <v>1.777256192031575E-2</v>
      </c>
      <c r="P1979">
        <v>1.956294687027858E-2</v>
      </c>
      <c r="Q1979">
        <v>2.1212497340429696E-3</v>
      </c>
      <c r="R1979">
        <v>1.4116658267381108E-3</v>
      </c>
      <c r="S1979">
        <v>0.14969301570661123</v>
      </c>
      <c r="T1979">
        <v>1.0727530883146041</v>
      </c>
      <c r="U1979">
        <v>2.3273415841164619E-2</v>
      </c>
      <c r="V1979">
        <v>0.20565729289271711</v>
      </c>
      <c r="W1979">
        <v>8.2347782094560118E-2</v>
      </c>
      <c r="X1979">
        <v>1.5695830128856367E-2</v>
      </c>
      <c r="Y1979">
        <v>3.8420890248664213E-3</v>
      </c>
    </row>
    <row r="1980" spans="1:25" x14ac:dyDescent="0.25">
      <c r="A1980" s="827"/>
      <c r="B1980" s="1066">
        <v>1730</v>
      </c>
      <c r="C1980" s="831">
        <v>1.0212996995204224</v>
      </c>
      <c r="D1980" s="831">
        <v>1.0047925685876145</v>
      </c>
      <c r="E1980" s="831">
        <v>0.99410257399072721</v>
      </c>
      <c r="F1980" s="831">
        <v>0.96207555697464053</v>
      </c>
      <c r="G1980" s="831">
        <v>1.0057468743436888</v>
      </c>
      <c r="H1980" s="831">
        <v>1.0178240809107533</v>
      </c>
      <c r="I1980" s="831">
        <v>0.98611616704976923</v>
      </c>
      <c r="K1980">
        <v>1.7263636663907036</v>
      </c>
      <c r="L1980">
        <v>0</v>
      </c>
      <c r="M1980">
        <v>1.3950555139027991E-3</v>
      </c>
      <c r="N1980">
        <v>0.13798838850659523</v>
      </c>
      <c r="O1980">
        <v>1.7426420109233762E-2</v>
      </c>
      <c r="P1980">
        <v>1.9642531543046817E-2</v>
      </c>
      <c r="Q1980">
        <v>2.1007589216061528E-3</v>
      </c>
      <c r="R1980">
        <v>1.3866115092142613E-3</v>
      </c>
      <c r="S1980">
        <v>0.14841559340911833</v>
      </c>
      <c r="T1980">
        <v>1.0718860561994719</v>
      </c>
      <c r="U1980">
        <v>2.2836125291385932E-2</v>
      </c>
      <c r="V1980">
        <v>0.20350409931545177</v>
      </c>
      <c r="W1980">
        <v>8.2816075127700478E-2</v>
      </c>
      <c r="X1980">
        <v>1.5982162540061618E-2</v>
      </c>
      <c r="Y1980">
        <v>3.7738994317200545E-3</v>
      </c>
    </row>
    <row r="1981" spans="1:25" x14ac:dyDescent="0.25">
      <c r="A1981" s="827"/>
      <c r="B1981" s="1066">
        <v>1731</v>
      </c>
      <c r="C1981" s="831">
        <v>0.97211543189045901</v>
      </c>
      <c r="D1981" s="831">
        <v>0.98320846517913052</v>
      </c>
      <c r="E1981" s="831">
        <v>0.98177606764750902</v>
      </c>
      <c r="F1981" s="831">
        <v>0.97158512618573134</v>
      </c>
      <c r="G1981" s="831">
        <v>1.032593734789709</v>
      </c>
      <c r="H1981" s="831">
        <v>0.99923917105073679</v>
      </c>
      <c r="I1981" s="831">
        <v>1.008678829486175</v>
      </c>
      <c r="K1981">
        <v>1.755742180394237</v>
      </c>
      <c r="L1981">
        <v>0</v>
      </c>
      <c r="M1981">
        <v>1.4912355092155012E-3</v>
      </c>
      <c r="N1981">
        <v>0.14193292906439603</v>
      </c>
      <c r="O1981">
        <v>1.8489213421820257E-2</v>
      </c>
      <c r="P1981">
        <v>1.9740148243234657E-2</v>
      </c>
      <c r="Q1981">
        <v>2.1973221318086979E-3</v>
      </c>
      <c r="R1981">
        <v>1.4820577705152882E-3</v>
      </c>
      <c r="S1981">
        <v>0.15954380401925555</v>
      </c>
      <c r="T1981">
        <v>1.0729854921416526</v>
      </c>
      <c r="U1981">
        <v>2.399152110253842E-2</v>
      </c>
      <c r="V1981">
        <v>0.2108795789542684</v>
      </c>
      <c r="W1981">
        <v>8.5911100571115853E-2</v>
      </c>
      <c r="X1981">
        <v>1.6046575791714535E-2</v>
      </c>
      <c r="Y1981">
        <v>4.0336726911298663E-3</v>
      </c>
    </row>
    <row r="1982" spans="1:25" x14ac:dyDescent="0.25">
      <c r="A1982" s="827"/>
      <c r="B1982" s="1066">
        <v>1732</v>
      </c>
      <c r="C1982" s="831">
        <v>0.99547489409766243</v>
      </c>
      <c r="D1982" s="831">
        <v>1.0204776056736546</v>
      </c>
      <c r="E1982" s="831">
        <v>0.99703387054284121</v>
      </c>
      <c r="F1982" s="831">
        <v>0.97047617858816915</v>
      </c>
      <c r="G1982" s="831">
        <v>1.0053525295043459</v>
      </c>
      <c r="H1982" s="831">
        <v>0.99450557869747114</v>
      </c>
      <c r="I1982" s="831">
        <v>1.0078484017086469</v>
      </c>
      <c r="K1982">
        <v>1.7326275937299831</v>
      </c>
      <c r="L1982">
        <v>0</v>
      </c>
      <c r="M1982">
        <v>1.3801634401388249E-3</v>
      </c>
      <c r="N1982">
        <v>0.13774569934836073</v>
      </c>
      <c r="O1982">
        <v>1.7753681886653303E-2</v>
      </c>
      <c r="P1982">
        <v>1.9769745312351657E-2</v>
      </c>
      <c r="Q1982">
        <v>2.1492504609002356E-3</v>
      </c>
      <c r="R1982">
        <v>1.3716029744720139E-3</v>
      </c>
      <c r="S1982">
        <v>0.15294535838938197</v>
      </c>
      <c r="T1982">
        <v>1.0716254479843781</v>
      </c>
      <c r="U1982">
        <v>2.3428544543500143E-2</v>
      </c>
      <c r="V1982">
        <v>0.20481248732020929</v>
      </c>
      <c r="W1982">
        <v>8.2504260904005366E-2</v>
      </c>
      <c r="X1982">
        <v>1.6168626898194878E-2</v>
      </c>
      <c r="Y1982">
        <v>3.7330511477138063E-3</v>
      </c>
    </row>
    <row r="1983" spans="1:25" x14ac:dyDescent="0.25">
      <c r="A1983" s="827"/>
      <c r="B1983" s="1066">
        <v>1733</v>
      </c>
      <c r="C1983" s="831">
        <v>0.99248985463070272</v>
      </c>
      <c r="D1983" s="831">
        <v>0.99745009818658759</v>
      </c>
      <c r="E1983" s="831">
        <v>1.0028985804094168</v>
      </c>
      <c r="F1983" s="831">
        <v>0.98873002609839489</v>
      </c>
      <c r="G1983" s="831">
        <v>0.9704003839602835</v>
      </c>
      <c r="H1983" s="831">
        <v>1.0000556221900727</v>
      </c>
      <c r="I1983" s="831">
        <v>1.0101055737995397</v>
      </c>
      <c r="K1983">
        <v>1.7433205248143735</v>
      </c>
      <c r="L1983">
        <v>0</v>
      </c>
      <c r="M1983">
        <v>1.3892107955537072E-3</v>
      </c>
      <c r="N1983">
        <v>0.14120814879581825</v>
      </c>
      <c r="O1983">
        <v>1.7991936874807535E-2</v>
      </c>
      <c r="P1983">
        <v>1.9919930343097064E-2</v>
      </c>
      <c r="Q1983">
        <v>2.1868955694024053E-3</v>
      </c>
      <c r="R1983">
        <v>1.3806578767053951E-3</v>
      </c>
      <c r="S1983">
        <v>0.15561679406249937</v>
      </c>
      <c r="T1983">
        <v>1.0711050164840896</v>
      </c>
      <c r="U1983">
        <v>2.3499008870958481E-2</v>
      </c>
      <c r="V1983">
        <v>0.20723063790277971</v>
      </c>
      <c r="W1983">
        <v>8.4239402393415513E-2</v>
      </c>
      <c r="X1983">
        <v>1.6573610829708395E-2</v>
      </c>
      <c r="Y1983">
        <v>3.7576956066453495E-3</v>
      </c>
    </row>
    <row r="1984" spans="1:25" x14ac:dyDescent="0.25">
      <c r="A1984" s="827"/>
      <c r="B1984" s="1066">
        <v>1734</v>
      </c>
      <c r="C1984" s="831">
        <v>0.98155870238813225</v>
      </c>
      <c r="D1984" s="831">
        <v>0.99835806343824329</v>
      </c>
      <c r="E1984" s="831">
        <v>0.98461905827758156</v>
      </c>
      <c r="F1984" s="831">
        <v>1.0052358124912752</v>
      </c>
      <c r="G1984" s="831">
        <v>1.0009046103450836</v>
      </c>
      <c r="H1984" s="831">
        <v>0.99476821376441904</v>
      </c>
      <c r="I1984" s="831">
        <v>0.98249957960360101</v>
      </c>
      <c r="K1984">
        <v>1.7408787722715346</v>
      </c>
      <c r="L1984">
        <v>0</v>
      </c>
      <c r="M1984">
        <v>1.4514395407289348E-3</v>
      </c>
      <c r="N1984">
        <v>0.13936909115330479</v>
      </c>
      <c r="O1984">
        <v>1.8184806427530033E-2</v>
      </c>
      <c r="P1984">
        <v>1.9648613680331002E-2</v>
      </c>
      <c r="Q1984">
        <v>2.1701199434276289E-3</v>
      </c>
      <c r="R1984">
        <v>1.4424553360780398E-3</v>
      </c>
      <c r="S1984">
        <v>0.1526114542228911</v>
      </c>
      <c r="T1984">
        <v>1.0727314104203824</v>
      </c>
      <c r="U1984">
        <v>2.3760706151918862E-2</v>
      </c>
      <c r="V1984">
        <v>0.20835663438565102</v>
      </c>
      <c r="W1984">
        <v>8.4193344634910919E-2</v>
      </c>
      <c r="X1984">
        <v>1.5935687536305615E-2</v>
      </c>
      <c r="Y1984">
        <v>3.9258879195306802E-3</v>
      </c>
    </row>
    <row r="1985" spans="1:25" x14ac:dyDescent="0.25">
      <c r="A1985" s="827"/>
      <c r="B1985" s="1066">
        <v>1735</v>
      </c>
      <c r="C1985" s="831">
        <v>1.0110330462150405</v>
      </c>
      <c r="D1985" s="831">
        <v>1.0359702285369743</v>
      </c>
      <c r="E1985" s="831">
        <v>0.99010882958265767</v>
      </c>
      <c r="F1985" s="831">
        <v>1.0299271623526494</v>
      </c>
      <c r="G1985" s="831">
        <v>0.99408986641830366</v>
      </c>
      <c r="H1985" s="831">
        <v>1.0268002678915118</v>
      </c>
      <c r="I1985" s="831">
        <v>0.96982808294062084</v>
      </c>
      <c r="K1985">
        <v>1.7232627759939332</v>
      </c>
      <c r="L1985">
        <v>0</v>
      </c>
      <c r="M1985">
        <v>1.414002944412848E-3</v>
      </c>
      <c r="N1985">
        <v>0.13813978077077874</v>
      </c>
      <c r="O1985">
        <v>1.736196759611568E-2</v>
      </c>
      <c r="P1985">
        <v>1.9539062578773948E-2</v>
      </c>
      <c r="Q1985">
        <v>2.0897397170667187E-3</v>
      </c>
      <c r="R1985">
        <v>1.4054981522533716E-3</v>
      </c>
      <c r="S1985">
        <v>0.14619895395617546</v>
      </c>
      <c r="T1985">
        <v>1.0722416430584638</v>
      </c>
      <c r="U1985">
        <v>2.3068017396280682E-2</v>
      </c>
      <c r="V1985">
        <v>0.20184181153911604</v>
      </c>
      <c r="W1985">
        <v>8.3135061224813761E-2</v>
      </c>
      <c r="X1985">
        <v>1.5829940300413958E-2</v>
      </c>
      <c r="Y1985">
        <v>3.8253026480923077E-3</v>
      </c>
    </row>
    <row r="1986" spans="1:25" x14ac:dyDescent="0.25">
      <c r="A1986" s="827"/>
      <c r="B1986" s="1066">
        <v>1736</v>
      </c>
      <c r="C1986" s="831">
        <v>1.0048706856740883</v>
      </c>
      <c r="D1986" s="831">
        <v>0.99256157698721503</v>
      </c>
      <c r="E1986" s="831">
        <v>1.0126974835975919</v>
      </c>
      <c r="F1986" s="831">
        <v>0.99581980674545301</v>
      </c>
      <c r="G1986" s="831">
        <v>1.0383560435831329</v>
      </c>
      <c r="H1986" s="831">
        <v>0.99418640254755797</v>
      </c>
      <c r="I1986" s="831">
        <v>1.0058780780696455</v>
      </c>
      <c r="K1986">
        <v>1.7366229887524578</v>
      </c>
      <c r="L1986">
        <v>0</v>
      </c>
      <c r="M1986">
        <v>1.3391244089582153E-3</v>
      </c>
      <c r="N1986">
        <v>0.14032329393760606</v>
      </c>
      <c r="O1986">
        <v>1.7809875684798252E-2</v>
      </c>
      <c r="P1986">
        <v>2.0000181665916123E-2</v>
      </c>
      <c r="Q1986">
        <v>2.1852186434724269E-3</v>
      </c>
      <c r="R1986">
        <v>1.3308345112406413E-3</v>
      </c>
      <c r="S1986">
        <v>0.15294571504395804</v>
      </c>
      <c r="T1986">
        <v>1.0702383655543164</v>
      </c>
      <c r="U1986">
        <v>2.3209481807759124E-2</v>
      </c>
      <c r="V1986">
        <v>0.20634387455323711</v>
      </c>
      <c r="W1986">
        <v>8.3155161835769112E-2</v>
      </c>
      <c r="X1986">
        <v>1.6798017093222855E-2</v>
      </c>
      <c r="Y1986">
        <v>3.6220928301183017E-3</v>
      </c>
    </row>
    <row r="1987" spans="1:25" x14ac:dyDescent="0.25">
      <c r="A1987" s="827"/>
      <c r="B1987" s="1066">
        <v>1737</v>
      </c>
      <c r="C1987" s="831">
        <v>0.96579131212750557</v>
      </c>
      <c r="D1987" s="831">
        <v>0.98916092790239296</v>
      </c>
      <c r="E1987" s="831">
        <v>0.986070935426546</v>
      </c>
      <c r="F1987" s="831">
        <v>0.99980923318883641</v>
      </c>
      <c r="G1987" s="831">
        <v>1.005305039930013</v>
      </c>
      <c r="H1987" s="831">
        <v>0.98493560263172775</v>
      </c>
      <c r="I1987" s="831">
        <v>1.0369362432135198</v>
      </c>
      <c r="K1987">
        <v>1.7582664977534264</v>
      </c>
      <c r="L1987">
        <v>0</v>
      </c>
      <c r="M1987">
        <v>1.4622208761838954E-3</v>
      </c>
      <c r="N1987">
        <v>0.14103255642824739</v>
      </c>
      <c r="O1987">
        <v>1.8559387922764396E-2</v>
      </c>
      <c r="P1987">
        <v>1.9857804005887283E-2</v>
      </c>
      <c r="Q1987">
        <v>2.2163947223734931E-3</v>
      </c>
      <c r="R1987">
        <v>1.4530864938323404E-3</v>
      </c>
      <c r="S1987">
        <v>0.16356555939460674</v>
      </c>
      <c r="T1987">
        <v>1.0726017715623977</v>
      </c>
      <c r="U1987">
        <v>2.4148620520231062E-2</v>
      </c>
      <c r="V1987">
        <v>0.21103452347978213</v>
      </c>
      <c r="W1987">
        <v>8.5112781444940944E-2</v>
      </c>
      <c r="X1987">
        <v>1.6191410228169056E-2</v>
      </c>
      <c r="Y1987">
        <v>3.9548224263776747E-3</v>
      </c>
    </row>
    <row r="1988" spans="1:25" x14ac:dyDescent="0.25">
      <c r="A1988" s="827"/>
      <c r="B1988" s="1066">
        <v>1738</v>
      </c>
      <c r="C1988" s="831">
        <v>0.98173310028676664</v>
      </c>
      <c r="D1988" s="831">
        <v>1.0184163922246068</v>
      </c>
      <c r="E1988" s="831">
        <v>1.0127703214776129</v>
      </c>
      <c r="F1988" s="831">
        <v>1.0238070954864418</v>
      </c>
      <c r="G1988" s="831">
        <v>1.0121485803006085</v>
      </c>
      <c r="H1988" s="831">
        <v>0.96146186983300252</v>
      </c>
      <c r="I1988" s="831">
        <v>0.99154547690429751</v>
      </c>
      <c r="K1988">
        <v>1.729875855431755</v>
      </c>
      <c r="L1988">
        <v>0</v>
      </c>
      <c r="M1988">
        <v>1.31004230609528E-3</v>
      </c>
      <c r="N1988">
        <v>0.13727597882469367</v>
      </c>
      <c r="O1988">
        <v>1.8018646267165744E-2</v>
      </c>
      <c r="P1988">
        <v>1.9974613718810846E-2</v>
      </c>
      <c r="Q1988">
        <v>2.2156471040821442E-3</v>
      </c>
      <c r="R1988">
        <v>1.3016388769361922E-3</v>
      </c>
      <c r="S1988">
        <v>0.1503292168929915</v>
      </c>
      <c r="T1988">
        <v>1.0702319370995059</v>
      </c>
      <c r="U1988">
        <v>2.3756485231567138E-2</v>
      </c>
      <c r="V1988">
        <v>0.20648601691937632</v>
      </c>
      <c r="W1988">
        <v>8.1345313651049939E-2</v>
      </c>
      <c r="X1988">
        <v>1.6707771213790357E-2</v>
      </c>
      <c r="Y1988">
        <v>3.542631937879852E-3</v>
      </c>
    </row>
    <row r="1989" spans="1:25" x14ac:dyDescent="0.25">
      <c r="A1989" s="827"/>
      <c r="B1989" s="1066">
        <v>1739</v>
      </c>
      <c r="C1989" s="831">
        <v>1.0046871992163764</v>
      </c>
      <c r="D1989" s="831">
        <v>1.0120131342686265</v>
      </c>
      <c r="E1989" s="831">
        <v>1.0135402385282839</v>
      </c>
      <c r="F1989" s="831">
        <v>0.99604560103836903</v>
      </c>
      <c r="G1989" s="831">
        <v>0.96372323582359354</v>
      </c>
      <c r="H1989" s="831">
        <v>0.96047521504044786</v>
      </c>
      <c r="I1989" s="831">
        <v>0.96453051603601914</v>
      </c>
      <c r="K1989">
        <v>1.7149310369440818</v>
      </c>
      <c r="L1989">
        <v>0</v>
      </c>
      <c r="M1989">
        <v>1.2803644336644025E-3</v>
      </c>
      <c r="N1989">
        <v>0.13448710089365409</v>
      </c>
      <c r="O1989">
        <v>1.7657259511774395E-2</v>
      </c>
      <c r="P1989">
        <v>1.9853135488882224E-2</v>
      </c>
      <c r="Q1989">
        <v>2.1717641142721782E-3</v>
      </c>
      <c r="R1989">
        <v>1.2721471296526562E-3</v>
      </c>
      <c r="S1989">
        <v>0.14319819619019758</v>
      </c>
      <c r="T1989">
        <v>1.0701639987842322</v>
      </c>
      <c r="U1989">
        <v>2.3213720565459551E-2</v>
      </c>
      <c r="V1989">
        <v>0.20459256031536616</v>
      </c>
      <c r="W1989">
        <v>7.9651125827585545E-2</v>
      </c>
      <c r="X1989">
        <v>1.6488027432943961E-2</v>
      </c>
      <c r="Y1989">
        <v>3.4623651237259451E-3</v>
      </c>
    </row>
    <row r="1990" spans="1:25" x14ac:dyDescent="0.25">
      <c r="A1990" s="827"/>
      <c r="B1990" s="1066">
        <v>1740</v>
      </c>
      <c r="C1990" s="831">
        <v>1.0069242202863014</v>
      </c>
      <c r="D1990" s="831">
        <v>0.99993648549629</v>
      </c>
      <c r="E1990" s="831">
        <v>1.004194606141724</v>
      </c>
      <c r="F1990" s="831">
        <v>0.97366821994938257</v>
      </c>
      <c r="G1990" s="831">
        <v>1.0217003089659604</v>
      </c>
      <c r="H1990" s="831">
        <v>0.99831458676761031</v>
      </c>
      <c r="I1990" s="831">
        <v>1.0309340949422994</v>
      </c>
      <c r="K1990">
        <v>1.737570370127798</v>
      </c>
      <c r="L1990">
        <v>0</v>
      </c>
      <c r="M1990">
        <v>1.3616497796748617E-3</v>
      </c>
      <c r="N1990">
        <v>0.13896404312216903</v>
      </c>
      <c r="O1990">
        <v>1.7714029729069339E-2</v>
      </c>
      <c r="P1990">
        <v>1.9917355964136043E-2</v>
      </c>
      <c r="Q1990">
        <v>2.1563579364805717E-3</v>
      </c>
      <c r="R1990">
        <v>1.3532502202294862E-3</v>
      </c>
      <c r="S1990">
        <v>0.15625913490601942</v>
      </c>
      <c r="T1990">
        <v>1.0709901829796733</v>
      </c>
      <c r="U1990">
        <v>2.316214808267484E-2</v>
      </c>
      <c r="V1990">
        <v>0.20544833113900951</v>
      </c>
      <c r="W1990">
        <v>8.2827352806991911E-2</v>
      </c>
      <c r="X1990">
        <v>1.645673202036765E-2</v>
      </c>
      <c r="Y1990">
        <v>3.6831010006494538E-3</v>
      </c>
    </row>
    <row r="1991" spans="1:25" x14ac:dyDescent="0.25">
      <c r="A1991" s="827"/>
      <c r="B1991" s="1066">
        <v>1741</v>
      </c>
      <c r="C1991" s="831">
        <v>1.0002266399242725</v>
      </c>
      <c r="D1991" s="831">
        <v>1.0303994406672867</v>
      </c>
      <c r="E1991" s="831">
        <v>0.99042572866711565</v>
      </c>
      <c r="F1991" s="831">
        <v>1.0115285177326914</v>
      </c>
      <c r="G1991" s="831">
        <v>0.96471917001561758</v>
      </c>
      <c r="H1991" s="831">
        <v>1.0256130280971394</v>
      </c>
      <c r="I1991" s="831">
        <v>0.99784192537182137</v>
      </c>
      <c r="K1991">
        <v>1.7344883968387232</v>
      </c>
      <c r="L1991">
        <v>0</v>
      </c>
      <c r="M1991">
        <v>1.4301476606415704E-3</v>
      </c>
      <c r="N1991">
        <v>0.1398543263049401</v>
      </c>
      <c r="O1991">
        <v>1.7592295513433519E-2</v>
      </c>
      <c r="P1991">
        <v>1.9651062243365713E-2</v>
      </c>
      <c r="Q1991">
        <v>2.1172210885457153E-3</v>
      </c>
      <c r="R1991">
        <v>1.4215395223467239E-3</v>
      </c>
      <c r="S1991">
        <v>0.15230304460263525</v>
      </c>
      <c r="T1991">
        <v>1.0722134056952353</v>
      </c>
      <c r="U1991">
        <v>2.3317243280051973E-2</v>
      </c>
      <c r="V1991">
        <v>0.20343800226429526</v>
      </c>
      <c r="W1991">
        <v>8.4148533295244285E-2</v>
      </c>
      <c r="X1991">
        <v>1.5992908719818143E-2</v>
      </c>
      <c r="Y1991">
        <v>3.8689619694501835E-3</v>
      </c>
    </row>
    <row r="1992" spans="1:25" x14ac:dyDescent="0.25">
      <c r="A1992" s="827"/>
      <c r="B1992" s="1066">
        <v>1742</v>
      </c>
      <c r="C1992" s="831">
        <v>1.0151433246133383</v>
      </c>
      <c r="D1992" s="831">
        <v>0.99970853060361797</v>
      </c>
      <c r="E1992" s="831">
        <v>0.98136909711537024</v>
      </c>
      <c r="F1992" s="831">
        <v>0.98543277973366539</v>
      </c>
      <c r="G1992" s="831">
        <v>0.98783242622370104</v>
      </c>
      <c r="H1992" s="831">
        <v>1.0065391220076458</v>
      </c>
      <c r="I1992" s="831">
        <v>0.98086816212879735</v>
      </c>
      <c r="K1992">
        <v>1.7252474538491818</v>
      </c>
      <c r="L1992">
        <v>0</v>
      </c>
      <c r="M1992">
        <v>1.4288790133461964E-3</v>
      </c>
      <c r="N1992">
        <v>0.13583060244963152</v>
      </c>
      <c r="O1992">
        <v>1.7572422866565435E-2</v>
      </c>
      <c r="P1992">
        <v>1.9481709106784078E-2</v>
      </c>
      <c r="Q1992">
        <v>2.0903675328596523E-3</v>
      </c>
      <c r="R1992">
        <v>1.4201369241119838E-3</v>
      </c>
      <c r="S1992">
        <v>0.14805142009313579</v>
      </c>
      <c r="T1992">
        <v>1.0730218884843978</v>
      </c>
      <c r="U1992">
        <v>2.2974615832879158E-2</v>
      </c>
      <c r="V1992">
        <v>0.20460228705106398</v>
      </c>
      <c r="W1992">
        <v>8.2240596291678167E-2</v>
      </c>
      <c r="X1992">
        <v>1.5525141669997775E-2</v>
      </c>
      <c r="Y1992">
        <v>3.8651445594216041E-3</v>
      </c>
    </row>
    <row r="1993" spans="1:25" x14ac:dyDescent="0.25">
      <c r="A1993" s="827"/>
      <c r="B1993" s="1066">
        <v>1743</v>
      </c>
      <c r="C1993" s="831">
        <v>1.0158753747873108</v>
      </c>
      <c r="D1993" s="831">
        <v>1.0180809030348394</v>
      </c>
      <c r="E1993" s="831">
        <v>1.0306956031357941</v>
      </c>
      <c r="F1993" s="831">
        <v>0.98434199404648659</v>
      </c>
      <c r="G1993" s="831">
        <v>1.013720563110696</v>
      </c>
      <c r="H1993" s="831">
        <v>0.99982082366858738</v>
      </c>
      <c r="I1993" s="831">
        <v>0.99161148366290985</v>
      </c>
      <c r="K1993">
        <v>1.7256122462156844</v>
      </c>
      <c r="L1993">
        <v>0</v>
      </c>
      <c r="M1993">
        <v>1.2677813532918853E-3</v>
      </c>
      <c r="N1993">
        <v>0.14048884105943205</v>
      </c>
      <c r="O1993">
        <v>1.7415655992422722E-2</v>
      </c>
      <c r="P1993">
        <v>2.0122200399225097E-2</v>
      </c>
      <c r="Q1993">
        <v>2.1799100987704967E-3</v>
      </c>
      <c r="R1993">
        <v>1.2599612241602223E-3</v>
      </c>
      <c r="S1993">
        <v>0.14797252707595218</v>
      </c>
      <c r="T1993">
        <v>1.0686560144157531</v>
      </c>
      <c r="U1993">
        <v>2.2958060089985077E-2</v>
      </c>
      <c r="V1993">
        <v>0.20288898196634184</v>
      </c>
      <c r="W1993">
        <v>8.2249456994084882E-2</v>
      </c>
      <c r="X1993">
        <v>1.7259219146788539E-2</v>
      </c>
      <c r="Y1993">
        <v>3.4291991060582078E-3</v>
      </c>
    </row>
    <row r="1994" spans="1:25" x14ac:dyDescent="0.25">
      <c r="A1994" s="827"/>
      <c r="B1994" s="1066">
        <v>1744</v>
      </c>
      <c r="C1994" s="831">
        <v>1.0029978117924949</v>
      </c>
      <c r="D1994" s="831">
        <v>1.0120950386383294</v>
      </c>
      <c r="E1994" s="831">
        <v>0.9975852688889506</v>
      </c>
      <c r="F1994" s="831">
        <v>0.99793500791328904</v>
      </c>
      <c r="G1994" s="831">
        <v>0.99963952385036703</v>
      </c>
      <c r="H1994" s="831">
        <v>1.0007023611260446</v>
      </c>
      <c r="I1994" s="831">
        <v>1.023656128627576</v>
      </c>
      <c r="K1994">
        <v>1.7351871594213113</v>
      </c>
      <c r="L1994">
        <v>0</v>
      </c>
      <c r="M1994">
        <v>1.3818858841172243E-3</v>
      </c>
      <c r="N1994">
        <v>0.13816035874922739</v>
      </c>
      <c r="O1994">
        <v>1.7686352863127922E-2</v>
      </c>
      <c r="P1994">
        <v>1.9804269635094195E-2</v>
      </c>
      <c r="Q1994">
        <v>2.1408528595064967E-3</v>
      </c>
      <c r="R1994">
        <v>1.3733734842435389E-3</v>
      </c>
      <c r="S1994">
        <v>0.15515838811892746</v>
      </c>
      <c r="T1994">
        <v>1.0715764618830483</v>
      </c>
      <c r="U1994">
        <v>2.3252820319341064E-2</v>
      </c>
      <c r="V1994">
        <v>0.20475959308242775</v>
      </c>
      <c r="W1994">
        <v>8.2721351088537245E-2</v>
      </c>
      <c r="X1994">
        <v>1.6197353330282844E-2</v>
      </c>
      <c r="Y1994">
        <v>3.7378698916635069E-3</v>
      </c>
    </row>
    <row r="1995" spans="1:25" x14ac:dyDescent="0.25">
      <c r="A1995" s="827"/>
      <c r="B1995" s="1066">
        <v>1745</v>
      </c>
      <c r="C1995" s="831">
        <v>0.9738294939691724</v>
      </c>
      <c r="D1995" s="831">
        <v>1.0141842714246412</v>
      </c>
      <c r="E1995" s="831">
        <v>0.96621179868940565</v>
      </c>
      <c r="F1995" s="831">
        <v>1.0343457770826094</v>
      </c>
      <c r="G1995" s="831">
        <v>0.98841148036319726</v>
      </c>
      <c r="H1995" s="831">
        <v>0.96499598499247685</v>
      </c>
      <c r="I1995" s="831">
        <v>0.97353308316454168</v>
      </c>
      <c r="K1995">
        <v>1.7281098315602643</v>
      </c>
      <c r="L1995">
        <v>0</v>
      </c>
      <c r="M1995">
        <v>1.464595427225524E-3</v>
      </c>
      <c r="N1995">
        <v>0.13276452084053439</v>
      </c>
      <c r="O1995">
        <v>1.8199116523634502E-2</v>
      </c>
      <c r="P1995">
        <v>1.934692714083866E-2</v>
      </c>
      <c r="Q1995">
        <v>2.1342109898664884E-3</v>
      </c>
      <c r="R1995">
        <v>1.4552381524411163E-3</v>
      </c>
      <c r="S1995">
        <v>0.14930481388509134</v>
      </c>
      <c r="T1995">
        <v>1.0743818697755538</v>
      </c>
      <c r="U1995">
        <v>2.394929301560202E-2</v>
      </c>
      <c r="V1995">
        <v>0.20775004529601981</v>
      </c>
      <c r="W1995">
        <v>8.1237837403044633E-2</v>
      </c>
      <c r="X1995">
        <v>1.5089875433047188E-2</v>
      </c>
      <c r="Y1995">
        <v>3.9606785318166936E-3</v>
      </c>
    </row>
    <row r="1996" spans="1:25" x14ac:dyDescent="0.25">
      <c r="A1996" s="827"/>
      <c r="B1996" s="1066">
        <v>1746</v>
      </c>
      <c r="C1996" s="831">
        <v>0.99723948086840708</v>
      </c>
      <c r="D1996" s="831">
        <v>1.001119194541825</v>
      </c>
      <c r="E1996" s="831">
        <v>0.98748141189770766</v>
      </c>
      <c r="F1996" s="831">
        <v>1.0110474151643918</v>
      </c>
      <c r="G1996" s="831">
        <v>1.0120548797500681</v>
      </c>
      <c r="H1996" s="831">
        <v>0.97947982897284547</v>
      </c>
      <c r="I1996" s="831">
        <v>1.0036937424848416</v>
      </c>
      <c r="K1996">
        <v>1.7304807124777701</v>
      </c>
      <c r="L1996">
        <v>0</v>
      </c>
      <c r="M1996">
        <v>1.3964791216058302E-3</v>
      </c>
      <c r="N1996">
        <v>0.135279054701747</v>
      </c>
      <c r="O1996">
        <v>1.7876486577828705E-2</v>
      </c>
      <c r="P1996">
        <v>1.9649946103392577E-2</v>
      </c>
      <c r="Q1996">
        <v>2.1400050828498519E-3</v>
      </c>
      <c r="R1996">
        <v>1.3876982168484317E-3</v>
      </c>
      <c r="S1996">
        <v>0.15217221965163621</v>
      </c>
      <c r="T1996">
        <v>1.0724759053509367</v>
      </c>
      <c r="U1996">
        <v>2.3387088403272662E-2</v>
      </c>
      <c r="V1996">
        <v>0.20637622252583754</v>
      </c>
      <c r="W1996">
        <v>8.1561072794897035E-2</v>
      </c>
      <c r="X1996">
        <v>1.5794635098461796E-2</v>
      </c>
      <c r="Y1996">
        <v>3.7768570916671914E-3</v>
      </c>
    </row>
    <row r="1997" spans="1:25" x14ac:dyDescent="0.25">
      <c r="A1997" s="827"/>
      <c r="B1997" s="1066">
        <v>1747</v>
      </c>
      <c r="C1997" s="831">
        <v>1.0334892203907531</v>
      </c>
      <c r="D1997" s="831">
        <v>0.98149109788942401</v>
      </c>
      <c r="E1997" s="831">
        <v>0.98781112874978771</v>
      </c>
      <c r="F1997" s="831">
        <v>1.0118713160927084</v>
      </c>
      <c r="G1997" s="831">
        <v>0.96488782761543435</v>
      </c>
      <c r="H1997" s="831">
        <v>1.0204829276763983</v>
      </c>
      <c r="I1997" s="831">
        <v>1.0261104986630549</v>
      </c>
      <c r="K1997">
        <v>1.7324865634479432</v>
      </c>
      <c r="L1997">
        <v>0</v>
      </c>
      <c r="M1997">
        <v>1.4155726047842736E-3</v>
      </c>
      <c r="N1997">
        <v>0.13730578559308387</v>
      </c>
      <c r="O1997">
        <v>1.7405037244320562E-2</v>
      </c>
      <c r="P1997">
        <v>1.9645044561580359E-2</v>
      </c>
      <c r="Q1997">
        <v>2.080866918420366E-3</v>
      </c>
      <c r="R1997">
        <v>1.4070431186718321E-3</v>
      </c>
      <c r="S1997">
        <v>0.15430081152521838</v>
      </c>
      <c r="T1997">
        <v>1.0724464933175937</v>
      </c>
      <c r="U1997">
        <v>2.2566783898805596E-2</v>
      </c>
      <c r="V1997">
        <v>0.20437330305768908</v>
      </c>
      <c r="W1997">
        <v>8.2764172526798116E-2</v>
      </c>
      <c r="X1997">
        <v>1.577728675315888E-2</v>
      </c>
      <c r="Y1997">
        <v>3.8295075373853144E-3</v>
      </c>
    </row>
    <row r="1998" spans="1:25" x14ac:dyDescent="0.25">
      <c r="A1998" s="827"/>
      <c r="B1998" s="1066">
        <v>1748</v>
      </c>
      <c r="C1998" s="831">
        <v>1.0376023775474463</v>
      </c>
      <c r="D1998" s="831">
        <v>1.0222719785048195</v>
      </c>
      <c r="E1998" s="831">
        <v>1.007467306781332</v>
      </c>
      <c r="F1998" s="831">
        <v>1.0102960902767555</v>
      </c>
      <c r="G1998" s="831">
        <v>1.01244178135775</v>
      </c>
      <c r="H1998" s="831">
        <v>1.045394141082705</v>
      </c>
      <c r="I1998" s="831">
        <v>0.98753552803252875</v>
      </c>
      <c r="K1998">
        <v>1.723317342484757</v>
      </c>
      <c r="L1998">
        <v>0</v>
      </c>
      <c r="M1998">
        <v>1.3605442564102715E-3</v>
      </c>
      <c r="N1998">
        <v>0.14030929100300793</v>
      </c>
      <c r="O1998">
        <v>1.7019352867280322E-2</v>
      </c>
      <c r="P1998">
        <v>1.9756869042753852E-2</v>
      </c>
      <c r="Q1998">
        <v>2.0823439897637288E-3</v>
      </c>
      <c r="R1998">
        <v>1.3525151323606735E-3</v>
      </c>
      <c r="S1998">
        <v>0.14711611720460152</v>
      </c>
      <c r="T1998">
        <v>1.0707004899454895</v>
      </c>
      <c r="U1998">
        <v>2.2477326963561906E-2</v>
      </c>
      <c r="V1998">
        <v>0.20034107491517658</v>
      </c>
      <c r="W1998">
        <v>8.3442862814828059E-2</v>
      </c>
      <c r="X1998">
        <v>1.6398542528552298E-2</v>
      </c>
      <c r="Y1998">
        <v>3.6811003337921971E-3</v>
      </c>
    </row>
    <row r="1999" spans="1:25" x14ac:dyDescent="0.25">
      <c r="A1999" s="827"/>
      <c r="B1999" s="1066">
        <v>1749</v>
      </c>
      <c r="C1999" s="831">
        <v>1.0039325596478041</v>
      </c>
      <c r="D1999" s="831">
        <v>1.0296155407298293</v>
      </c>
      <c r="E1999" s="831">
        <v>1.0032998847559309</v>
      </c>
      <c r="F1999" s="831">
        <v>0.99271734233298381</v>
      </c>
      <c r="G1999" s="831">
        <v>0.9909935956583501</v>
      </c>
      <c r="H1999" s="831">
        <v>1.0188832870892992</v>
      </c>
      <c r="I1999" s="831">
        <v>1.0012759553294603</v>
      </c>
      <c r="K1999">
        <v>1.7328041098768561</v>
      </c>
      <c r="L1999">
        <v>0</v>
      </c>
      <c r="M1999">
        <v>1.3781478471013642E-3</v>
      </c>
      <c r="N1999">
        <v>0.14027246807364646</v>
      </c>
      <c r="O1999">
        <v>1.7533377651424174E-2</v>
      </c>
      <c r="P1999">
        <v>1.9813759503532626E-2</v>
      </c>
      <c r="Q1999">
        <v>2.1375315681093025E-3</v>
      </c>
      <c r="R1999">
        <v>1.3697984185873115E-3</v>
      </c>
      <c r="S1999">
        <v>0.15183552552490712</v>
      </c>
      <c r="T1999">
        <v>1.0710694523966486</v>
      </c>
      <c r="U1999">
        <v>2.3231169936838304E-2</v>
      </c>
      <c r="V1999">
        <v>0.20312017062543053</v>
      </c>
      <c r="W1999">
        <v>8.3658285780564001E-2</v>
      </c>
      <c r="X1999">
        <v>1.6412578502800448E-2</v>
      </c>
      <c r="Y1999">
        <v>3.7281397414673316E-3</v>
      </c>
    </row>
    <row r="2000" spans="1:25" x14ac:dyDescent="0.25">
      <c r="A2000" s="827"/>
      <c r="B2000" s="1066">
        <v>1750</v>
      </c>
      <c r="C2000" s="831">
        <v>0.98782945034268377</v>
      </c>
      <c r="D2000" s="831">
        <v>0.97425082184796885</v>
      </c>
      <c r="E2000" s="831">
        <v>1.0289826446739636</v>
      </c>
      <c r="F2000" s="831">
        <v>0.97845798230779257</v>
      </c>
      <c r="G2000" s="831">
        <v>1.0264166456424286</v>
      </c>
      <c r="H2000" s="831">
        <v>1.0038337075620227</v>
      </c>
      <c r="I2000" s="831">
        <v>0.99423884461549439</v>
      </c>
      <c r="K2000">
        <v>1.7546591644362655</v>
      </c>
      <c r="L2000">
        <v>0</v>
      </c>
      <c r="M2000">
        <v>1.3401936457929729E-3</v>
      </c>
      <c r="N2000">
        <v>0.14773251409203805</v>
      </c>
      <c r="O2000">
        <v>1.8270874906274593E-2</v>
      </c>
      <c r="P2000">
        <v>2.0314513016950756E-2</v>
      </c>
      <c r="Q2000">
        <v>2.2748483995183467E-3</v>
      </c>
      <c r="R2000">
        <v>1.3319894287624335E-3</v>
      </c>
      <c r="S2000">
        <v>0.15568473305107788</v>
      </c>
      <c r="T2000">
        <v>1.068806084868327</v>
      </c>
      <c r="U2000">
        <v>2.3609873030422873E-2</v>
      </c>
      <c r="V2000">
        <v>0.20996451483312426</v>
      </c>
      <c r="W2000">
        <v>8.6589627600853578E-2</v>
      </c>
      <c r="X2000">
        <v>1.7794548719814687E-2</v>
      </c>
      <c r="Y2000">
        <v>3.6252361348941614E-3</v>
      </c>
    </row>
    <row r="2001" spans="1:25" x14ac:dyDescent="0.25">
      <c r="A2001" s="827"/>
      <c r="B2001" s="1066">
        <v>1751</v>
      </c>
      <c r="C2001" s="831">
        <v>1.0097922029740627</v>
      </c>
      <c r="D2001" s="831">
        <v>0.95125644328704373</v>
      </c>
      <c r="E2001" s="831">
        <v>1.0064652795422577</v>
      </c>
      <c r="F2001" s="831">
        <v>1.0008929252228997</v>
      </c>
      <c r="G2001" s="831">
        <v>1.0053199513713389</v>
      </c>
      <c r="H2001" s="831">
        <v>0.96822789923735952</v>
      </c>
      <c r="I2001" s="831">
        <v>0.99301300104250467</v>
      </c>
      <c r="K2001">
        <v>1.7348630440538617</v>
      </c>
      <c r="L2001">
        <v>0</v>
      </c>
      <c r="M2001">
        <v>1.3405959798826451E-3</v>
      </c>
      <c r="N2001">
        <v>0.13776197975929841</v>
      </c>
      <c r="O2001">
        <v>1.8068795548259273E-2</v>
      </c>
      <c r="P2001">
        <v>1.9935769763055992E-2</v>
      </c>
      <c r="Q2001">
        <v>2.1954345437634666E-3</v>
      </c>
      <c r="R2001">
        <v>1.3321043830471458E-3</v>
      </c>
      <c r="S2001">
        <v>0.15106259846845749</v>
      </c>
      <c r="T2001">
        <v>1.070789144439112</v>
      </c>
      <c r="U2001">
        <v>2.3096363617794966E-2</v>
      </c>
      <c r="V2001">
        <v>0.20980272586488224</v>
      </c>
      <c r="W2001">
        <v>8.1983878857490852E-2</v>
      </c>
      <c r="X2001">
        <v>1.6549295786019397E-2</v>
      </c>
      <c r="Y2001">
        <v>3.6255490025624776E-3</v>
      </c>
    </row>
    <row r="2002" spans="1:25" x14ac:dyDescent="0.25">
      <c r="A2002" s="827"/>
      <c r="B2002" s="1066">
        <v>1752</v>
      </c>
      <c r="C2002" s="831">
        <v>0.99029660295918087</v>
      </c>
      <c r="D2002" s="831">
        <v>1.041568880381198</v>
      </c>
      <c r="E2002" s="831">
        <v>1.0002721054890831</v>
      </c>
      <c r="F2002" s="831">
        <v>1.010392125652676</v>
      </c>
      <c r="G2002" s="831">
        <v>0.98283841853371856</v>
      </c>
      <c r="H2002" s="831">
        <v>0.991674676017965</v>
      </c>
      <c r="I2002" s="831">
        <v>1.0098648691939709</v>
      </c>
      <c r="K2002">
        <v>1.7297644634759539</v>
      </c>
      <c r="L2002">
        <v>0</v>
      </c>
      <c r="M2002">
        <v>1.361416182471814E-3</v>
      </c>
      <c r="N2002">
        <v>0.13724672160853144</v>
      </c>
      <c r="O2002">
        <v>1.7682491358303576E-2</v>
      </c>
      <c r="P2002">
        <v>1.9792410647459738E-2</v>
      </c>
      <c r="Q2002">
        <v>2.1511628771640127E-3</v>
      </c>
      <c r="R2002">
        <v>1.3529339940475261E-3</v>
      </c>
      <c r="S2002">
        <v>0.15255136352127488</v>
      </c>
      <c r="T2002">
        <v>1.0713379280809121</v>
      </c>
      <c r="U2002">
        <v>2.3551053117431001E-2</v>
      </c>
      <c r="V2002">
        <v>0.20352314959622708</v>
      </c>
      <c r="W2002">
        <v>8.2023278187343382E-2</v>
      </c>
      <c r="X2002">
        <v>1.6231146332505556E-2</v>
      </c>
      <c r="Y2002">
        <v>3.6822403372260928E-3</v>
      </c>
    </row>
    <row r="2003" spans="1:25" x14ac:dyDescent="0.25">
      <c r="A2003" s="827"/>
      <c r="B2003" s="1066">
        <v>1753</v>
      </c>
      <c r="C2003" s="831">
        <v>0.99869456501640641</v>
      </c>
      <c r="D2003" s="831">
        <v>0.98433631821773537</v>
      </c>
      <c r="E2003" s="831">
        <v>1.0149457831789916</v>
      </c>
      <c r="F2003" s="831">
        <v>0.97899234735750695</v>
      </c>
      <c r="G2003" s="831">
        <v>1.0002762651310533</v>
      </c>
      <c r="H2003" s="831">
        <v>0.96668748238428304</v>
      </c>
      <c r="I2003" s="831">
        <v>1.0118662317021894</v>
      </c>
      <c r="K2003">
        <v>1.7349164715657395</v>
      </c>
      <c r="L2003">
        <v>0</v>
      </c>
      <c r="M2003">
        <v>1.3088607919362909E-3</v>
      </c>
      <c r="N2003">
        <v>0.13808989359696008</v>
      </c>
      <c r="O2003">
        <v>1.7987782146063048E-2</v>
      </c>
      <c r="P2003">
        <v>2.0057820446586615E-2</v>
      </c>
      <c r="Q2003">
        <v>2.2104849618049842E-3</v>
      </c>
      <c r="R2003">
        <v>1.3005334349504903E-3</v>
      </c>
      <c r="S2003">
        <v>0.15332960083074937</v>
      </c>
      <c r="T2003">
        <v>1.0700400298555761</v>
      </c>
      <c r="U2003">
        <v>2.3353013739410934E-2</v>
      </c>
      <c r="V2003">
        <v>0.20778746672070603</v>
      </c>
      <c r="W2003">
        <v>8.1707069147690936E-2</v>
      </c>
      <c r="X2003">
        <v>1.6822014187973695E-2</v>
      </c>
      <c r="Y2003">
        <v>3.5396232892036259E-3</v>
      </c>
    </row>
    <row r="2004" spans="1:25" x14ac:dyDescent="0.25">
      <c r="A2004" s="827"/>
      <c r="B2004" s="1066">
        <v>1754</v>
      </c>
      <c r="C2004" s="831">
        <v>0.99790430256112739</v>
      </c>
      <c r="D2004" s="831">
        <v>1.0053796556876056</v>
      </c>
      <c r="E2004" s="831">
        <v>0.99118198007145186</v>
      </c>
      <c r="F2004" s="831">
        <v>0.96775228522784407</v>
      </c>
      <c r="G2004" s="831">
        <v>0.95531069158917259</v>
      </c>
      <c r="H2004" s="831">
        <v>1.0021466363922575</v>
      </c>
      <c r="I2004" s="831">
        <v>1.016753174585155</v>
      </c>
      <c r="K2004">
        <v>1.7383698380153036</v>
      </c>
      <c r="L2004">
        <v>0</v>
      </c>
      <c r="M2004">
        <v>1.4140596918460705E-3</v>
      </c>
      <c r="N2004">
        <v>0.13858908076382623</v>
      </c>
      <c r="O2004">
        <v>1.7830258922492438E-2</v>
      </c>
      <c r="P2004">
        <v>1.9738076983670312E-2</v>
      </c>
      <c r="Q2004">
        <v>2.1432175178555004E-3</v>
      </c>
      <c r="R2004">
        <v>1.4053663495918341E-3</v>
      </c>
      <c r="S2004">
        <v>0.1554323673409734</v>
      </c>
      <c r="T2004">
        <v>1.0721460350310426</v>
      </c>
      <c r="U2004">
        <v>2.3371507506727632E-2</v>
      </c>
      <c r="V2004">
        <v>0.20591454521546385</v>
      </c>
      <c r="W2004">
        <v>8.3343835042400033E-2</v>
      </c>
      <c r="X2004">
        <v>1.6044663108408384E-2</v>
      </c>
      <c r="Y2004">
        <v>3.8249439246963394E-3</v>
      </c>
    </row>
    <row r="2005" spans="1:25" x14ac:dyDescent="0.25">
      <c r="A2005" s="827"/>
      <c r="B2005" s="1066">
        <v>1755</v>
      </c>
      <c r="C2005" s="831">
        <v>1.0200210616282723</v>
      </c>
      <c r="D2005" s="831">
        <v>0.99522288881248244</v>
      </c>
      <c r="E2005" s="831">
        <v>0.9754622336666684</v>
      </c>
      <c r="F2005" s="831">
        <v>0.98369185238885581</v>
      </c>
      <c r="G2005" s="831">
        <v>1.0145500910084035</v>
      </c>
      <c r="H2005" s="831">
        <v>0.97664475751668312</v>
      </c>
      <c r="I2005" s="831">
        <v>0.99599054569244705</v>
      </c>
      <c r="K2005">
        <v>1.7166488254157657</v>
      </c>
      <c r="L2005">
        <v>0</v>
      </c>
      <c r="M2005">
        <v>1.3998698736441787E-3</v>
      </c>
      <c r="N2005">
        <v>0.13062167154559171</v>
      </c>
      <c r="O2005">
        <v>1.7524062519028601E-2</v>
      </c>
      <c r="P2005">
        <v>1.9395151687675406E-2</v>
      </c>
      <c r="Q2005">
        <v>2.0713610330685612E-3</v>
      </c>
      <c r="R2005">
        <v>1.3910463479116944E-3</v>
      </c>
      <c r="S2005">
        <v>0.14779482636902383</v>
      </c>
      <c r="T2005">
        <v>1.0735508539069887</v>
      </c>
      <c r="U2005">
        <v>2.2864751303343814E-2</v>
      </c>
      <c r="V2005">
        <v>0.20450156135095399</v>
      </c>
      <c r="W2005">
        <v>7.9411956024508457E-2</v>
      </c>
      <c r="X2005">
        <v>1.5135483600604653E-2</v>
      </c>
      <c r="Y2005">
        <v>3.7859696007102833E-3</v>
      </c>
    </row>
    <row r="2006" spans="1:25" x14ac:dyDescent="0.25">
      <c r="A2006" s="827"/>
      <c r="B2006" s="1066">
        <v>1756</v>
      </c>
      <c r="C2006" s="831">
        <v>0.9837810276870026</v>
      </c>
      <c r="D2006" s="831">
        <v>0.9903962924056664</v>
      </c>
      <c r="E2006" s="831">
        <v>1.0114174804848171</v>
      </c>
      <c r="F2006" s="831">
        <v>0.97165950477908225</v>
      </c>
      <c r="G2006" s="831">
        <v>0.97267899254124679</v>
      </c>
      <c r="H2006" s="831">
        <v>1.0330731674103024</v>
      </c>
      <c r="I2006" s="831">
        <v>0.97762621404371941</v>
      </c>
      <c r="K2006">
        <v>1.7565156520070315</v>
      </c>
      <c r="L2006">
        <v>0</v>
      </c>
      <c r="M2006">
        <v>1.4265872668122925E-3</v>
      </c>
      <c r="N2006">
        <v>0.14892978208457511</v>
      </c>
      <c r="O2006">
        <v>1.8209695019927155E-2</v>
      </c>
      <c r="P2006">
        <v>2.0049326010181397E-2</v>
      </c>
      <c r="Q2006">
        <v>2.2310202543319303E-3</v>
      </c>
      <c r="R2006">
        <v>1.4180898737816009E-3</v>
      </c>
      <c r="S2006">
        <v>0.15476069421778002</v>
      </c>
      <c r="T2006">
        <v>1.0703513675808629</v>
      </c>
      <c r="U2006">
        <v>2.3707031587239958E-2</v>
      </c>
      <c r="V2006">
        <v>0.20886151736999842</v>
      </c>
      <c r="W2006">
        <v>8.8332023880646579E-2</v>
      </c>
      <c r="X2006">
        <v>1.723211823128622E-2</v>
      </c>
      <c r="Y2006">
        <v>3.8595731632322613E-3</v>
      </c>
    </row>
    <row r="2007" spans="1:25" x14ac:dyDescent="0.25">
      <c r="A2007" s="827"/>
      <c r="B2007" s="1066">
        <v>1757</v>
      </c>
      <c r="C2007" s="831">
        <v>0.98811265855690156</v>
      </c>
      <c r="D2007" s="831">
        <v>1.0001845121721473</v>
      </c>
      <c r="E2007" s="831">
        <v>1.0101759990034869</v>
      </c>
      <c r="F2007" s="831">
        <v>1.0151634583973435</v>
      </c>
      <c r="G2007" s="831">
        <v>1.0073991988324089</v>
      </c>
      <c r="H2007" s="831">
        <v>0.95625130142072767</v>
      </c>
      <c r="I2007" s="831">
        <v>0.98513666304059877</v>
      </c>
      <c r="K2007">
        <v>1.728357240764854</v>
      </c>
      <c r="L2007">
        <v>0</v>
      </c>
      <c r="M2007">
        <v>1.3123057464958854E-3</v>
      </c>
      <c r="N2007">
        <v>0.13640515832273153</v>
      </c>
      <c r="O2007">
        <v>1.8049239388152338E-2</v>
      </c>
      <c r="P2007">
        <v>1.9934314606207804E-2</v>
      </c>
      <c r="Q2007">
        <v>2.2104057655295125E-3</v>
      </c>
      <c r="R2007">
        <v>1.3038543150956762E-3</v>
      </c>
      <c r="S2007">
        <v>0.14913438028947873</v>
      </c>
      <c r="T2007">
        <v>1.070461028022629</v>
      </c>
      <c r="U2007">
        <v>2.360310607938651E-2</v>
      </c>
      <c r="V2007">
        <v>0.20745577126872125</v>
      </c>
      <c r="W2007">
        <v>8.0971759352169548E-2</v>
      </c>
      <c r="X2007">
        <v>1.659186747101735E-2</v>
      </c>
      <c r="Y2007">
        <v>3.5486616302309749E-3</v>
      </c>
    </row>
    <row r="2008" spans="1:25" x14ac:dyDescent="0.25">
      <c r="A2008" s="827"/>
      <c r="B2008" s="1066">
        <v>1758</v>
      </c>
      <c r="C2008" s="831">
        <v>1.0068519727066738</v>
      </c>
      <c r="D2008" s="831">
        <v>1.0362297382856602</v>
      </c>
      <c r="E2008" s="831">
        <v>0.99550669514203738</v>
      </c>
      <c r="F2008" s="831">
        <v>0.97371020326616453</v>
      </c>
      <c r="G2008" s="831">
        <v>0.9870958387011195</v>
      </c>
      <c r="H2008" s="831">
        <v>0.97004613525921024</v>
      </c>
      <c r="I2008" s="831">
        <v>0.99661662704322074</v>
      </c>
      <c r="K2008">
        <v>1.7132337886182296</v>
      </c>
      <c r="L2008">
        <v>0</v>
      </c>
      <c r="M2008">
        <v>1.3260994810134811E-3</v>
      </c>
      <c r="N2008">
        <v>0.13170063506270188</v>
      </c>
      <c r="O2008">
        <v>1.743209561685825E-2</v>
      </c>
      <c r="P2008">
        <v>1.9627964431208809E-2</v>
      </c>
      <c r="Q2008">
        <v>2.1096840462240386E-3</v>
      </c>
      <c r="R2008">
        <v>1.317656578484703E-3</v>
      </c>
      <c r="S2008">
        <v>0.14687699994311781</v>
      </c>
      <c r="T2008">
        <v>1.0717611817580874</v>
      </c>
      <c r="U2008">
        <v>2.316381010369015E-2</v>
      </c>
      <c r="V2008">
        <v>0.20224770664650663</v>
      </c>
      <c r="W2008">
        <v>7.8966193113340022E-2</v>
      </c>
      <c r="X2008">
        <v>1.5769733957759911E-2</v>
      </c>
      <c r="Y2008">
        <v>3.5862268412610028E-3</v>
      </c>
    </row>
    <row r="2009" spans="1:25" x14ac:dyDescent="0.25">
      <c r="A2009" s="827"/>
      <c r="B2009" s="1066">
        <v>1759</v>
      </c>
      <c r="C2009" s="831">
        <v>1.0088545059689462</v>
      </c>
      <c r="D2009" s="831">
        <v>0.97953426583870262</v>
      </c>
      <c r="E2009" s="831">
        <v>1.0113848506768719</v>
      </c>
      <c r="F2009" s="831">
        <v>1.0199261337086249</v>
      </c>
      <c r="G2009" s="831">
        <v>0.97994378130487891</v>
      </c>
      <c r="H2009" s="831">
        <v>1.0115624175736886</v>
      </c>
      <c r="I2009" s="831">
        <v>1.0150708483914712</v>
      </c>
      <c r="K2009">
        <v>1.7447596432314703</v>
      </c>
      <c r="L2009">
        <v>0</v>
      </c>
      <c r="M2009">
        <v>1.3690856534215447E-3</v>
      </c>
      <c r="N2009">
        <v>0.14289493790335822</v>
      </c>
      <c r="O2009">
        <v>1.7846205234552274E-2</v>
      </c>
      <c r="P2009">
        <v>2.0032085769670454E-2</v>
      </c>
      <c r="Q2009">
        <v>2.1844232905240723E-3</v>
      </c>
      <c r="R2009">
        <v>1.3607648925386107E-3</v>
      </c>
      <c r="S2009">
        <v>0.15584762726251228</v>
      </c>
      <c r="T2009">
        <v>1.0703542490358866</v>
      </c>
      <c r="U2009">
        <v>2.3117830926376516E-2</v>
      </c>
      <c r="V2009">
        <v>0.20714341959191632</v>
      </c>
      <c r="W2009">
        <v>8.4754563352706758E-2</v>
      </c>
      <c r="X2009">
        <v>1.688906816338431E-2</v>
      </c>
      <c r="Y2009">
        <v>3.7035534614638316E-3</v>
      </c>
    </row>
    <row r="2010" spans="1:25" x14ac:dyDescent="0.25">
      <c r="A2010" s="827"/>
      <c r="B2010" s="1066">
        <v>1760</v>
      </c>
      <c r="C2010" s="831">
        <v>1.0141835913119954</v>
      </c>
      <c r="D2010" s="831">
        <v>1.0186261278414288</v>
      </c>
      <c r="E2010" s="831">
        <v>0.98527251624378742</v>
      </c>
      <c r="F2010" s="831">
        <v>0.96561573968809078</v>
      </c>
      <c r="G2010" s="831">
        <v>0.95668420672436671</v>
      </c>
      <c r="H2010" s="831">
        <v>0.98049539683811004</v>
      </c>
      <c r="I2010" s="831">
        <v>1.004474910567497</v>
      </c>
      <c r="K2010">
        <v>1.7170647346061909</v>
      </c>
      <c r="L2010">
        <v>0</v>
      </c>
      <c r="M2010">
        <v>1.3701895964077595E-3</v>
      </c>
      <c r="N2010">
        <v>0.1318221002026756</v>
      </c>
      <c r="O2010">
        <v>1.7440486370429806E-2</v>
      </c>
      <c r="P2010">
        <v>1.9522941092241852E-2</v>
      </c>
      <c r="Q2010">
        <v>2.0860927278513446E-3</v>
      </c>
      <c r="R2010">
        <v>1.3615708200966819E-3</v>
      </c>
      <c r="S2010">
        <v>0.14874618742426535</v>
      </c>
      <c r="T2010">
        <v>1.0726730530078545</v>
      </c>
      <c r="U2010">
        <v>2.2996356969384704E-2</v>
      </c>
      <c r="V2010">
        <v>0.2030143040232783</v>
      </c>
      <c r="W2010">
        <v>7.9598206423744586E-2</v>
      </c>
      <c r="X2010">
        <v>1.5467878210171144E-2</v>
      </c>
      <c r="Y2010">
        <v>3.7057469306029517E-3</v>
      </c>
    </row>
    <row r="2011" spans="1:25" x14ac:dyDescent="0.25">
      <c r="A2011" s="827"/>
      <c r="B2011" s="1066">
        <v>1761</v>
      </c>
      <c r="C2011" s="831">
        <v>1.0126582254082166</v>
      </c>
      <c r="D2011" s="831">
        <v>1.0130972996121512</v>
      </c>
      <c r="E2011" s="831">
        <v>0.95441386375474502</v>
      </c>
      <c r="F2011" s="831">
        <v>0.96228471761370371</v>
      </c>
      <c r="G2011" s="831">
        <v>1.0095371763260801</v>
      </c>
      <c r="H2011" s="831">
        <v>1.0071204350975704</v>
      </c>
      <c r="I2011" s="831">
        <v>0.99191819254687186</v>
      </c>
      <c r="K2011">
        <v>1.7217008542959706</v>
      </c>
      <c r="L2011">
        <v>0</v>
      </c>
      <c r="M2011">
        <v>1.5073923562891856E-3</v>
      </c>
      <c r="N2011">
        <v>0.1317407228414457</v>
      </c>
      <c r="O2011">
        <v>1.750979052553657E-2</v>
      </c>
      <c r="P2011">
        <v>1.9119066560104314E-2</v>
      </c>
      <c r="Q2011">
        <v>2.0284521762265785E-3</v>
      </c>
      <c r="R2011">
        <v>1.4981652728407416E-3</v>
      </c>
      <c r="S2011">
        <v>0.14930107340341836</v>
      </c>
      <c r="T2011">
        <v>1.0754463883311558</v>
      </c>
      <c r="U2011">
        <v>2.3030996355064941E-2</v>
      </c>
      <c r="V2011">
        <v>0.2036605299956758</v>
      </c>
      <c r="W2011">
        <v>8.128330161425748E-2</v>
      </c>
      <c r="X2011">
        <v>1.4512247573910109E-2</v>
      </c>
      <c r="Y2011">
        <v>4.0775120026230365E-3</v>
      </c>
    </row>
    <row r="2012" spans="1:25" x14ac:dyDescent="0.25">
      <c r="A2012" s="827"/>
      <c r="B2012" s="1066">
        <v>1762</v>
      </c>
      <c r="C2012" s="831">
        <v>1.0197767571393488</v>
      </c>
      <c r="D2012" s="831">
        <v>0.96846614744552773</v>
      </c>
      <c r="E2012" s="831">
        <v>1.0021252561649128</v>
      </c>
      <c r="F2012" s="831">
        <v>0.97967119799935698</v>
      </c>
      <c r="G2012" s="831">
        <v>1.0247831487501651</v>
      </c>
      <c r="H2012" s="831">
        <v>0.99211057460423957</v>
      </c>
      <c r="I2012" s="831">
        <v>1.0397247820730195</v>
      </c>
      <c r="K2012">
        <v>1.7386314273152732</v>
      </c>
      <c r="L2012">
        <v>0</v>
      </c>
      <c r="M2012">
        <v>1.3615667922197033E-3</v>
      </c>
      <c r="N2012">
        <v>0.13806096635663168</v>
      </c>
      <c r="O2012">
        <v>1.7746461027099925E-2</v>
      </c>
      <c r="P2012">
        <v>1.9920133340138479E-2</v>
      </c>
      <c r="Q2012">
        <v>2.1501327395762049E-3</v>
      </c>
      <c r="R2012">
        <v>1.3531374001849777E-3</v>
      </c>
      <c r="S2012">
        <v>0.15722806706337833</v>
      </c>
      <c r="T2012">
        <v>1.0711735665870963</v>
      </c>
      <c r="U2012">
        <v>2.2870228934935649E-2</v>
      </c>
      <c r="V2012">
        <v>0.20703338953823705</v>
      </c>
      <c r="W2012">
        <v>8.2405429378018605E-2</v>
      </c>
      <c r="X2012">
        <v>1.6368687800515067E-2</v>
      </c>
      <c r="Y2012">
        <v>3.6827939416794208E-3</v>
      </c>
    </row>
    <row r="2013" spans="1:25" x14ac:dyDescent="0.25">
      <c r="A2013" s="827"/>
      <c r="B2013" s="1066">
        <v>1763</v>
      </c>
      <c r="C2013" s="831">
        <v>1.0083530175236715</v>
      </c>
      <c r="D2013" s="831">
        <v>0.9688201361359946</v>
      </c>
      <c r="E2013" s="831">
        <v>1.0236164421039189</v>
      </c>
      <c r="F2013" s="831">
        <v>0.98970029162875273</v>
      </c>
      <c r="G2013" s="831">
        <v>0.98055278692954417</v>
      </c>
      <c r="H2013" s="831">
        <v>1.02973445773117</v>
      </c>
      <c r="I2013" s="831">
        <v>0.97261388645193381</v>
      </c>
      <c r="K2013">
        <v>1.7486991428736907</v>
      </c>
      <c r="L2013">
        <v>0</v>
      </c>
      <c r="M2013">
        <v>1.3656206516972603E-3</v>
      </c>
      <c r="N2013">
        <v>0.14807123833363475</v>
      </c>
      <c r="O2013">
        <v>1.7944530669699761E-2</v>
      </c>
      <c r="P2013">
        <v>2.0150910694985109E-2</v>
      </c>
      <c r="Q2013">
        <v>2.2213362056759073E-3</v>
      </c>
      <c r="R2013">
        <v>1.3574748213445705E-3</v>
      </c>
      <c r="S2013">
        <v>0.1513659831526602</v>
      </c>
      <c r="T2013">
        <v>1.0692769325161169</v>
      </c>
      <c r="U2013">
        <v>2.3129328214417402E-2</v>
      </c>
      <c r="V2013">
        <v>0.20822442065634633</v>
      </c>
      <c r="W2013">
        <v>8.7101616315095345E-2</v>
      </c>
      <c r="X2013">
        <v>1.7526392973165598E-2</v>
      </c>
      <c r="Y2013">
        <v>3.6945989722453306E-3</v>
      </c>
    </row>
    <row r="2014" spans="1:25" x14ac:dyDescent="0.25">
      <c r="A2014" s="827"/>
      <c r="B2014" s="1066">
        <v>1764</v>
      </c>
      <c r="C2014" s="831">
        <v>1.0008250404672492</v>
      </c>
      <c r="D2014" s="831">
        <v>0.96877547136546671</v>
      </c>
      <c r="E2014" s="831">
        <v>0.98166854881904642</v>
      </c>
      <c r="F2014" s="831">
        <v>0.98452800367641402</v>
      </c>
      <c r="G2014" s="831">
        <v>1.022930583151149</v>
      </c>
      <c r="H2014" s="831">
        <v>0.99824980915535877</v>
      </c>
      <c r="I2014" s="831">
        <v>1.0314577196011392</v>
      </c>
      <c r="K2014">
        <v>1.7469631464896178</v>
      </c>
      <c r="L2014">
        <v>0</v>
      </c>
      <c r="M2014">
        <v>1.4570954781199547E-3</v>
      </c>
      <c r="N2014">
        <v>0.13863729865000154</v>
      </c>
      <c r="O2014">
        <v>1.8079884305966999E-2</v>
      </c>
      <c r="P2014">
        <v>1.9702491772707206E-2</v>
      </c>
      <c r="Q2014">
        <v>2.1458048285981899E-3</v>
      </c>
      <c r="R2014">
        <v>1.4481299134673985E-3</v>
      </c>
      <c r="S2014">
        <v>0.1593711690230861</v>
      </c>
      <c r="T2014">
        <v>1.0729951072011219</v>
      </c>
      <c r="U2014">
        <v>2.3303301731354312E-2</v>
      </c>
      <c r="V2014">
        <v>0.2090530497684599</v>
      </c>
      <c r="W2014">
        <v>8.3922529760177111E-2</v>
      </c>
      <c r="X2014">
        <v>1.5820142764234681E-2</v>
      </c>
      <c r="Y2014">
        <v>3.9413322485605824E-3</v>
      </c>
    </row>
    <row r="2015" spans="1:25" x14ac:dyDescent="0.25">
      <c r="A2015" s="827"/>
      <c r="B2015" s="1066">
        <v>1765</v>
      </c>
      <c r="C2015" s="831">
        <v>0.9800343271669697</v>
      </c>
      <c r="D2015" s="831">
        <v>1.0118101533943507</v>
      </c>
      <c r="E2015" s="831">
        <v>0.99870142483534996</v>
      </c>
      <c r="F2015" s="831">
        <v>1.0246446120960631</v>
      </c>
      <c r="G2015" s="831">
        <v>1.0203222650620087</v>
      </c>
      <c r="H2015" s="831">
        <v>1.0327789128892173</v>
      </c>
      <c r="I2015" s="831">
        <v>1.0192971693855044</v>
      </c>
      <c r="K2015">
        <v>1.757491064634231</v>
      </c>
      <c r="L2015">
        <v>0</v>
      </c>
      <c r="M2015">
        <v>1.4563575823243918E-3</v>
      </c>
      <c r="N2015">
        <v>0.14614071811725246</v>
      </c>
      <c r="O2015">
        <v>1.8103072327513056E-2</v>
      </c>
      <c r="P2015">
        <v>1.9934301229325265E-2</v>
      </c>
      <c r="Q2015">
        <v>2.1937069614722175E-3</v>
      </c>
      <c r="R2015">
        <v>1.4476652660067113E-3</v>
      </c>
      <c r="S2015">
        <v>0.16051847058581289</v>
      </c>
      <c r="T2015">
        <v>1.0714773379564559</v>
      </c>
      <c r="U2015">
        <v>2.3797664277457196E-2</v>
      </c>
      <c r="V2015">
        <v>0.20727809183684298</v>
      </c>
      <c r="W2015">
        <v>8.7432580086722736E-2</v>
      </c>
      <c r="X2015">
        <v>1.6683745940349912E-2</v>
      </c>
      <c r="Y2015">
        <v>3.9400676313435844E-3</v>
      </c>
    </row>
    <row r="2016" spans="1:25" x14ac:dyDescent="0.25">
      <c r="A2016" s="827"/>
      <c r="B2016" s="1066">
        <v>1766</v>
      </c>
      <c r="C2016" s="831">
        <v>0.97122133314258485</v>
      </c>
      <c r="D2016" s="831">
        <v>0.99265230516605008</v>
      </c>
      <c r="E2016" s="831">
        <v>0.99509614632758403</v>
      </c>
      <c r="F2016" s="831">
        <v>1.0047000220364815</v>
      </c>
      <c r="G2016" s="831">
        <v>0.98425197255752606</v>
      </c>
      <c r="H2016" s="831">
        <v>1.0430947512206206</v>
      </c>
      <c r="I2016" s="831">
        <v>0.99018596503215028</v>
      </c>
      <c r="K2016">
        <v>1.7661350363502262</v>
      </c>
      <c r="L2016">
        <v>0</v>
      </c>
      <c r="M2016">
        <v>1.5085460897498494E-3</v>
      </c>
      <c r="N2016">
        <v>0.14969912114417414</v>
      </c>
      <c r="O2016">
        <v>1.842616072911937E-2</v>
      </c>
      <c r="P2016">
        <v>1.9910114257832689E-2</v>
      </c>
      <c r="Q2016">
        <v>2.2212880330288996E-3</v>
      </c>
      <c r="R2016">
        <v>1.4996451853795032E-3</v>
      </c>
      <c r="S2016">
        <v>0.15936163930976049</v>
      </c>
      <c r="T2016">
        <v>1.0717976859133054</v>
      </c>
      <c r="U2016">
        <v>2.4013607508844948E-2</v>
      </c>
      <c r="V2016">
        <v>0.21007018954831941</v>
      </c>
      <c r="W2016">
        <v>8.9783180077435687E-2</v>
      </c>
      <c r="X2016">
        <v>1.6779410896074393E-2</v>
      </c>
      <c r="Y2016">
        <v>4.0815398367005087E-3</v>
      </c>
    </row>
    <row r="2017" spans="1:25" x14ac:dyDescent="0.25">
      <c r="A2017" s="827"/>
      <c r="B2017" s="1066">
        <v>1767</v>
      </c>
      <c r="C2017" s="831">
        <v>1.0060735919677299</v>
      </c>
      <c r="D2017" s="831">
        <v>1.0191673392256952</v>
      </c>
      <c r="E2017" s="831">
        <v>0.98867313262624945</v>
      </c>
      <c r="F2017" s="831">
        <v>0.98385103597774248</v>
      </c>
      <c r="G2017" s="831">
        <v>1.0179530263480958</v>
      </c>
      <c r="H2017" s="831">
        <v>1.0344651867324834</v>
      </c>
      <c r="I2017" s="831">
        <v>1.0244041752021922</v>
      </c>
      <c r="K2017">
        <v>1.7408783694861421</v>
      </c>
      <c r="L2017">
        <v>0</v>
      </c>
      <c r="M2017">
        <v>1.4465378672232968E-3</v>
      </c>
      <c r="N2017">
        <v>0.1406953677450889</v>
      </c>
      <c r="O2017">
        <v>1.7576854568480623E-2</v>
      </c>
      <c r="P2017">
        <v>1.9691246274978959E-2</v>
      </c>
      <c r="Q2017">
        <v>2.1097460296430328E-3</v>
      </c>
      <c r="R2017">
        <v>1.4379131862991535E-3</v>
      </c>
      <c r="S2017">
        <v>0.15679780657420483</v>
      </c>
      <c r="T2017">
        <v>1.0723696185349119</v>
      </c>
      <c r="U2017">
        <v>2.318173151994558E-2</v>
      </c>
      <c r="V2017">
        <v>0.2038081231525983</v>
      </c>
      <c r="W2017">
        <v>8.4756900992932274E-2</v>
      </c>
      <c r="X2017">
        <v>1.5986073089129263E-2</v>
      </c>
      <c r="Y2017">
        <v>3.9135256851518243E-3</v>
      </c>
    </row>
    <row r="2018" spans="1:25" x14ac:dyDescent="0.25">
      <c r="A2018" s="827"/>
      <c r="B2018" s="1066">
        <v>1768</v>
      </c>
      <c r="C2018" s="831">
        <v>1.0018482577123442</v>
      </c>
      <c r="D2018" s="831">
        <v>1.008009294859566</v>
      </c>
      <c r="E2018" s="831">
        <v>1.0140613673144456</v>
      </c>
      <c r="F2018" s="831">
        <v>1.045397037400049</v>
      </c>
      <c r="G2018" s="831">
        <v>0.97357801725851412</v>
      </c>
      <c r="H2018" s="831">
        <v>1.0086406398636336</v>
      </c>
      <c r="I2018" s="831">
        <v>1.0020447397901526</v>
      </c>
      <c r="K2018">
        <v>1.7380686823727951</v>
      </c>
      <c r="L2018">
        <v>0</v>
      </c>
      <c r="M2018">
        <v>1.3493146771486738E-3</v>
      </c>
      <c r="N2018">
        <v>0.14200331065060914</v>
      </c>
      <c r="O2018">
        <v>1.7739081865580687E-2</v>
      </c>
      <c r="P2018">
        <v>2.0003668938438291E-2</v>
      </c>
      <c r="Q2018">
        <v>2.1822569188495603E-3</v>
      </c>
      <c r="R2018">
        <v>1.3410710340132123E-3</v>
      </c>
      <c r="S2018">
        <v>0.15288016683827399</v>
      </c>
      <c r="T2018">
        <v>1.0701180265446206</v>
      </c>
      <c r="U2018">
        <v>2.3279501380337429E-2</v>
      </c>
      <c r="V2018">
        <v>0.20525314772097678</v>
      </c>
      <c r="W2018">
        <v>8.4072967950784394E-2</v>
      </c>
      <c r="X2018">
        <v>1.6894843936822737E-2</v>
      </c>
      <c r="Y2018">
        <v>3.6499532706364144E-3</v>
      </c>
    </row>
    <row r="2019" spans="1:25" x14ac:dyDescent="0.25">
      <c r="A2019" s="827"/>
      <c r="B2019" s="1066">
        <v>1769</v>
      </c>
      <c r="C2019" s="831">
        <v>1.0038895794389502</v>
      </c>
      <c r="D2019" s="831">
        <v>1.0386477881386882</v>
      </c>
      <c r="E2019" s="831">
        <v>1.0163937683036099</v>
      </c>
      <c r="F2019" s="831">
        <v>1.0217226976178304</v>
      </c>
      <c r="G2019" s="831">
        <v>1.0304707901536847</v>
      </c>
      <c r="H2019" s="831">
        <v>1.0089721933408664</v>
      </c>
      <c r="I2019" s="831">
        <v>1.0194182319668146</v>
      </c>
      <c r="K2019">
        <v>1.7318798280968966</v>
      </c>
      <c r="L2019">
        <v>0</v>
      </c>
      <c r="M2019">
        <v>1.3224093055305729E-3</v>
      </c>
      <c r="N2019">
        <v>0.14018237259846927</v>
      </c>
      <c r="O2019">
        <v>1.7465166757019583E-2</v>
      </c>
      <c r="P2019">
        <v>2.0000571549341772E-2</v>
      </c>
      <c r="Q2019">
        <v>2.158788852568338E-3</v>
      </c>
      <c r="R2019">
        <v>1.3143132099833177E-3</v>
      </c>
      <c r="S2019">
        <v>0.15332525377759118</v>
      </c>
      <c r="T2019">
        <v>1.0699123958762955</v>
      </c>
      <c r="U2019">
        <v>2.3232164548752019E-2</v>
      </c>
      <c r="V2019">
        <v>0.20234799741699006</v>
      </c>
      <c r="W2019">
        <v>8.2863930534040287E-2</v>
      </c>
      <c r="X2019">
        <v>1.6822154987034928E-2</v>
      </c>
      <c r="Y2019">
        <v>3.5771272943413619E-3</v>
      </c>
    </row>
    <row r="2020" spans="1:25" x14ac:dyDescent="0.25">
      <c r="A2020" s="827"/>
      <c r="B2020" s="1066">
        <v>1770</v>
      </c>
      <c r="C2020" s="831">
        <v>1.0449204605152098</v>
      </c>
      <c r="D2020" s="831">
        <v>1.011186944476812</v>
      </c>
      <c r="E2020" s="831">
        <v>0.99953514216140738</v>
      </c>
      <c r="F2020" s="831">
        <v>0.96704145887545001</v>
      </c>
      <c r="G2020" s="831">
        <v>0.99420444151013787</v>
      </c>
      <c r="H2020" s="831">
        <v>1.001793807142894</v>
      </c>
      <c r="I2020" s="831">
        <v>1.0071663048041724</v>
      </c>
      <c r="K2020">
        <v>1.7117097209708272</v>
      </c>
      <c r="L2020">
        <v>0</v>
      </c>
      <c r="M2020">
        <v>1.3229869308273147E-3</v>
      </c>
      <c r="N2020">
        <v>0.13307754593098534</v>
      </c>
      <c r="O2020">
        <v>1.6983663727968813E-2</v>
      </c>
      <c r="P2020">
        <v>1.9645077429623372E-2</v>
      </c>
      <c r="Q2020">
        <v>2.0596813654047939E-3</v>
      </c>
      <c r="R2020">
        <v>1.3148468183203984E-3</v>
      </c>
      <c r="S2020">
        <v>0.1466639246247084</v>
      </c>
      <c r="T2020">
        <v>1.0714033275973611</v>
      </c>
      <c r="U2020">
        <v>2.2319907380130913E-2</v>
      </c>
      <c r="V2020">
        <v>0.2005750922122109</v>
      </c>
      <c r="W2020">
        <v>7.9571755409049372E-2</v>
      </c>
      <c r="X2020">
        <v>1.5839305805557962E-2</v>
      </c>
      <c r="Y2020">
        <v>3.5785796003309539E-3</v>
      </c>
    </row>
    <row r="2021" spans="1:25" x14ac:dyDescent="0.25">
      <c r="A2021" s="827"/>
      <c r="B2021" s="1066">
        <v>1771</v>
      </c>
      <c r="C2021" s="831">
        <v>1.0376480475587539</v>
      </c>
      <c r="D2021" s="831">
        <v>1.0141193244252695</v>
      </c>
      <c r="E2021" s="831">
        <v>1.0369784439311356</v>
      </c>
      <c r="F2021" s="831">
        <v>0.99989308532192345</v>
      </c>
      <c r="G2021" s="831">
        <v>0.96472943007752321</v>
      </c>
      <c r="H2021" s="831">
        <v>0.96604165197188974</v>
      </c>
      <c r="I2021" s="831">
        <v>1.0167997244098774</v>
      </c>
      <c r="K2021">
        <v>1.7096901889486447</v>
      </c>
      <c r="L2021">
        <v>0</v>
      </c>
      <c r="M2021">
        <v>1.1854886541924692E-3</v>
      </c>
      <c r="N2021">
        <v>0.13392734245099538</v>
      </c>
      <c r="O2021">
        <v>1.7080309400124775E-2</v>
      </c>
      <c r="P2021">
        <v>2.0151839798513163E-2</v>
      </c>
      <c r="Q2021">
        <v>2.1505470029470303E-3</v>
      </c>
      <c r="R2021">
        <v>1.1779228252728957E-3</v>
      </c>
      <c r="S2021">
        <v>0.1464265124040971</v>
      </c>
      <c r="T2021">
        <v>1.068106534749768</v>
      </c>
      <c r="U2021">
        <v>2.2476337668801513E-2</v>
      </c>
      <c r="V2021">
        <v>0.20103499216056867</v>
      </c>
      <c r="W2021">
        <v>7.8079464784612376E-2</v>
      </c>
      <c r="X2021">
        <v>1.7057956728897997E-2</v>
      </c>
      <c r="Y2021">
        <v>3.2059176282378298E-3</v>
      </c>
    </row>
    <row r="2022" spans="1:25" x14ac:dyDescent="0.25">
      <c r="A2022" s="827"/>
      <c r="B2022" s="1066">
        <v>1772</v>
      </c>
      <c r="C2022" s="831">
        <v>1.0252993400353296</v>
      </c>
      <c r="D2022" s="831">
        <v>1.0131128613577927</v>
      </c>
      <c r="E2022" s="831">
        <v>0.9788797775542285</v>
      </c>
      <c r="F2022" s="831">
        <v>1.0348959033907301</v>
      </c>
      <c r="G2022" s="831">
        <v>1.0158941975426388</v>
      </c>
      <c r="H2022" s="831">
        <v>1.0053132833473979</v>
      </c>
      <c r="I2022" s="831">
        <v>1.0446911124599674</v>
      </c>
      <c r="K2022">
        <v>1.7254534784481721</v>
      </c>
      <c r="L2022">
        <v>0</v>
      </c>
      <c r="M2022">
        <v>1.4118782891989819E-3</v>
      </c>
      <c r="N2022">
        <v>0.13317567261870361</v>
      </c>
      <c r="O2022">
        <v>1.7293788776592916E-2</v>
      </c>
      <c r="P2022">
        <v>1.9510375746581578E-2</v>
      </c>
      <c r="Q2022">
        <v>2.054257912091734E-3</v>
      </c>
      <c r="R2022">
        <v>1.4032203221916791E-3</v>
      </c>
      <c r="S2022">
        <v>0.15517323091657065</v>
      </c>
      <c r="T2022">
        <v>1.0732446497261199</v>
      </c>
      <c r="U2022">
        <v>2.2747042729491622E-2</v>
      </c>
      <c r="V2022">
        <v>0.20236019909459033</v>
      </c>
      <c r="W2022">
        <v>8.0772517734213317E-2</v>
      </c>
      <c r="X2022">
        <v>1.5311298014671409E-2</v>
      </c>
      <c r="Y2022">
        <v>3.8191031455508586E-3</v>
      </c>
    </row>
    <row r="2023" spans="1:25" x14ac:dyDescent="0.25">
      <c r="A2023" s="827"/>
      <c r="B2023" s="1066">
        <v>1773</v>
      </c>
      <c r="C2023" s="831">
        <v>1.0095382356471763</v>
      </c>
      <c r="D2023" s="831">
        <v>1.0018320194822385</v>
      </c>
      <c r="E2023" s="831">
        <v>1.0210929940066584</v>
      </c>
      <c r="F2023" s="831">
        <v>1.0026300799002934</v>
      </c>
      <c r="G2023" s="831">
        <v>1.0041850232462777</v>
      </c>
      <c r="H2023" s="831">
        <v>0.97443287745167184</v>
      </c>
      <c r="I2023" s="831">
        <v>1.0332997531623194</v>
      </c>
      <c r="K2023">
        <v>1.7306830511905988</v>
      </c>
      <c r="L2023">
        <v>0</v>
      </c>
      <c r="M2023">
        <v>1.2781055264956638E-3</v>
      </c>
      <c r="N2023">
        <v>0.13745101040263757</v>
      </c>
      <c r="O2023">
        <v>1.7653013885421537E-2</v>
      </c>
      <c r="P2023">
        <v>2.0112838398701861E-2</v>
      </c>
      <c r="Q2023">
        <v>2.1858245875023517E-3</v>
      </c>
      <c r="R2023">
        <v>1.2700268491385364E-3</v>
      </c>
      <c r="S2023">
        <v>0.15433612320114729</v>
      </c>
      <c r="T2023">
        <v>1.0694987252329871</v>
      </c>
      <c r="U2023">
        <v>2.3102173919496972E-2</v>
      </c>
      <c r="V2023">
        <v>0.20499451083061471</v>
      </c>
      <c r="W2023">
        <v>8.0991928002297445E-2</v>
      </c>
      <c r="X2023">
        <v>1.6908386988032362E-2</v>
      </c>
      <c r="Y2023">
        <v>3.4565944191167963E-3</v>
      </c>
    </row>
    <row r="2024" spans="1:25" x14ac:dyDescent="0.25">
      <c r="A2024" s="827"/>
      <c r="B2024" s="1066">
        <v>1774</v>
      </c>
      <c r="C2024" s="831">
        <v>0.99700681150533499</v>
      </c>
      <c r="D2024" s="831">
        <v>1.0203100144339776</v>
      </c>
      <c r="E2024" s="831">
        <v>0.98340920719667935</v>
      </c>
      <c r="F2024" s="831">
        <v>1.033624357997762</v>
      </c>
      <c r="G2024" s="831">
        <v>0.97457037459246132</v>
      </c>
      <c r="H2024" s="831">
        <v>1.010172805986145</v>
      </c>
      <c r="I2024" s="831">
        <v>0.98167203918072088</v>
      </c>
      <c r="K2024">
        <v>1.7308702651516645</v>
      </c>
      <c r="L2024">
        <v>0</v>
      </c>
      <c r="M2024">
        <v>1.440540259599018E-3</v>
      </c>
      <c r="N2024">
        <v>0.13781384532003155</v>
      </c>
      <c r="O2024">
        <v>1.7727718754350568E-2</v>
      </c>
      <c r="P2024">
        <v>1.9540182553730127E-2</v>
      </c>
      <c r="Q2024">
        <v>2.1167304657745594E-3</v>
      </c>
      <c r="R2024">
        <v>1.4317439992945213E-3</v>
      </c>
      <c r="S2024">
        <v>0.14985158276665708</v>
      </c>
      <c r="T2024">
        <v>1.0728394992144183</v>
      </c>
      <c r="U2024">
        <v>2.3392546198445305E-2</v>
      </c>
      <c r="V2024">
        <v>0.20466692819616306</v>
      </c>
      <c r="W2024">
        <v>8.3323539797841351E-2</v>
      </c>
      <c r="X2024">
        <v>1.5709752952758494E-2</v>
      </c>
      <c r="Y2024">
        <v>3.8967351917971651E-3</v>
      </c>
    </row>
    <row r="2025" spans="1:25" x14ac:dyDescent="0.25">
      <c r="A2025" s="827"/>
      <c r="B2025" s="1066">
        <v>1775</v>
      </c>
      <c r="C2025" s="831">
        <v>0.96137737948192314</v>
      </c>
      <c r="D2025" s="831">
        <v>1.0443941551063431</v>
      </c>
      <c r="E2025" s="831">
        <v>1.0139878563560158</v>
      </c>
      <c r="F2025" s="831">
        <v>0.99681872888956324</v>
      </c>
      <c r="G2025" s="831">
        <v>0.99175002178702709</v>
      </c>
      <c r="H2025" s="831">
        <v>1.018254229750237</v>
      </c>
      <c r="I2025" s="831">
        <v>1.0041293135896496</v>
      </c>
      <c r="K2025">
        <v>1.7544647855680995</v>
      </c>
      <c r="L2025">
        <v>0</v>
      </c>
      <c r="M2025">
        <v>1.397209431380185E-3</v>
      </c>
      <c r="N2025">
        <v>0.14701619265680976</v>
      </c>
      <c r="O2025">
        <v>1.8192173122351604E-2</v>
      </c>
      <c r="P2025">
        <v>2.0103498788211435E-2</v>
      </c>
      <c r="Q2025">
        <v>2.2442576104469247E-3</v>
      </c>
      <c r="R2025">
        <v>1.3887296387686725E-3</v>
      </c>
      <c r="S2025">
        <v>0.15802731541704099</v>
      </c>
      <c r="T2025">
        <v>1.0701245108130519</v>
      </c>
      <c r="U2025">
        <v>2.4259493094034981E-2</v>
      </c>
      <c r="V2025">
        <v>0.20643741249119915</v>
      </c>
      <c r="W2025">
        <v>8.7045177102673454E-2</v>
      </c>
      <c r="X2025">
        <v>1.7243569982765834E-2</v>
      </c>
      <c r="Y2025">
        <v>3.7796642821259414E-3</v>
      </c>
    </row>
    <row r="2026" spans="1:25" x14ac:dyDescent="0.25">
      <c r="A2026" s="827"/>
      <c r="B2026" s="1066">
        <v>1776</v>
      </c>
      <c r="C2026" s="831">
        <v>0.96850009709993423</v>
      </c>
      <c r="D2026" s="831">
        <v>1.0140396170397181</v>
      </c>
      <c r="E2026" s="831">
        <v>0.98489870337882379</v>
      </c>
      <c r="F2026" s="831">
        <v>0.98744897285028121</v>
      </c>
      <c r="G2026" s="831">
        <v>1.0004419609056401</v>
      </c>
      <c r="H2026" s="831">
        <v>0.97477950430999249</v>
      </c>
      <c r="I2026" s="831">
        <v>1.0313286019362649</v>
      </c>
      <c r="K2026">
        <v>1.7454624854615954</v>
      </c>
      <c r="L2026">
        <v>0</v>
      </c>
      <c r="M2026">
        <v>1.4304892119516312E-3</v>
      </c>
      <c r="N2026">
        <v>0.13745843772799698</v>
      </c>
      <c r="O2026">
        <v>1.8300441826660553E-2</v>
      </c>
      <c r="P2026">
        <v>1.975378782613783E-2</v>
      </c>
      <c r="Q2026">
        <v>2.1873222585743258E-3</v>
      </c>
      <c r="R2026">
        <v>1.421441674195136E-3</v>
      </c>
      <c r="S2026">
        <v>0.15979149656812258</v>
      </c>
      <c r="T2026">
        <v>1.0727064345990938</v>
      </c>
      <c r="U2026">
        <v>2.4081079566372721E-2</v>
      </c>
      <c r="V2026">
        <v>0.2083670907655725</v>
      </c>
      <c r="W2026">
        <v>8.3023054472400812E-2</v>
      </c>
      <c r="X2026">
        <v>1.5933691729379675E-2</v>
      </c>
      <c r="Y2026">
        <v>3.8686956590371956E-3</v>
      </c>
    </row>
    <row r="2027" spans="1:25" x14ac:dyDescent="0.25">
      <c r="A2027" s="827"/>
      <c r="B2027" s="1066">
        <v>1777</v>
      </c>
      <c r="C2027" s="831">
        <v>1.0093416370450874</v>
      </c>
      <c r="D2027" s="831">
        <v>1.0428848648455169</v>
      </c>
      <c r="E2027" s="831">
        <v>0.98243481337293348</v>
      </c>
      <c r="F2027" s="831">
        <v>1.02886240861528</v>
      </c>
      <c r="G2027" s="831">
        <v>0.98661273731480759</v>
      </c>
      <c r="H2027" s="831">
        <v>0.97486118096909569</v>
      </c>
      <c r="I2027" s="831">
        <v>0.98783385226608911</v>
      </c>
      <c r="K2027">
        <v>1.7089311248630992</v>
      </c>
      <c r="L2027">
        <v>0</v>
      </c>
      <c r="M2027">
        <v>1.3625000900570337E-3</v>
      </c>
      <c r="N2027">
        <v>0.12992247022135917</v>
      </c>
      <c r="O2027">
        <v>1.733897272796919E-2</v>
      </c>
      <c r="P2027">
        <v>1.9416451279456626E-2</v>
      </c>
      <c r="Q2027">
        <v>2.0719199492446575E-3</v>
      </c>
      <c r="R2027">
        <v>1.3538638701442373E-3</v>
      </c>
      <c r="S2027">
        <v>0.14517225258286412</v>
      </c>
      <c r="T2027">
        <v>1.0729265921395699</v>
      </c>
      <c r="U2027">
        <v>2.3106673738914976E-2</v>
      </c>
      <c r="V2027">
        <v>0.20142975447651396</v>
      </c>
      <c r="W2027">
        <v>7.860536068576765E-2</v>
      </c>
      <c r="X2027">
        <v>1.5264542127924052E-2</v>
      </c>
      <c r="Y2027">
        <v>3.6847711534277678E-3</v>
      </c>
    </row>
    <row r="2028" spans="1:25" x14ac:dyDescent="0.25">
      <c r="A2028" s="827"/>
      <c r="B2028" s="1066">
        <v>1778</v>
      </c>
      <c r="C2028" s="831">
        <v>0.99151487453054465</v>
      </c>
      <c r="D2028" s="831">
        <v>1.0067264120512827</v>
      </c>
      <c r="E2028" s="831">
        <v>1.0071917296426718</v>
      </c>
      <c r="F2028" s="831">
        <v>0.99585944268955484</v>
      </c>
      <c r="G2028" s="831">
        <v>1.0397096058083557</v>
      </c>
      <c r="H2028" s="831">
        <v>0.99621092431606795</v>
      </c>
      <c r="I2028" s="831">
        <v>0.99489887984053316</v>
      </c>
      <c r="K2028">
        <v>1.7382716413187815</v>
      </c>
      <c r="L2028">
        <v>0</v>
      </c>
      <c r="M2028">
        <v>1.3670173127185259E-3</v>
      </c>
      <c r="N2028">
        <v>0.14081589444451795</v>
      </c>
      <c r="O2028">
        <v>1.7934288762474417E-2</v>
      </c>
      <c r="P2028">
        <v>1.9926432773035352E-2</v>
      </c>
      <c r="Q2028">
        <v>2.1909496611600562E-3</v>
      </c>
      <c r="R2028">
        <v>1.3585621837915402E-3</v>
      </c>
      <c r="S2028">
        <v>0.15256030757579894</v>
      </c>
      <c r="T2028">
        <v>1.0707248678863457</v>
      </c>
      <c r="U2028">
        <v>2.3522116003903415E-2</v>
      </c>
      <c r="V2028">
        <v>0.20647988176947427</v>
      </c>
      <c r="W2028">
        <v>8.375985506965998E-2</v>
      </c>
      <c r="X2028">
        <v>1.6667944086959447E-2</v>
      </c>
      <c r="Y2028">
        <v>3.6975584143770475E-3</v>
      </c>
    </row>
    <row r="2029" spans="1:25" x14ac:dyDescent="0.25">
      <c r="A2029" s="827"/>
      <c r="B2029" s="1066">
        <v>1779</v>
      </c>
      <c r="C2029" s="831">
        <v>0.98747261109173323</v>
      </c>
      <c r="D2029" s="831">
        <v>0.99472721038160683</v>
      </c>
      <c r="E2029" s="831">
        <v>1.0350032200488635</v>
      </c>
      <c r="F2029" s="831">
        <v>1.0065422044261858</v>
      </c>
      <c r="G2029" s="831">
        <v>1.0253781303435843</v>
      </c>
      <c r="H2029" s="831">
        <v>0.9891049652081304</v>
      </c>
      <c r="I2029" s="831">
        <v>0.9915470826432099</v>
      </c>
      <c r="K2029">
        <v>1.7446625500396933</v>
      </c>
      <c r="L2029">
        <v>0</v>
      </c>
      <c r="M2029">
        <v>1.2920438852117907E-3</v>
      </c>
      <c r="N2029">
        <v>0.14509642746352419</v>
      </c>
      <c r="O2029">
        <v>1.8105767327512002E-2</v>
      </c>
      <c r="P2029">
        <v>2.0330461498016032E-2</v>
      </c>
      <c r="Q2029">
        <v>2.2716375543633122E-3</v>
      </c>
      <c r="R2029">
        <v>1.2840029174274569E-3</v>
      </c>
      <c r="S2029">
        <v>0.15291699368699022</v>
      </c>
      <c r="T2029">
        <v>1.0682791208006497</v>
      </c>
      <c r="U2029">
        <v>2.3618404841141048E-2</v>
      </c>
      <c r="V2029">
        <v>0.20803944504139751</v>
      </c>
      <c r="W2029">
        <v>8.4702604223009306E-2</v>
      </c>
      <c r="X2029">
        <v>1.7815095901084925E-2</v>
      </c>
      <c r="Y2029">
        <v>3.4946326697895642E-3</v>
      </c>
    </row>
    <row r="2030" spans="1:25" x14ac:dyDescent="0.25">
      <c r="A2030" s="827"/>
      <c r="B2030" s="1066">
        <v>1780</v>
      </c>
      <c r="C2030" s="831">
        <v>0.96224227570486187</v>
      </c>
      <c r="D2030" s="831">
        <v>0.98051094355548352</v>
      </c>
      <c r="E2030" s="831">
        <v>1.0136972157676303</v>
      </c>
      <c r="F2030" s="831">
        <v>1.0109486886092924</v>
      </c>
      <c r="G2030" s="831">
        <v>0.98731305336008823</v>
      </c>
      <c r="H2030" s="831">
        <v>1.0003254077367361</v>
      </c>
      <c r="I2030" s="831">
        <v>0.97042008391723178</v>
      </c>
      <c r="K2030">
        <v>1.7606843817954894</v>
      </c>
      <c r="L2030">
        <v>0</v>
      </c>
      <c r="M2030">
        <v>1.4119135123725789E-3</v>
      </c>
      <c r="N2030">
        <v>0.14841769817582523</v>
      </c>
      <c r="O2030">
        <v>1.8702233327117214E-2</v>
      </c>
      <c r="P2030">
        <v>2.0142756615403469E-2</v>
      </c>
      <c r="Q2030">
        <v>2.2946831422198909E-3</v>
      </c>
      <c r="R2030">
        <v>1.403235354572584E-3</v>
      </c>
      <c r="S2030">
        <v>0.15532398771344286</v>
      </c>
      <c r="T2030">
        <v>1.0701501496952859</v>
      </c>
      <c r="U2030">
        <v>2.4237687833055341E-2</v>
      </c>
      <c r="V2030">
        <v>0.21229672707488859</v>
      </c>
      <c r="W2030">
        <v>8.789228833465984E-2</v>
      </c>
      <c r="X2030">
        <v>1.7415703982652596E-2</v>
      </c>
      <c r="Y2030">
        <v>3.8191440587362594E-3</v>
      </c>
    </row>
    <row r="2031" spans="1:25" x14ac:dyDescent="0.25">
      <c r="A2031" s="827"/>
      <c r="B2031" s="1066">
        <v>1781</v>
      </c>
      <c r="C2031" s="831">
        <v>1.0241921008243307</v>
      </c>
      <c r="D2031" s="831">
        <v>0.99303065356262477</v>
      </c>
      <c r="E2031" s="831">
        <v>0.97807481974660104</v>
      </c>
      <c r="F2031" s="831">
        <v>1.0024424280003299</v>
      </c>
      <c r="G2031" s="831">
        <v>0.98661599762198948</v>
      </c>
      <c r="H2031" s="831">
        <v>1.0177035315810936</v>
      </c>
      <c r="I2031" s="831">
        <v>0.97272752283817243</v>
      </c>
      <c r="K2031">
        <v>1.723984610512258</v>
      </c>
      <c r="L2031">
        <v>0</v>
      </c>
      <c r="M2031">
        <v>1.4462818228906003E-3</v>
      </c>
      <c r="N2031">
        <v>0.13609060662301403</v>
      </c>
      <c r="O2031">
        <v>1.7470149339475438E-2</v>
      </c>
      <c r="P2031">
        <v>1.941155496700718E-2</v>
      </c>
      <c r="Q2031">
        <v>2.0701136460586711E-3</v>
      </c>
      <c r="R2031">
        <v>1.4375351176255447E-3</v>
      </c>
      <c r="S2031">
        <v>0.14669486647822921</v>
      </c>
      <c r="T2031">
        <v>1.0733167326357316</v>
      </c>
      <c r="U2031">
        <v>2.2771634227145288E-2</v>
      </c>
      <c r="V2031">
        <v>0.20427074503626849</v>
      </c>
      <c r="W2031">
        <v>8.2586622835062809E-2</v>
      </c>
      <c r="X2031">
        <v>1.5397834722678489E-2</v>
      </c>
      <c r="Y2031">
        <v>3.9124967068525675E-3</v>
      </c>
    </row>
    <row r="2032" spans="1:25" x14ac:dyDescent="0.25">
      <c r="A2032" s="827"/>
      <c r="B2032" s="1066">
        <v>1782</v>
      </c>
      <c r="C2032" s="831">
        <v>0.98853303284985772</v>
      </c>
      <c r="D2032" s="831">
        <v>1.0102290016491424</v>
      </c>
      <c r="E2032" s="831">
        <v>0.99867923501279487</v>
      </c>
      <c r="F2032" s="831">
        <v>1.0184719245493357</v>
      </c>
      <c r="G2032" s="831">
        <v>0.97748742412120437</v>
      </c>
      <c r="H2032" s="831">
        <v>0.9638736701252768</v>
      </c>
      <c r="I2032" s="831">
        <v>0.96139550232519833</v>
      </c>
      <c r="K2032">
        <v>1.7227667395067408</v>
      </c>
      <c r="L2032">
        <v>0</v>
      </c>
      <c r="M2032">
        <v>1.3485221515978402E-3</v>
      </c>
      <c r="N2032">
        <v>0.13525247279694905</v>
      </c>
      <c r="O2032">
        <v>1.7960137027417441E-2</v>
      </c>
      <c r="P2032">
        <v>1.971440150848475E-2</v>
      </c>
      <c r="Q2032">
        <v>2.1760603041098602E-3</v>
      </c>
      <c r="R2032">
        <v>1.3398991628436124E-3</v>
      </c>
      <c r="S2032">
        <v>0.14540739950323905</v>
      </c>
      <c r="T2032">
        <v>1.0714793081392047</v>
      </c>
      <c r="U2032">
        <v>2.3593068843704969E-2</v>
      </c>
      <c r="V2032">
        <v>0.20648781881536254</v>
      </c>
      <c r="W2032">
        <v>8.0919626823404395E-2</v>
      </c>
      <c r="X2032">
        <v>1.6138304909998492E-2</v>
      </c>
      <c r="Y2032">
        <v>3.6467638236199903E-3</v>
      </c>
    </row>
    <row r="2033" spans="1:25" x14ac:dyDescent="0.25">
      <c r="A2033" s="827"/>
      <c r="B2033" s="1066">
        <v>1783</v>
      </c>
      <c r="C2033" s="831">
        <v>1.0334312522692106</v>
      </c>
      <c r="D2033" s="831">
        <v>0.98448971328652279</v>
      </c>
      <c r="E2033" s="831">
        <v>1.0150217347170496</v>
      </c>
      <c r="F2033" s="831">
        <v>0.99253059905815788</v>
      </c>
      <c r="G2033" s="831">
        <v>0.99343038614736745</v>
      </c>
      <c r="H2033" s="831">
        <v>1.0136639689680951</v>
      </c>
      <c r="I2033" s="831">
        <v>0.95591893555296292</v>
      </c>
      <c r="K2033">
        <v>1.7222717667519172</v>
      </c>
      <c r="L2033">
        <v>0</v>
      </c>
      <c r="M2033">
        <v>1.32602639126762E-3</v>
      </c>
      <c r="N2033">
        <v>0.13997546859285642</v>
      </c>
      <c r="O2033">
        <v>1.7381930290276681E-2</v>
      </c>
      <c r="P2033">
        <v>1.9856217255691311E-2</v>
      </c>
      <c r="Q2033">
        <v>2.1362222106810834E-3</v>
      </c>
      <c r="R2033">
        <v>1.3179806967869262E-3</v>
      </c>
      <c r="S2033">
        <v>0.14311537871913704</v>
      </c>
      <c r="T2033">
        <v>1.0700333330651555</v>
      </c>
      <c r="U2033">
        <v>2.2568049734408083E-2</v>
      </c>
      <c r="V2033">
        <v>0.2041036404249669</v>
      </c>
      <c r="W2033">
        <v>8.2818494615479993E-2</v>
      </c>
      <c r="X2033">
        <v>1.6703968553310893E-2</v>
      </c>
      <c r="Y2033">
        <v>3.5871089844340849E-3</v>
      </c>
    </row>
    <row r="2034" spans="1:25" x14ac:dyDescent="0.25">
      <c r="A2034" s="827"/>
      <c r="B2034" s="1066">
        <v>1784</v>
      </c>
      <c r="C2034" s="831">
        <v>1.0239470513844535</v>
      </c>
      <c r="D2034" s="831">
        <v>0.98930789198635771</v>
      </c>
      <c r="E2034" s="831">
        <v>0.98290819587266542</v>
      </c>
      <c r="F2034" s="831">
        <v>0.98677203468377905</v>
      </c>
      <c r="G2034" s="831">
        <v>0.97735055204170496</v>
      </c>
      <c r="H2034" s="831">
        <v>0.96588062718775247</v>
      </c>
      <c r="I2034" s="831">
        <v>0.96349501919130498</v>
      </c>
      <c r="K2034">
        <v>1.7089727804235397</v>
      </c>
      <c r="L2034">
        <v>0</v>
      </c>
      <c r="M2034">
        <v>1.3614157640647548E-3</v>
      </c>
      <c r="N2034">
        <v>0.1300064989547253</v>
      </c>
      <c r="O2034">
        <v>1.750411593798824E-2</v>
      </c>
      <c r="P2034">
        <v>1.9419472413632909E-2</v>
      </c>
      <c r="Q2034">
        <v>2.0837055843776786E-3</v>
      </c>
      <c r="R2034">
        <v>1.3527432173264457E-3</v>
      </c>
      <c r="S2034">
        <v>0.14204687183953016</v>
      </c>
      <c r="T2034">
        <v>1.0728842759730444</v>
      </c>
      <c r="U2034">
        <v>2.2777083899767403E-2</v>
      </c>
      <c r="V2034">
        <v>0.20463399491220738</v>
      </c>
      <c r="W2034">
        <v>7.8630415525071898E-2</v>
      </c>
      <c r="X2034">
        <v>1.5313296824052578E-2</v>
      </c>
      <c r="Y2034">
        <v>3.6817211058808399E-3</v>
      </c>
    </row>
    <row r="2035" spans="1:25" x14ac:dyDescent="0.25">
      <c r="A2035" s="827"/>
      <c r="B2035" s="1066">
        <v>1785</v>
      </c>
      <c r="C2035" s="831">
        <v>0.99820409776934327</v>
      </c>
      <c r="D2035" s="831">
        <v>0.97307655658172887</v>
      </c>
      <c r="E2035" s="831">
        <v>0.99952493804355502</v>
      </c>
      <c r="F2035" s="831">
        <v>1.0314912448573674</v>
      </c>
      <c r="G2035" s="831">
        <v>1.0150306448435757</v>
      </c>
      <c r="H2035" s="831">
        <v>0.97751634943930632</v>
      </c>
      <c r="I2035" s="831">
        <v>0.99427763469868613</v>
      </c>
      <c r="K2035">
        <v>1.7371199011280298</v>
      </c>
      <c r="L2035">
        <v>0</v>
      </c>
      <c r="M2035">
        <v>1.3750886686045838E-3</v>
      </c>
      <c r="N2035">
        <v>0.13829548862223134</v>
      </c>
      <c r="O2035">
        <v>1.8090891359415294E-2</v>
      </c>
      <c r="P2035">
        <v>1.9849243510079467E-2</v>
      </c>
      <c r="Q2035">
        <v>2.1870091455432907E-3</v>
      </c>
      <c r="R2035">
        <v>1.3664450667413037E-3</v>
      </c>
      <c r="S2035">
        <v>0.15224485533615639</v>
      </c>
      <c r="T2035">
        <v>1.0714042332739113</v>
      </c>
      <c r="U2035">
        <v>2.3364488234842301E-2</v>
      </c>
      <c r="V2035">
        <v>0.20892445698747333</v>
      </c>
      <c r="W2035">
        <v>8.2692324816913299E-2</v>
      </c>
      <c r="X2035">
        <v>1.6356540420151115E-2</v>
      </c>
      <c r="Y2035">
        <v>3.7190130231746386E-3</v>
      </c>
    </row>
    <row r="2036" spans="1:25" x14ac:dyDescent="0.25">
      <c r="A2036" s="827"/>
      <c r="B2036" s="1066">
        <v>1786</v>
      </c>
      <c r="C2036" s="831">
        <v>0.99140338071300604</v>
      </c>
      <c r="D2036" s="831">
        <v>1.0160365379951524</v>
      </c>
      <c r="E2036" s="831">
        <v>1.0058046052378378</v>
      </c>
      <c r="F2036" s="831">
        <v>1.0284903159810974</v>
      </c>
      <c r="G2036" s="831">
        <v>1.0436726603038171</v>
      </c>
      <c r="H2036" s="831">
        <v>0.9885266569158484</v>
      </c>
      <c r="I2036" s="831">
        <v>0.98396938616450713</v>
      </c>
      <c r="K2036">
        <v>1.7315783004489158</v>
      </c>
      <c r="L2036">
        <v>0</v>
      </c>
      <c r="M2036">
        <v>1.3549503724659311E-3</v>
      </c>
      <c r="N2036">
        <v>0.13896477038912919</v>
      </c>
      <c r="O2036">
        <v>1.7861770791254332E-2</v>
      </c>
      <c r="P2036">
        <v>1.9858218140481419E-2</v>
      </c>
      <c r="Q2036">
        <v>2.1806960404345491E-3</v>
      </c>
      <c r="R2036">
        <v>1.346498435193325E-3</v>
      </c>
      <c r="S2036">
        <v>0.14978300551234983</v>
      </c>
      <c r="T2036">
        <v>1.070847618444005</v>
      </c>
      <c r="U2036">
        <v>2.3524761315146914E-2</v>
      </c>
      <c r="V2036">
        <v>0.20565066325381184</v>
      </c>
      <c r="W2036">
        <v>8.2736908577961621E-2</v>
      </c>
      <c r="X2036">
        <v>1.6513615054106055E-2</v>
      </c>
      <c r="Y2036">
        <v>3.6647248675063639E-3</v>
      </c>
    </row>
    <row r="2037" spans="1:25" x14ac:dyDescent="0.25">
      <c r="A2037" s="827"/>
      <c r="B2037" s="1066">
        <v>1787</v>
      </c>
      <c r="C2037" s="831">
        <v>1.0010329170813104</v>
      </c>
      <c r="D2037" s="831">
        <v>1.0087666633586849</v>
      </c>
      <c r="E2037" s="831">
        <v>0.96507636949594167</v>
      </c>
      <c r="F2037" s="831">
        <v>0.98406628625932346</v>
      </c>
      <c r="G2037" s="831">
        <v>1.0245199355888768</v>
      </c>
      <c r="H2037" s="831">
        <v>1.033471442266926</v>
      </c>
      <c r="I2037" s="831">
        <v>1.0015339555729112</v>
      </c>
      <c r="K2037">
        <v>1.7395996599547603</v>
      </c>
      <c r="L2037">
        <v>0</v>
      </c>
      <c r="M2037">
        <v>1.533236352184052E-3</v>
      </c>
      <c r="N2037">
        <v>0.13855479121183428</v>
      </c>
      <c r="O2037">
        <v>1.7747497409656969E-2</v>
      </c>
      <c r="P2037">
        <v>1.9360860087258985E-2</v>
      </c>
      <c r="Q2037">
        <v>2.0779228406193704E-3</v>
      </c>
      <c r="R2037">
        <v>1.524093546615069E-3</v>
      </c>
      <c r="S2037">
        <v>0.15465543685422439</v>
      </c>
      <c r="T2037">
        <v>1.0744840923340739</v>
      </c>
      <c r="U2037">
        <v>2.3298462518399652E-2</v>
      </c>
      <c r="V2037">
        <v>0.20526832084304056</v>
      </c>
      <c r="W2037">
        <v>8.4848370722400868E-2</v>
      </c>
      <c r="X2037">
        <v>1.516496772223528E-2</v>
      </c>
      <c r="Y2037">
        <v>4.1480802165836037E-3</v>
      </c>
    </row>
    <row r="2038" spans="1:25" x14ac:dyDescent="0.25">
      <c r="A2038" s="827"/>
      <c r="B2038" s="1066">
        <v>1788</v>
      </c>
      <c r="C2038" s="831">
        <v>0.9782147154482177</v>
      </c>
      <c r="D2038" s="831">
        <v>1.0060534306708719</v>
      </c>
      <c r="E2038" s="831">
        <v>0.98304710632648007</v>
      </c>
      <c r="F2038" s="831">
        <v>0.99515063726741304</v>
      </c>
      <c r="G2038" s="831">
        <v>0.99379783229382357</v>
      </c>
      <c r="H2038" s="831">
        <v>0.97834230079925977</v>
      </c>
      <c r="I2038" s="831">
        <v>0.9809903114199493</v>
      </c>
      <c r="K2038">
        <v>1.7351329412625252</v>
      </c>
      <c r="L2038">
        <v>0</v>
      </c>
      <c r="M2038">
        <v>1.4321074217102337E-3</v>
      </c>
      <c r="N2038">
        <v>0.13682627550956816</v>
      </c>
      <c r="O2038">
        <v>1.8183632688036327E-2</v>
      </c>
      <c r="P2038">
        <v>1.9604981182325877E-2</v>
      </c>
      <c r="Q2038">
        <v>2.167885469641613E-3</v>
      </c>
      <c r="R2038">
        <v>1.4230884151321746E-3</v>
      </c>
      <c r="S2038">
        <v>0.15123223245960624</v>
      </c>
      <c r="T2038">
        <v>1.072871860218418</v>
      </c>
      <c r="U2038">
        <v>2.3841931152729395E-2</v>
      </c>
      <c r="V2038">
        <v>0.20801104742883172</v>
      </c>
      <c r="W2038">
        <v>8.2747187120480015E-2</v>
      </c>
      <c r="X2038">
        <v>1.5781749494445059E-2</v>
      </c>
      <c r="Y2038">
        <v>3.873177545019809E-3</v>
      </c>
    </row>
    <row r="2039" spans="1:25" x14ac:dyDescent="0.25">
      <c r="A2039" s="827"/>
      <c r="B2039" s="1066">
        <v>1789</v>
      </c>
      <c r="C2039" s="831">
        <v>0.97938890425503355</v>
      </c>
      <c r="D2039" s="831">
        <v>1.0072993049246526</v>
      </c>
      <c r="E2039" s="831">
        <v>0.97800536129918481</v>
      </c>
      <c r="F2039" s="831">
        <v>0.95258462477440742</v>
      </c>
      <c r="G2039" s="831">
        <v>0.98303169850609207</v>
      </c>
      <c r="H2039" s="831">
        <v>0.98784725686422237</v>
      </c>
      <c r="I2039" s="831">
        <v>0.99406396734956726</v>
      </c>
      <c r="K2039">
        <v>1.738510355584505</v>
      </c>
      <c r="L2039">
        <v>0</v>
      </c>
      <c r="M2039">
        <v>1.4588399631108955E-3</v>
      </c>
      <c r="N2039">
        <v>0.13721634101283925</v>
      </c>
      <c r="O2039">
        <v>1.8151661738945526E-2</v>
      </c>
      <c r="P2039">
        <v>1.9565219125307419E-2</v>
      </c>
      <c r="Q2039">
        <v>2.1532334672901008E-3</v>
      </c>
      <c r="R2039">
        <v>1.4497400881147862E-3</v>
      </c>
      <c r="S2039">
        <v>0.15367576456365936</v>
      </c>
      <c r="T2039">
        <v>1.0733229536886106</v>
      </c>
      <c r="U2039">
        <v>2.3813347074871483E-2</v>
      </c>
      <c r="V2039">
        <v>0.20776545523544671</v>
      </c>
      <c r="W2039">
        <v>8.3273794005557414E-2</v>
      </c>
      <c r="X2039">
        <v>1.5635970933814355E-2</v>
      </c>
      <c r="Y2039">
        <v>3.9457146131568416E-3</v>
      </c>
    </row>
    <row r="2040" spans="1:25" x14ac:dyDescent="0.25">
      <c r="A2040" s="827"/>
      <c r="B2040" s="1066">
        <v>1790</v>
      </c>
      <c r="C2040" s="831">
        <v>1.0222943279432297</v>
      </c>
      <c r="D2040" s="831">
        <v>0.99936840016834672</v>
      </c>
      <c r="E2040" s="831">
        <v>1.0160494979432837</v>
      </c>
      <c r="F2040" s="831">
        <v>1.0153447426611351</v>
      </c>
      <c r="G2040" s="831">
        <v>0.99099083520371822</v>
      </c>
      <c r="H2040" s="831">
        <v>1.0447748722717847</v>
      </c>
      <c r="I2040" s="831">
        <v>1.0339273571343717</v>
      </c>
      <c r="K2040">
        <v>1.745606924117669</v>
      </c>
      <c r="L2040">
        <v>0</v>
      </c>
      <c r="M2040">
        <v>1.3692853218401062E-3</v>
      </c>
      <c r="N2040">
        <v>0.14502956670701564</v>
      </c>
      <c r="O2040">
        <v>1.7452192821208686E-2</v>
      </c>
      <c r="P2040">
        <v>2.0072796444129067E-2</v>
      </c>
      <c r="Q2040">
        <v>2.1497084902998725E-3</v>
      </c>
      <c r="R2040">
        <v>1.3612146511235552E-3</v>
      </c>
      <c r="S2040">
        <v>0.15776723248785834</v>
      </c>
      <c r="T2040">
        <v>1.0699427347114272</v>
      </c>
      <c r="U2040">
        <v>2.2813907170184642E-2</v>
      </c>
      <c r="V2040">
        <v>0.20389019959051935</v>
      </c>
      <c r="W2040">
        <v>8.5749150709288485E-2</v>
      </c>
      <c r="X2040">
        <v>1.704272810038631E-2</v>
      </c>
      <c r="Y2040">
        <v>3.7047775560691714E-3</v>
      </c>
    </row>
    <row r="2041" spans="1:25" x14ac:dyDescent="0.25">
      <c r="A2041" s="827"/>
      <c r="B2041" s="1066">
        <v>1791</v>
      </c>
      <c r="C2041" s="831">
        <v>0.97238397418122036</v>
      </c>
      <c r="D2041" s="831">
        <v>0.96020690517449381</v>
      </c>
      <c r="E2041" s="831">
        <v>1.0098503790067472</v>
      </c>
      <c r="F2041" s="831">
        <v>0.99389106589595733</v>
      </c>
      <c r="G2041" s="831">
        <v>0.96785887633771439</v>
      </c>
      <c r="H2041" s="831">
        <v>1.0348751323217129</v>
      </c>
      <c r="I2041" s="831">
        <v>0.98983869645051803</v>
      </c>
      <c r="K2041">
        <v>1.7745347203653632</v>
      </c>
      <c r="L2041">
        <v>0</v>
      </c>
      <c r="M2041">
        <v>1.471134836004129E-3</v>
      </c>
      <c r="N2041">
        <v>0.15283793038419732</v>
      </c>
      <c r="O2041">
        <v>1.8684057614875793E-2</v>
      </c>
      <c r="P2041">
        <v>2.0172761128080498E-2</v>
      </c>
      <c r="Q2041">
        <v>2.2796862644320886E-3</v>
      </c>
      <c r="R2041">
        <v>1.4624096844342359E-3</v>
      </c>
      <c r="S2041">
        <v>0.16072418637678298</v>
      </c>
      <c r="T2041">
        <v>1.0704897997866798</v>
      </c>
      <c r="U2041">
        <v>2.3984895388615916E-2</v>
      </c>
      <c r="V2041">
        <v>0.2131486938326177</v>
      </c>
      <c r="W2041">
        <v>9.0746528173102969E-2</v>
      </c>
      <c r="X2041">
        <v>1.7494709489740096E-2</v>
      </c>
      <c r="Y2041">
        <v>3.9801970778070798E-3</v>
      </c>
    </row>
    <row r="2042" spans="1:25" x14ac:dyDescent="0.25">
      <c r="A2042" s="827"/>
      <c r="B2042" s="1066">
        <v>1792</v>
      </c>
      <c r="C2042" s="831">
        <v>1.0015800308453322</v>
      </c>
      <c r="D2042" s="831">
        <v>0.96009381866594323</v>
      </c>
      <c r="E2042" s="831">
        <v>1.0048095068466469</v>
      </c>
      <c r="F2042" s="831">
        <v>1.0222053725219815</v>
      </c>
      <c r="G2042" s="831">
        <v>1.0312239113620871</v>
      </c>
      <c r="H2042" s="831">
        <v>0.983701980173455</v>
      </c>
      <c r="I2042" s="831">
        <v>0.97009632746714258</v>
      </c>
      <c r="K2042">
        <v>1.7377914686202904</v>
      </c>
      <c r="L2042">
        <v>0</v>
      </c>
      <c r="M2042">
        <v>1.3722050800560387E-3</v>
      </c>
      <c r="N2042">
        <v>0.14029935823055475</v>
      </c>
      <c r="O2042">
        <v>1.8140389801201241E-2</v>
      </c>
      <c r="P2042">
        <v>1.9892176655791287E-2</v>
      </c>
      <c r="Q2042">
        <v>2.2021888188807188E-3</v>
      </c>
      <c r="R2042">
        <v>1.3636433866685963E-3</v>
      </c>
      <c r="S2042">
        <v>0.14930998550753816</v>
      </c>
      <c r="T2042">
        <v>1.0709357223012168</v>
      </c>
      <c r="U2042">
        <v>2.3285735717613054E-2</v>
      </c>
      <c r="V2042">
        <v>0.209825195600475</v>
      </c>
      <c r="W2042">
        <v>8.3588180621716121E-2</v>
      </c>
      <c r="X2042">
        <v>1.6609709285100947E-2</v>
      </c>
      <c r="Y2042">
        <v>3.7113877735903164E-3</v>
      </c>
    </row>
    <row r="2043" spans="1:25" x14ac:dyDescent="0.25">
      <c r="A2043" s="827"/>
      <c r="B2043" s="1066">
        <v>1793</v>
      </c>
      <c r="C2043" s="831">
        <v>1.0138612766131705</v>
      </c>
      <c r="D2043" s="831">
        <v>0.99593360534202491</v>
      </c>
      <c r="E2043" s="831">
        <v>1.0023930543800625</v>
      </c>
      <c r="F2043" s="831">
        <v>1.008016669522575</v>
      </c>
      <c r="G2043" s="831">
        <v>1.0390904539633958</v>
      </c>
      <c r="H2043" s="831">
        <v>0.97198589780539391</v>
      </c>
      <c r="I2043" s="831">
        <v>1.0258923756424509</v>
      </c>
      <c r="K2043">
        <v>1.7258824564793998</v>
      </c>
      <c r="L2043">
        <v>0</v>
      </c>
      <c r="M2043">
        <v>1.324076677732772E-3</v>
      </c>
      <c r="N2043">
        <v>0.1343521084560686</v>
      </c>
      <c r="O2043">
        <v>1.7624828130119272E-2</v>
      </c>
      <c r="P2043">
        <v>1.9837977707774731E-2</v>
      </c>
      <c r="Q2043">
        <v>2.1409197727142787E-3</v>
      </c>
      <c r="R2043">
        <v>1.3156903930377438E-3</v>
      </c>
      <c r="S2043">
        <v>0.1527724476799249</v>
      </c>
      <c r="T2043">
        <v>1.0711498254822795</v>
      </c>
      <c r="U2043">
        <v>2.3003667697234352E-2</v>
      </c>
      <c r="V2043">
        <v>0.20507972786872711</v>
      </c>
      <c r="W2043">
        <v>8.0177027315180227E-2</v>
      </c>
      <c r="X2043">
        <v>1.6171437121443942E-2</v>
      </c>
      <c r="Y2043">
        <v>3.5808755326272382E-3</v>
      </c>
    </row>
    <row r="2044" spans="1:25" x14ac:dyDescent="0.25">
      <c r="A2044" s="827"/>
      <c r="B2044" s="1066">
        <v>1794</v>
      </c>
      <c r="C2044" s="831">
        <v>0.98030652863097822</v>
      </c>
      <c r="D2044" s="831">
        <v>0.99756795510766938</v>
      </c>
      <c r="E2044" s="831">
        <v>0.98306178191382954</v>
      </c>
      <c r="F2044" s="831">
        <v>1.0053665312115345</v>
      </c>
      <c r="G2044" s="831">
        <v>1.0083599624330397</v>
      </c>
      <c r="H2044" s="831">
        <v>0.98324168257407241</v>
      </c>
      <c r="I2044" s="831">
        <v>0.99931645427529736</v>
      </c>
      <c r="K2044">
        <v>1.7406936285280163</v>
      </c>
      <c r="L2044">
        <v>0</v>
      </c>
      <c r="M2044">
        <v>1.4416771106066859E-3</v>
      </c>
      <c r="N2044">
        <v>0.13775182739196731</v>
      </c>
      <c r="O2044">
        <v>1.82145669433527E-2</v>
      </c>
      <c r="P2044">
        <v>1.9657819523864684E-2</v>
      </c>
      <c r="Q2044">
        <v>2.1701000143932963E-3</v>
      </c>
      <c r="R2044">
        <v>1.4326493036199673E-3</v>
      </c>
      <c r="S2044">
        <v>0.15462855416591068</v>
      </c>
      <c r="T2044">
        <v>1.0728705485633196</v>
      </c>
      <c r="U2044">
        <v>2.3791056386081262E-2</v>
      </c>
      <c r="V2044">
        <v>0.2085718131394973</v>
      </c>
      <c r="W2044">
        <v>8.3306078233634728E-2</v>
      </c>
      <c r="X2044">
        <v>1.5841092841242958E-2</v>
      </c>
      <c r="Y2044">
        <v>3.8991991317375383E-3</v>
      </c>
    </row>
    <row r="2045" spans="1:25" x14ac:dyDescent="0.25">
      <c r="A2045" s="827"/>
      <c r="B2045" s="1066">
        <v>1795</v>
      </c>
      <c r="C2045" s="831">
        <v>1.0091904845161117</v>
      </c>
      <c r="D2045" s="831">
        <v>0.99047271834337858</v>
      </c>
      <c r="E2045" s="831">
        <v>0.99479885644483645</v>
      </c>
      <c r="F2045" s="831">
        <v>0.95773855327844026</v>
      </c>
      <c r="G2045" s="831">
        <v>0.99413841264373926</v>
      </c>
      <c r="H2045" s="831">
        <v>0.96792912318432556</v>
      </c>
      <c r="I2045" s="831">
        <v>0.99557316303296284</v>
      </c>
      <c r="K2045">
        <v>1.72308985343765</v>
      </c>
      <c r="L2045">
        <v>0</v>
      </c>
      <c r="M2045">
        <v>1.3493589664680741E-3</v>
      </c>
      <c r="N2045">
        <v>0.13371699770833306</v>
      </c>
      <c r="O2045">
        <v>1.7750589113438409E-2</v>
      </c>
      <c r="P2045">
        <v>1.9698572578593112E-2</v>
      </c>
      <c r="Q2045">
        <v>2.1388190431784011E-3</v>
      </c>
      <c r="R2045">
        <v>1.3407805894283848E-3</v>
      </c>
      <c r="S2045">
        <v>0.14899528516739136</v>
      </c>
      <c r="T2045">
        <v>1.0718241235606278</v>
      </c>
      <c r="U2045">
        <v>2.3110134564423596E-2</v>
      </c>
      <c r="V2045">
        <v>0.20607971196506211</v>
      </c>
      <c r="W2045">
        <v>8.0214153706078914E-2</v>
      </c>
      <c r="X2045">
        <v>1.5920881631339961E-2</v>
      </c>
      <c r="Y2045">
        <v>3.6491627762215446E-3</v>
      </c>
    </row>
    <row r="2046" spans="1:25" x14ac:dyDescent="0.25">
      <c r="A2046" s="827"/>
      <c r="B2046" s="1066">
        <v>1796</v>
      </c>
      <c r="C2046" s="831">
        <v>0.96725870129874192</v>
      </c>
      <c r="D2046" s="831">
        <v>1.0114571454340704</v>
      </c>
      <c r="E2046" s="831">
        <v>1.0151776913352903</v>
      </c>
      <c r="F2046" s="831">
        <v>1.0014528633477113</v>
      </c>
      <c r="G2046" s="831">
        <v>1.0323234676521877</v>
      </c>
      <c r="H2046" s="831">
        <v>1.0111536702473165</v>
      </c>
      <c r="I2046" s="831">
        <v>0.96141719343424559</v>
      </c>
      <c r="K2046">
        <v>1.7510948980616015</v>
      </c>
      <c r="L2046">
        <v>0</v>
      </c>
      <c r="M2046">
        <v>1.3955961442109204E-3</v>
      </c>
      <c r="N2046">
        <v>0.14738645068470299</v>
      </c>
      <c r="O2046">
        <v>1.8345074547694587E-2</v>
      </c>
      <c r="P2046">
        <v>2.006477820096449E-2</v>
      </c>
      <c r="Q2046">
        <v>2.2599486093533259E-3</v>
      </c>
      <c r="R2046">
        <v>1.3870885808770046E-3</v>
      </c>
      <c r="S2046">
        <v>0.15189042866196362</v>
      </c>
      <c r="T2046">
        <v>1.0700195827603398</v>
      </c>
      <c r="U2046">
        <v>2.4111985621827887E-2</v>
      </c>
      <c r="V2046">
        <v>0.20874402802532088</v>
      </c>
      <c r="W2046">
        <v>8.719410076511705E-2</v>
      </c>
      <c r="X2046">
        <v>1.7311829884130887E-2</v>
      </c>
      <c r="Y2046">
        <v>3.775197863519411E-3</v>
      </c>
    </row>
    <row r="2047" spans="1:25" x14ac:dyDescent="0.25">
      <c r="A2047" s="827"/>
      <c r="B2047" s="1066">
        <v>1797</v>
      </c>
      <c r="C2047" s="831">
        <v>0.98267378758107427</v>
      </c>
      <c r="D2047" s="831">
        <v>0.97476771563481612</v>
      </c>
      <c r="E2047" s="831">
        <v>0.98985162226082479</v>
      </c>
      <c r="F2047" s="831">
        <v>0.99578088786681707</v>
      </c>
      <c r="G2047" s="831">
        <v>1.0005971082170559</v>
      </c>
      <c r="H2047" s="831">
        <v>1.0106091753073458</v>
      </c>
      <c r="I2047" s="831">
        <v>1.0132462571392773</v>
      </c>
      <c r="K2047">
        <v>1.75747233362087</v>
      </c>
      <c r="L2047">
        <v>0</v>
      </c>
      <c r="M2047">
        <v>1.4726429688890639E-3</v>
      </c>
      <c r="N2047">
        <v>0.14374382978893249</v>
      </c>
      <c r="O2047">
        <v>1.8362308517375487E-2</v>
      </c>
      <c r="P2047">
        <v>1.9848352282425819E-2</v>
      </c>
      <c r="Q2047">
        <v>2.1985954710681448E-3</v>
      </c>
      <c r="R2047">
        <v>1.4636879889410054E-3</v>
      </c>
      <c r="S2047">
        <v>0.15996560211284258</v>
      </c>
      <c r="T2047">
        <v>1.0722645643547457</v>
      </c>
      <c r="U2047">
        <v>2.3733743784611742E-2</v>
      </c>
      <c r="V2047">
        <v>0.21050078015089116</v>
      </c>
      <c r="W2047">
        <v>8.6523014052484096E-2</v>
      </c>
      <c r="X2047">
        <v>1.6356821884158042E-2</v>
      </c>
      <c r="Y2047">
        <v>3.9836762012815385E-3</v>
      </c>
    </row>
    <row r="2048" spans="1:25" x14ac:dyDescent="0.25">
      <c r="A2048" s="827"/>
      <c r="B2048" s="1066">
        <v>1798</v>
      </c>
      <c r="C2048" s="831">
        <v>0.98320426239593262</v>
      </c>
      <c r="D2048" s="831">
        <v>0.98960391709119555</v>
      </c>
      <c r="E2048" s="831">
        <v>0.99770759377511442</v>
      </c>
      <c r="F2048" s="831">
        <v>1.0063536488345337</v>
      </c>
      <c r="G2048" s="831">
        <v>0.99130751370517789</v>
      </c>
      <c r="H2048" s="831">
        <v>1.0202547577636372</v>
      </c>
      <c r="I2048" s="831">
        <v>1.0171566405078607</v>
      </c>
      <c r="K2048">
        <v>1.7575563932770579</v>
      </c>
      <c r="L2048">
        <v>0</v>
      </c>
      <c r="M2048">
        <v>1.4515628249794699E-3</v>
      </c>
      <c r="N2048">
        <v>0.14520073882390311</v>
      </c>
      <c r="O2048">
        <v>1.822699187352779E-2</v>
      </c>
      <c r="P2048">
        <v>1.9938899649455631E-2</v>
      </c>
      <c r="Q2048">
        <v>2.2025069749279052E-3</v>
      </c>
      <c r="R2048">
        <v>1.4428086104931338E-3</v>
      </c>
      <c r="S2048">
        <v>0.1602101146840533</v>
      </c>
      <c r="T2048">
        <v>1.0715655961229691</v>
      </c>
      <c r="U2048">
        <v>2.3720938558046356E-2</v>
      </c>
      <c r="V2048">
        <v>0.2089990170061467</v>
      </c>
      <c r="W2048">
        <v>8.6929380160528424E-2</v>
      </c>
      <c r="X2048">
        <v>1.6644114221952173E-2</v>
      </c>
      <c r="Y2048">
        <v>3.926849416031687E-3</v>
      </c>
    </row>
    <row r="2049" spans="1:25" x14ac:dyDescent="0.25">
      <c r="A2049" s="827"/>
      <c r="B2049" s="1066">
        <v>1799</v>
      </c>
      <c r="C2049" s="831">
        <v>1.0414150886592142</v>
      </c>
      <c r="D2049" s="831">
        <v>0.96572717618381809</v>
      </c>
      <c r="E2049" s="831">
        <v>0.98249262175264074</v>
      </c>
      <c r="F2049" s="831">
        <v>1.004356895222966</v>
      </c>
      <c r="G2049" s="831">
        <v>0.9987518130676063</v>
      </c>
      <c r="H2049" s="831">
        <v>1.0234718871723192</v>
      </c>
      <c r="I2049" s="831">
        <v>0.99886403040647298</v>
      </c>
      <c r="K2049">
        <v>1.7288441262216943</v>
      </c>
      <c r="L2049">
        <v>0</v>
      </c>
      <c r="M2049">
        <v>1.4352551814488777E-3</v>
      </c>
      <c r="N2049">
        <v>0.13693140310447782</v>
      </c>
      <c r="O2049">
        <v>1.7400124572800473E-2</v>
      </c>
      <c r="P2049">
        <v>1.9525007252836915E-2</v>
      </c>
      <c r="Q2049">
        <v>2.066312835752147E-3</v>
      </c>
      <c r="R2049">
        <v>1.4266438841045474E-3</v>
      </c>
      <c r="S2049">
        <v>0.15027899944906417</v>
      </c>
      <c r="T2049">
        <v>1.0729214241352343</v>
      </c>
      <c r="U2049">
        <v>2.2395035516846684E-2</v>
      </c>
      <c r="V2049">
        <v>0.20503592865462816</v>
      </c>
      <c r="W2049">
        <v>8.2842569972950239E-2</v>
      </c>
      <c r="X2049">
        <v>1.5573077664946396E-2</v>
      </c>
      <c r="Y2049">
        <v>3.8828543595025768E-3</v>
      </c>
    </row>
    <row r="2050" spans="1:25" x14ac:dyDescent="0.25">
      <c r="A2050" s="827"/>
      <c r="B2050" s="1066">
        <v>1800</v>
      </c>
      <c r="C2050" s="831">
        <v>0.99978736414622549</v>
      </c>
      <c r="D2050" s="831">
        <v>0.99441990309231199</v>
      </c>
      <c r="E2050" s="831">
        <v>1.0413557388612584</v>
      </c>
      <c r="F2050" s="831">
        <v>1.0141530645495644</v>
      </c>
      <c r="G2050" s="831">
        <v>0.99418392272193457</v>
      </c>
      <c r="H2050" s="831">
        <v>1.0229549716178989</v>
      </c>
      <c r="I2050" s="831">
        <v>1.014286712221971</v>
      </c>
      <c r="K2050">
        <v>1.7529778877753206</v>
      </c>
      <c r="L2050">
        <v>0</v>
      </c>
      <c r="M2050">
        <v>1.3023452019538403E-3</v>
      </c>
      <c r="N2050">
        <v>0.14919509647059873</v>
      </c>
      <c r="O2050">
        <v>1.7885256484413248E-2</v>
      </c>
      <c r="P2050">
        <v>2.0450710822870519E-2</v>
      </c>
      <c r="Q2050">
        <v>2.2579884519509192E-3</v>
      </c>
      <c r="R2050">
        <v>1.2945085226946863E-3</v>
      </c>
      <c r="S2050">
        <v>0.15698847987682435</v>
      </c>
      <c r="T2050">
        <v>1.0677245947365068</v>
      </c>
      <c r="U2050">
        <v>2.3327488158664249E-2</v>
      </c>
      <c r="V2050">
        <v>0.2067219961660689</v>
      </c>
      <c r="W2050">
        <v>8.6727387003294354E-2</v>
      </c>
      <c r="X2050">
        <v>1.8183500819230595E-2</v>
      </c>
      <c r="Y2050">
        <v>3.5232254641551172E-3</v>
      </c>
    </row>
    <row r="2051" spans="1:25" x14ac:dyDescent="0.25">
      <c r="A2051" s="827"/>
      <c r="B2051" s="1066">
        <v>1801</v>
      </c>
      <c r="C2051" s="831">
        <v>1.0056838817726357</v>
      </c>
      <c r="D2051" s="831">
        <v>0.99935784556414275</v>
      </c>
      <c r="E2051" s="831">
        <v>1.0113751811332166</v>
      </c>
      <c r="F2051" s="831">
        <v>1.0221235033636651</v>
      </c>
      <c r="G2051" s="831">
        <v>1.015898337852019</v>
      </c>
      <c r="H2051" s="831">
        <v>1.0290898192856166</v>
      </c>
      <c r="I2051" s="831">
        <v>0.98602850218128857</v>
      </c>
      <c r="K2051">
        <v>1.741784355595912</v>
      </c>
      <c r="L2051">
        <v>0</v>
      </c>
      <c r="M2051">
        <v>1.3846026141533247E-3</v>
      </c>
      <c r="N2051">
        <v>0.14452376189846389</v>
      </c>
      <c r="O2051">
        <v>1.7740528025108039E-2</v>
      </c>
      <c r="P2051">
        <v>1.9957010166270744E-2</v>
      </c>
      <c r="Q2051">
        <v>2.1750567316961506E-3</v>
      </c>
      <c r="R2051">
        <v>1.3763172827133128E-3</v>
      </c>
      <c r="S2051">
        <v>0.15183976769307539</v>
      </c>
      <c r="T2051">
        <v>1.0703551029363294</v>
      </c>
      <c r="U2051">
        <v>2.3190714618190451E-2</v>
      </c>
      <c r="V2051">
        <v>0.20563324228901855</v>
      </c>
      <c r="W2051">
        <v>8.5721222296028826E-2</v>
      </c>
      <c r="X2051">
        <v>1.6910352332494709E-2</v>
      </c>
      <c r="Y2051">
        <v>3.7458819406753258E-3</v>
      </c>
    </row>
    <row r="2052" spans="1:25" x14ac:dyDescent="0.25">
      <c r="A2052" s="827"/>
      <c r="B2052" s="1066">
        <v>1802</v>
      </c>
      <c r="C2052" s="831">
        <v>1.0126376165086357</v>
      </c>
      <c r="D2052" s="831">
        <v>0.97867038240355164</v>
      </c>
      <c r="E2052" s="831">
        <v>1.0310723558045809</v>
      </c>
      <c r="F2052" s="831">
        <v>0.9746372024296045</v>
      </c>
      <c r="G2052" s="831">
        <v>0.99869765468078397</v>
      </c>
      <c r="H2052" s="831">
        <v>0.98217809792546185</v>
      </c>
      <c r="I2052" s="831">
        <v>1.0335705581299928</v>
      </c>
      <c r="K2052">
        <v>1.7391198775548509</v>
      </c>
      <c r="L2052">
        <v>0</v>
      </c>
      <c r="M2052">
        <v>1.2709021279778236E-3</v>
      </c>
      <c r="N2052">
        <v>0.1409866070355773</v>
      </c>
      <c r="O2052">
        <v>1.7786658605905319E-2</v>
      </c>
      <c r="P2052">
        <v>2.0294921072010315E-2</v>
      </c>
      <c r="Q2052">
        <v>2.2199742738874166E-3</v>
      </c>
      <c r="R2052">
        <v>1.2629475819393727E-3</v>
      </c>
      <c r="S2052">
        <v>0.15597906580265664</v>
      </c>
      <c r="T2052">
        <v>1.0686230224543898</v>
      </c>
      <c r="U2052">
        <v>2.3031465075052642E-2</v>
      </c>
      <c r="V2052">
        <v>0.2068174790125413</v>
      </c>
      <c r="W2052">
        <v>8.2520051482173187E-2</v>
      </c>
      <c r="X2052">
        <v>1.7431260299212964E-2</v>
      </c>
      <c r="Y2052">
        <v>3.4373269874804786E-3</v>
      </c>
    </row>
    <row r="2053" spans="1:25" x14ac:dyDescent="0.25">
      <c r="A2053" s="827"/>
      <c r="B2053" s="1066">
        <v>1803</v>
      </c>
      <c r="C2053" s="831">
        <v>1.0076189347746978</v>
      </c>
      <c r="D2053" s="831">
        <v>0.96791725286061436</v>
      </c>
      <c r="E2053" s="831">
        <v>1.0015778695423379</v>
      </c>
      <c r="F2053" s="831">
        <v>0.9963151786615535</v>
      </c>
      <c r="G2053" s="831">
        <v>0.98129260395957019</v>
      </c>
      <c r="H2053" s="831">
        <v>0.98523269258068813</v>
      </c>
      <c r="I2053" s="831">
        <v>0.97427893947928712</v>
      </c>
      <c r="K2053">
        <v>1.7330042999787538</v>
      </c>
      <c r="L2053">
        <v>0</v>
      </c>
      <c r="M2053">
        <v>1.3703739153311722E-3</v>
      </c>
      <c r="N2053">
        <v>0.13871160244573472</v>
      </c>
      <c r="O2053">
        <v>1.7965218456058973E-2</v>
      </c>
      <c r="P2053">
        <v>1.9817926548698465E-2</v>
      </c>
      <c r="Q2053">
        <v>2.1753381167697941E-3</v>
      </c>
      <c r="R2053">
        <v>1.3618311742490529E-3</v>
      </c>
      <c r="S2053">
        <v>0.1486596823774656</v>
      </c>
      <c r="T2053">
        <v>1.0712221024566648</v>
      </c>
      <c r="U2053">
        <v>2.3146178672712295E-2</v>
      </c>
      <c r="V2053">
        <v>0.20839174081254588</v>
      </c>
      <c r="W2053">
        <v>8.2824754840169323E-2</v>
      </c>
      <c r="X2053">
        <v>1.6391842464234301E-2</v>
      </c>
      <c r="Y2053">
        <v>3.7064555287799842E-3</v>
      </c>
    </row>
    <row r="2054" spans="1:25" x14ac:dyDescent="0.25">
      <c r="A2054" s="827"/>
      <c r="B2054" s="1066">
        <v>1804</v>
      </c>
      <c r="C2054" s="831">
        <v>0.97370081190874003</v>
      </c>
      <c r="D2054" s="831">
        <v>1.008035147095893</v>
      </c>
      <c r="E2054" s="831">
        <v>1.032006167177838</v>
      </c>
      <c r="F2054" s="831">
        <v>1.0008462235693885</v>
      </c>
      <c r="G2054" s="831">
        <v>1.0072632387588192</v>
      </c>
      <c r="H2054" s="831">
        <v>0.96947230877328194</v>
      </c>
      <c r="I2054" s="831">
        <v>1.0408485161058174</v>
      </c>
      <c r="K2054">
        <v>1.7498376184069271</v>
      </c>
      <c r="L2054">
        <v>0</v>
      </c>
      <c r="M2054">
        <v>1.2847356420430933E-3</v>
      </c>
      <c r="N2054">
        <v>0.14292089741975014</v>
      </c>
      <c r="O2054">
        <v>1.8251665997710532E-2</v>
      </c>
      <c r="P2054">
        <v>2.0403287949955957E-2</v>
      </c>
      <c r="Q2054">
        <v>2.2856671069412778E-3</v>
      </c>
      <c r="R2054">
        <v>1.276569410890402E-3</v>
      </c>
      <c r="S2054">
        <v>0.16039439134217306</v>
      </c>
      <c r="T2054">
        <v>1.0685412724811583</v>
      </c>
      <c r="U2054">
        <v>2.3952458099099416E-2</v>
      </c>
      <c r="V2054">
        <v>0.20833389711750741</v>
      </c>
      <c r="W2054">
        <v>8.3599925494620073E-2</v>
      </c>
      <c r="X2054">
        <v>1.7687920513711521E-2</v>
      </c>
      <c r="Y2054">
        <v>3.474401115450471E-3</v>
      </c>
    </row>
    <row r="2055" spans="1:25" x14ac:dyDescent="0.25">
      <c r="A2055" s="827"/>
      <c r="B2055" s="1066">
        <v>1805</v>
      </c>
      <c r="C2055" s="831">
        <v>0.98800876589636299</v>
      </c>
      <c r="D2055" s="831">
        <v>0.98571105660428726</v>
      </c>
      <c r="E2055" s="831">
        <v>1.0376194872538753</v>
      </c>
      <c r="F2055" s="831">
        <v>0.99596591411246216</v>
      </c>
      <c r="G2055" s="831">
        <v>0.99914286770055871</v>
      </c>
      <c r="H2055" s="831">
        <v>0.99766590483887141</v>
      </c>
      <c r="I2055" s="831">
        <v>0.96659335870038765</v>
      </c>
      <c r="K2055">
        <v>1.7460445503876085</v>
      </c>
      <c r="L2055">
        <v>0</v>
      </c>
      <c r="M2055">
        <v>1.3006773811015183E-3</v>
      </c>
      <c r="N2055">
        <v>0.1472651031597228</v>
      </c>
      <c r="O2055">
        <v>1.8170817543039983E-2</v>
      </c>
      <c r="P2055">
        <v>2.0338020177142965E-2</v>
      </c>
      <c r="Q2055">
        <v>2.2839691198697312E-3</v>
      </c>
      <c r="R2055">
        <v>1.2926581255468721E-3</v>
      </c>
      <c r="S2055">
        <v>0.15015754765006778</v>
      </c>
      <c r="T2055">
        <v>1.0680505551524957</v>
      </c>
      <c r="U2055">
        <v>2.3605588030531303E-2</v>
      </c>
      <c r="V2055">
        <v>0.20883638609011917</v>
      </c>
      <c r="W2055">
        <v>8.5818674168144718E-2</v>
      </c>
      <c r="X2055">
        <v>1.8007719258925584E-2</v>
      </c>
      <c r="Y2055">
        <v>3.5181892931020232E-3</v>
      </c>
    </row>
    <row r="2056" spans="1:25" x14ac:dyDescent="0.25">
      <c r="A2056" s="827"/>
      <c r="B2056" s="1066">
        <v>1806</v>
      </c>
      <c r="C2056" s="831">
        <v>0.97799783711770827</v>
      </c>
      <c r="D2056" s="831">
        <v>0.99010619977614678</v>
      </c>
      <c r="E2056" s="831">
        <v>0.98978614785539187</v>
      </c>
      <c r="F2056" s="831">
        <v>1.0201575827237417</v>
      </c>
      <c r="G2056" s="831">
        <v>1.0121269268488218</v>
      </c>
      <c r="H2056" s="831">
        <v>0.96480676034800172</v>
      </c>
      <c r="I2056" s="831">
        <v>0.98901856108861097</v>
      </c>
      <c r="K2056">
        <v>1.737515833845428</v>
      </c>
      <c r="L2056">
        <v>0</v>
      </c>
      <c r="M2056">
        <v>1.4028506683795984E-3</v>
      </c>
      <c r="N2056">
        <v>0.13686264252907718</v>
      </c>
      <c r="O2056">
        <v>1.8319807937959978E-2</v>
      </c>
      <c r="P2056">
        <v>1.9735302013839308E-2</v>
      </c>
      <c r="Q2056">
        <v>2.196197083691715E-3</v>
      </c>
      <c r="R2056">
        <v>1.3939036334890058E-3</v>
      </c>
      <c r="S2056">
        <v>0.15253093762940109</v>
      </c>
      <c r="T2056">
        <v>1.0722703995718961</v>
      </c>
      <c r="U2056">
        <v>2.3847218279171082E-2</v>
      </c>
      <c r="V2056">
        <v>0.20954149572379679</v>
      </c>
      <c r="W2056">
        <v>8.2384772110803042E-2</v>
      </c>
      <c r="X2056">
        <v>1.6042261810533621E-2</v>
      </c>
      <c r="Y2056">
        <v>3.7937461901477875E-3</v>
      </c>
    </row>
    <row r="2057" spans="1:25" x14ac:dyDescent="0.25">
      <c r="A2057" s="827"/>
      <c r="B2057" s="1066">
        <v>1807</v>
      </c>
      <c r="C2057" s="831">
        <v>0.98831685585896223</v>
      </c>
      <c r="D2057" s="831">
        <v>0.97967858798949559</v>
      </c>
      <c r="E2057" s="831">
        <v>1.0413376481860905</v>
      </c>
      <c r="F2057" s="831">
        <v>0.96962000316578256</v>
      </c>
      <c r="G2057" s="831">
        <v>1.0135810977031428</v>
      </c>
      <c r="H2057" s="831">
        <v>0.99573501641144857</v>
      </c>
      <c r="I2057" s="831">
        <v>0.97572671636837083</v>
      </c>
      <c r="K2057">
        <v>1.74892958534196</v>
      </c>
      <c r="L2057">
        <v>0</v>
      </c>
      <c r="M2057">
        <v>1.2911619692575821E-3</v>
      </c>
      <c r="N2057">
        <v>0.14788230903379876</v>
      </c>
      <c r="O2057">
        <v>1.8215838452438002E-2</v>
      </c>
      <c r="P2057">
        <v>2.0418414620397889E-2</v>
      </c>
      <c r="Q2057">
        <v>2.2968498176067632E-3</v>
      </c>
      <c r="R2057">
        <v>1.2831899686452191E-3</v>
      </c>
      <c r="S2057">
        <v>0.15177844325716464</v>
      </c>
      <c r="T2057">
        <v>1.06772617173688</v>
      </c>
      <c r="U2057">
        <v>2.3598229414020462E-2</v>
      </c>
      <c r="V2057">
        <v>0.20938274494928966</v>
      </c>
      <c r="W2057">
        <v>8.596529522071987E-2</v>
      </c>
      <c r="X2057">
        <v>1.8180840749061501E-2</v>
      </c>
      <c r="Y2057">
        <v>3.4924200911928072E-3</v>
      </c>
    </row>
    <row r="2058" spans="1:25" x14ac:dyDescent="0.25">
      <c r="A2058" s="827"/>
      <c r="B2058" s="1066">
        <v>1808</v>
      </c>
      <c r="C2058" s="831">
        <v>0.98916065099410688</v>
      </c>
      <c r="D2058" s="831">
        <v>0.9763119559552017</v>
      </c>
      <c r="E2058" s="831">
        <v>0.99285241646938849</v>
      </c>
      <c r="F2058" s="831">
        <v>0.96206673657791675</v>
      </c>
      <c r="G2058" s="831">
        <v>0.97968362488470839</v>
      </c>
      <c r="H2058" s="831">
        <v>0.99499448391986889</v>
      </c>
      <c r="I2058" s="831">
        <v>1.0214641770565045</v>
      </c>
      <c r="K2058">
        <v>1.7501142535255148</v>
      </c>
      <c r="L2058">
        <v>0</v>
      </c>
      <c r="M2058">
        <v>1.4302918545697606E-3</v>
      </c>
      <c r="N2058">
        <v>0.14090663496719602</v>
      </c>
      <c r="O2058">
        <v>1.8228775927553155E-2</v>
      </c>
      <c r="P2058">
        <v>1.9861369455837028E-2</v>
      </c>
      <c r="Q2058">
        <v>2.189520044499964E-3</v>
      </c>
      <c r="R2058">
        <v>1.4214567615381166E-3</v>
      </c>
      <c r="S2058">
        <v>0.15892966566356481</v>
      </c>
      <c r="T2058">
        <v>1.0719973005480059</v>
      </c>
      <c r="U2058">
        <v>2.3578099143818577E-2</v>
      </c>
      <c r="V2058">
        <v>0.20961464247419759</v>
      </c>
      <c r="W2058">
        <v>8.4640211863168113E-2</v>
      </c>
      <c r="X2058">
        <v>1.6308131808893463E-2</v>
      </c>
      <c r="Y2058">
        <v>3.8687367218112464E-3</v>
      </c>
    </row>
    <row r="2059" spans="1:25" x14ac:dyDescent="0.25">
      <c r="A2059" s="827"/>
      <c r="B2059" s="1066">
        <v>1809</v>
      </c>
      <c r="C2059" s="831">
        <v>1.0294156623368005</v>
      </c>
      <c r="D2059" s="831">
        <v>1.0102980785783595</v>
      </c>
      <c r="E2059" s="831">
        <v>0.98213668996837078</v>
      </c>
      <c r="F2059" s="831">
        <v>1.0100616015283863</v>
      </c>
      <c r="G2059" s="831">
        <v>1.0327230601207944</v>
      </c>
      <c r="H2059" s="831">
        <v>0.97928727642723223</v>
      </c>
      <c r="I2059" s="831">
        <v>0.98526379977216638</v>
      </c>
      <c r="K2059">
        <v>1.7078696135870757</v>
      </c>
      <c r="L2059">
        <v>0</v>
      </c>
      <c r="M2059">
        <v>1.3622040417415673E-3</v>
      </c>
      <c r="N2059">
        <v>0.12977950234207369</v>
      </c>
      <c r="O2059">
        <v>1.7246327377658317E-2</v>
      </c>
      <c r="P2059">
        <v>1.9402837489943599E-2</v>
      </c>
      <c r="Q2059">
        <v>2.0549452460532536E-3</v>
      </c>
      <c r="R2059">
        <v>1.3536306175804015E-3</v>
      </c>
      <c r="S2059">
        <v>0.14414934107725769</v>
      </c>
      <c r="T2059">
        <v>1.072953246032357</v>
      </c>
      <c r="U2059">
        <v>2.2656084176299052E-2</v>
      </c>
      <c r="V2059">
        <v>0.20219159838568054</v>
      </c>
      <c r="W2059">
        <v>7.8535081060682729E-2</v>
      </c>
      <c r="X2059">
        <v>1.5225087506388612E-2</v>
      </c>
      <c r="Y2059">
        <v>3.6841363168406936E-3</v>
      </c>
    </row>
    <row r="2060" spans="1:25" x14ac:dyDescent="0.25">
      <c r="A2060" s="827"/>
      <c r="B2060" s="1066">
        <v>1810</v>
      </c>
      <c r="C2060" s="831">
        <v>0.9857907345778244</v>
      </c>
      <c r="D2060" s="831">
        <v>0.99568157970555127</v>
      </c>
      <c r="E2060" s="831">
        <v>0.98865921635723009</v>
      </c>
      <c r="F2060" s="831">
        <v>1.020176801695023</v>
      </c>
      <c r="G2060" s="831">
        <v>0.95453093065866401</v>
      </c>
      <c r="H2060" s="831">
        <v>0.9976718993402317</v>
      </c>
      <c r="I2060" s="831">
        <v>1.0021272526898044</v>
      </c>
      <c r="K2060">
        <v>1.7437605328440364</v>
      </c>
      <c r="L2060">
        <v>0</v>
      </c>
      <c r="M2060">
        <v>1.4389199212657626E-3</v>
      </c>
      <c r="N2060">
        <v>0.13991904331585545</v>
      </c>
      <c r="O2060">
        <v>1.8128776990264717E-2</v>
      </c>
      <c r="P2060">
        <v>1.9736847705182851E-2</v>
      </c>
      <c r="Q2060">
        <v>2.171824175101489E-3</v>
      </c>
      <c r="R2060">
        <v>1.4300410790062058E-3</v>
      </c>
      <c r="S2060">
        <v>0.15537713366753036</v>
      </c>
      <c r="T2060">
        <v>1.0723708593862282</v>
      </c>
      <c r="U2060">
        <v>2.3658700655460413E-2</v>
      </c>
      <c r="V2060">
        <v>0.20813562855047801</v>
      </c>
      <c r="W2060">
        <v>8.4290041057774767E-2</v>
      </c>
      <c r="X2060">
        <v>1.6088455778279481E-2</v>
      </c>
      <c r="Y2060">
        <v>3.8921004041398925E-3</v>
      </c>
    </row>
    <row r="2061" spans="1:25" x14ac:dyDescent="0.25">
      <c r="A2061" s="827"/>
      <c r="B2061" s="1066">
        <v>1811</v>
      </c>
      <c r="C2061" s="831">
        <v>1.0182676800608608</v>
      </c>
      <c r="D2061" s="831">
        <v>1.0113717771817345</v>
      </c>
      <c r="E2061" s="831">
        <v>0.99353897643401046</v>
      </c>
      <c r="F2061" s="831">
        <v>0.98776383900699194</v>
      </c>
      <c r="G2061" s="831">
        <v>1.0354088451877048</v>
      </c>
      <c r="H2061" s="831">
        <v>1.0399097335050271</v>
      </c>
      <c r="I2061" s="831">
        <v>0.98047089409235766</v>
      </c>
      <c r="K2061">
        <v>1.7318318260074788</v>
      </c>
      <c r="L2061">
        <v>0</v>
      </c>
      <c r="M2061">
        <v>1.4270506069877765E-3</v>
      </c>
      <c r="N2061">
        <v>0.14092348499794205</v>
      </c>
      <c r="O2061">
        <v>1.742676395392951E-2</v>
      </c>
      <c r="P2061">
        <v>1.96417268653977E-2</v>
      </c>
      <c r="Q2061">
        <v>2.1007252688499461E-3</v>
      </c>
      <c r="R2061">
        <v>1.4185919121828552E-3</v>
      </c>
      <c r="S2061">
        <v>0.14912376726721888</v>
      </c>
      <c r="T2061">
        <v>1.0719362002216442</v>
      </c>
      <c r="U2061">
        <v>2.2904122712516243E-2</v>
      </c>
      <c r="V2061">
        <v>0.20323013715331376</v>
      </c>
      <c r="W2061">
        <v>8.4610386859144154E-2</v>
      </c>
      <c r="X2061">
        <v>1.6082029856062552E-2</v>
      </c>
      <c r="Y2061">
        <v>3.8609395462635625E-3</v>
      </c>
    </row>
    <row r="2062" spans="1:25" x14ac:dyDescent="0.25">
      <c r="A2062" s="827"/>
      <c r="B2062" s="1066">
        <v>1812</v>
      </c>
      <c r="C2062" s="831">
        <v>1.0030435076036617</v>
      </c>
      <c r="D2062" s="831">
        <v>1.0372503919987934</v>
      </c>
      <c r="E2062" s="831">
        <v>0.98076770787304746</v>
      </c>
      <c r="F2062" s="831">
        <v>1.0073783379291021</v>
      </c>
      <c r="G2062" s="831">
        <v>1.0064005395309779</v>
      </c>
      <c r="H2062" s="831">
        <v>1.0101325466851665</v>
      </c>
      <c r="I2062" s="831">
        <v>0.98699014535782259</v>
      </c>
      <c r="K2062">
        <v>1.7237250219492566</v>
      </c>
      <c r="L2062">
        <v>0</v>
      </c>
      <c r="M2062">
        <v>1.4291260391054942E-3</v>
      </c>
      <c r="N2062">
        <v>0.13560027657190754</v>
      </c>
      <c r="O2062">
        <v>1.7490515239090256E-2</v>
      </c>
      <c r="P2062">
        <v>1.9458960273050635E-2</v>
      </c>
      <c r="Q2062">
        <v>2.0855860416296276E-3</v>
      </c>
      <c r="R2062">
        <v>1.4203875892886797E-3</v>
      </c>
      <c r="S2062">
        <v>0.14873649118245705</v>
      </c>
      <c r="T2062">
        <v>1.0730756835511996</v>
      </c>
      <c r="U2062">
        <v>2.3251760986940935E-2</v>
      </c>
      <c r="V2062">
        <v>0.20255628087260244</v>
      </c>
      <c r="W2062">
        <v>8.2135384275414128E-2</v>
      </c>
      <c r="X2062">
        <v>1.5476994617378391E-2</v>
      </c>
      <c r="Y2062">
        <v>3.8658267874008174E-3</v>
      </c>
    </row>
    <row r="2063" spans="1:25" x14ac:dyDescent="0.25">
      <c r="A2063" s="827"/>
      <c r="B2063" s="1066">
        <v>1813</v>
      </c>
      <c r="C2063" s="831">
        <v>1.0253529820914766</v>
      </c>
      <c r="D2063" s="831">
        <v>1.0032971295659705</v>
      </c>
      <c r="E2063" s="831">
        <v>0.95502358918632779</v>
      </c>
      <c r="F2063" s="831">
        <v>1.0428869183160532</v>
      </c>
      <c r="G2063" s="831">
        <v>1.0216665579679354</v>
      </c>
      <c r="H2063" s="831">
        <v>0.96237947036190985</v>
      </c>
      <c r="I2063" s="831">
        <v>1.0234517595507218</v>
      </c>
      <c r="K2063">
        <v>1.7095104576625424</v>
      </c>
      <c r="L2063">
        <v>0</v>
      </c>
      <c r="M2063">
        <v>1.4270375216245839E-3</v>
      </c>
      <c r="N2063">
        <v>0.12492045574758741</v>
      </c>
      <c r="O2063">
        <v>1.7369241097048207E-2</v>
      </c>
      <c r="P2063">
        <v>1.9121227676967171E-2</v>
      </c>
      <c r="Q2063">
        <v>2.0118383232861307E-3</v>
      </c>
      <c r="R2063">
        <v>1.4179034133359261E-3</v>
      </c>
      <c r="S2063">
        <v>0.14955391150263192</v>
      </c>
      <c r="T2063">
        <v>1.0753912458641963</v>
      </c>
      <c r="U2063">
        <v>2.274585270209167E-2</v>
      </c>
      <c r="V2063">
        <v>0.20322414572890979</v>
      </c>
      <c r="W2063">
        <v>7.704204627130895E-2</v>
      </c>
      <c r="X2063">
        <v>1.4280561177437461E-2</v>
      </c>
      <c r="Y2063">
        <v>3.8590656793658037E-3</v>
      </c>
    </row>
    <row r="2064" spans="1:25" x14ac:dyDescent="0.25">
      <c r="A2064" s="827"/>
      <c r="B2064" s="1066">
        <v>1814</v>
      </c>
      <c r="C2064" s="831">
        <v>0.98294596523234945</v>
      </c>
      <c r="D2064" s="831">
        <v>0.98174243418941776</v>
      </c>
      <c r="E2064" s="831">
        <v>1.0352191690261558</v>
      </c>
      <c r="F2064" s="831">
        <v>0.99720631873391363</v>
      </c>
      <c r="G2064" s="831">
        <v>0.97478902586521909</v>
      </c>
      <c r="H2064" s="831">
        <v>1.012112247402313</v>
      </c>
      <c r="I2064" s="831">
        <v>0.99769332971211389</v>
      </c>
      <c r="K2064">
        <v>1.7593356438845156</v>
      </c>
      <c r="L2064">
        <v>0</v>
      </c>
      <c r="M2064">
        <v>1.3355063645368287E-3</v>
      </c>
      <c r="N2064">
        <v>0.15010014721597834</v>
      </c>
      <c r="O2064">
        <v>1.8297880391298427E-2</v>
      </c>
      <c r="P2064">
        <v>2.0418075211818574E-2</v>
      </c>
      <c r="Q2064">
        <v>2.2937423280688235E-3</v>
      </c>
      <c r="R2064">
        <v>1.3273925908250436E-3</v>
      </c>
      <c r="S2064">
        <v>0.15711019110634045</v>
      </c>
      <c r="T2064">
        <v>1.0682602449516934</v>
      </c>
      <c r="U2064">
        <v>2.3727171913046276E-2</v>
      </c>
      <c r="V2064">
        <v>0.20978539151832856</v>
      </c>
      <c r="W2064">
        <v>8.7610979663743607E-2</v>
      </c>
      <c r="X2064">
        <v>1.8127208300535078E-2</v>
      </c>
      <c r="Y2064">
        <v>3.6127250573758031E-3</v>
      </c>
    </row>
    <row r="2065" spans="1:25" x14ac:dyDescent="0.25">
      <c r="A2065" s="827"/>
      <c r="B2065" s="1066">
        <v>1815</v>
      </c>
      <c r="C2065" s="831">
        <v>1.0119083488167337</v>
      </c>
      <c r="D2065" s="831">
        <v>0.95628830500050543</v>
      </c>
      <c r="E2065" s="831">
        <v>1.0174339576141356</v>
      </c>
      <c r="F2065" s="831">
        <v>1.006485415154982</v>
      </c>
      <c r="G2065" s="831">
        <v>0.99620591290346006</v>
      </c>
      <c r="H2065" s="831">
        <v>0.98924926978146377</v>
      </c>
      <c r="I2065" s="831">
        <v>0.98499990088969103</v>
      </c>
      <c r="K2065">
        <v>1.7389284734432313</v>
      </c>
      <c r="L2065">
        <v>0</v>
      </c>
      <c r="M2065">
        <v>1.3323676884163154E-3</v>
      </c>
      <c r="N2065">
        <v>0.14168382778264313</v>
      </c>
      <c r="O2065">
        <v>1.7987729406194402E-2</v>
      </c>
      <c r="P2065">
        <v>2.0068726414100825E-2</v>
      </c>
      <c r="Q2065">
        <v>2.2106349462771941E-3</v>
      </c>
      <c r="R2065">
        <v>1.3241039072475734E-3</v>
      </c>
      <c r="S2065">
        <v>0.15070072081112929</v>
      </c>
      <c r="T2065">
        <v>1.0698207564259723</v>
      </c>
      <c r="U2065">
        <v>2.3048063518376134E-2</v>
      </c>
      <c r="V2065">
        <v>0.20907136920167069</v>
      </c>
      <c r="W2065">
        <v>8.3692573159314207E-2</v>
      </c>
      <c r="X2065">
        <v>1.7048561213927723E-2</v>
      </c>
      <c r="Y2065">
        <v>3.6037743447921806E-3</v>
      </c>
    </row>
    <row r="2066" spans="1:25" x14ac:dyDescent="0.25">
      <c r="A2066" s="827"/>
      <c r="B2066" s="1066">
        <v>1816</v>
      </c>
      <c r="C2066" s="831">
        <v>1.0092371586140751</v>
      </c>
      <c r="D2066" s="831">
        <v>0.95384439248567554</v>
      </c>
      <c r="E2066" s="831">
        <v>0.99443082448680209</v>
      </c>
      <c r="F2066" s="831">
        <v>0.99753821414727106</v>
      </c>
      <c r="G2066" s="831">
        <v>0.97337172304457187</v>
      </c>
      <c r="H2066" s="831">
        <v>1.024108771888439</v>
      </c>
      <c r="I2066" s="831">
        <v>1.0353408117958105</v>
      </c>
      <c r="K2066">
        <v>1.7569630678328707</v>
      </c>
      <c r="L2066">
        <v>0</v>
      </c>
      <c r="M2066">
        <v>1.4533681526120064E-3</v>
      </c>
      <c r="N2066">
        <v>0.14391228432235476</v>
      </c>
      <c r="O2066">
        <v>1.8056369398994562E-2</v>
      </c>
      <c r="P2066">
        <v>1.991302129841805E-2</v>
      </c>
      <c r="Q2066">
        <v>2.1680469722735844E-3</v>
      </c>
      <c r="R2066">
        <v>1.444662582126804E-3</v>
      </c>
      <c r="S2066">
        <v>0.161614381428941</v>
      </c>
      <c r="T2066">
        <v>1.0718568568352331</v>
      </c>
      <c r="U2066">
        <v>2.3109065792157907E-2</v>
      </c>
      <c r="V2066">
        <v>0.2096073764743368</v>
      </c>
      <c r="W2066">
        <v>8.6351926910767401E-2</v>
      </c>
      <c r="X2066">
        <v>1.6450548654221468E-2</v>
      </c>
      <c r="Y2066">
        <v>3.9318953156569515E-3</v>
      </c>
    </row>
    <row r="2067" spans="1:25" x14ac:dyDescent="0.25">
      <c r="A2067" s="827"/>
      <c r="B2067" s="1066">
        <v>1817</v>
      </c>
      <c r="C2067" s="831">
        <v>0.97044184588891291</v>
      </c>
      <c r="D2067" s="831">
        <v>1.0321300275323697</v>
      </c>
      <c r="E2067" s="831">
        <v>0.99741195552654116</v>
      </c>
      <c r="F2067" s="831">
        <v>1.0396241762211897</v>
      </c>
      <c r="G2067" s="831">
        <v>1.0053359083517825</v>
      </c>
      <c r="H2067" s="831">
        <v>0.96666469086909834</v>
      </c>
      <c r="I2067" s="831">
        <v>1.0076705843345466</v>
      </c>
      <c r="K2067">
        <v>1.7347790255601696</v>
      </c>
      <c r="L2067">
        <v>0</v>
      </c>
      <c r="M2067">
        <v>1.3680123411972844E-3</v>
      </c>
      <c r="N2067">
        <v>0.13666832650168201</v>
      </c>
      <c r="O2067">
        <v>1.8118510154147009E-2</v>
      </c>
      <c r="P2067">
        <v>1.9821662158737766E-2</v>
      </c>
      <c r="Q2067">
        <v>2.1962665174972439E-3</v>
      </c>
      <c r="R2067">
        <v>1.3592748962628143E-3</v>
      </c>
      <c r="S2067">
        <v>0.15408188309347232</v>
      </c>
      <c r="T2067">
        <v>1.0715918577660759</v>
      </c>
      <c r="U2067">
        <v>2.4032895940240533E-2</v>
      </c>
      <c r="V2067">
        <v>0.20650593669361347</v>
      </c>
      <c r="W2067">
        <v>8.1837741523112989E-2</v>
      </c>
      <c r="X2067">
        <v>1.6233184473746009E-2</v>
      </c>
      <c r="Y2067">
        <v>3.6994981827782525E-3</v>
      </c>
    </row>
    <row r="2068" spans="1:25" x14ac:dyDescent="0.25">
      <c r="A2068" s="827"/>
      <c r="B2068" s="1066">
        <v>1818</v>
      </c>
      <c r="C2068" s="831">
        <v>0.98591827475877658</v>
      </c>
      <c r="D2068" s="831">
        <v>0.97098128114912308</v>
      </c>
      <c r="E2068" s="831">
        <v>1.014692299925726</v>
      </c>
      <c r="F2068" s="831">
        <v>0.99902420453077212</v>
      </c>
      <c r="G2068" s="831">
        <v>0.99150293211738938</v>
      </c>
      <c r="H2068" s="831">
        <v>1.0248626411486583</v>
      </c>
      <c r="I2068" s="831">
        <v>1.0246513007643803</v>
      </c>
      <c r="K2068">
        <v>1.7664046713233026</v>
      </c>
      <c r="L2068">
        <v>0</v>
      </c>
      <c r="M2068">
        <v>1.4151048156890648E-3</v>
      </c>
      <c r="N2068">
        <v>0.14923672234508006</v>
      </c>
      <c r="O2068">
        <v>1.8334280310193997E-2</v>
      </c>
      <c r="P2068">
        <v>2.0223571520377112E-2</v>
      </c>
      <c r="Q2068">
        <v>2.2499448358970406E-3</v>
      </c>
      <c r="R2068">
        <v>1.4066221255369924E-3</v>
      </c>
      <c r="S2068">
        <v>0.16257321606455741</v>
      </c>
      <c r="T2068">
        <v>1.0700623815326491</v>
      </c>
      <c r="U2068">
        <v>2.3655640122919368E-2</v>
      </c>
      <c r="V2068">
        <v>0.21050370079126549</v>
      </c>
      <c r="W2068">
        <v>8.8317749012526509E-2</v>
      </c>
      <c r="X2068">
        <v>1.7427585745135466E-2</v>
      </c>
      <c r="Y2068">
        <v>3.828361732852629E-3</v>
      </c>
    </row>
    <row r="2069" spans="1:25" x14ac:dyDescent="0.25">
      <c r="A2069" s="827"/>
      <c r="B2069" s="1066">
        <v>1819</v>
      </c>
      <c r="C2069" s="831">
        <v>0.98186092218455556</v>
      </c>
      <c r="D2069" s="831">
        <v>0.98524065743279543</v>
      </c>
      <c r="E2069" s="831">
        <v>0.98973602630224478</v>
      </c>
      <c r="F2069" s="831">
        <v>1.0387284516574316</v>
      </c>
      <c r="G2069" s="831">
        <v>0.98103809346150572</v>
      </c>
      <c r="H2069" s="831">
        <v>1.0207596275082143</v>
      </c>
      <c r="I2069" s="831">
        <v>0.95711250089242728</v>
      </c>
      <c r="K2069">
        <v>1.7490311383583721</v>
      </c>
      <c r="L2069">
        <v>0</v>
      </c>
      <c r="M2069">
        <v>1.4818276994711015E-3</v>
      </c>
      <c r="N2069">
        <v>0.1445963242239286</v>
      </c>
      <c r="O2069">
        <v>1.8288553325790262E-2</v>
      </c>
      <c r="P2069">
        <v>1.9716673978194682E-2</v>
      </c>
      <c r="Q2069">
        <v>2.191448186542733E-3</v>
      </c>
      <c r="R2069">
        <v>1.4728986177062428E-3</v>
      </c>
      <c r="S2069">
        <v>0.15127235695666205</v>
      </c>
      <c r="T2069">
        <v>1.0722748666195598</v>
      </c>
      <c r="U2069">
        <v>2.3753392533855573E-2</v>
      </c>
      <c r="V2069">
        <v>0.2095690227361017</v>
      </c>
      <c r="W2069">
        <v>8.7043085568742962E-2</v>
      </c>
      <c r="X2069">
        <v>1.6325598814261291E-2</v>
      </c>
      <c r="Y2069">
        <v>4.0087444964975573E-3</v>
      </c>
    </row>
    <row r="2070" spans="1:25" x14ac:dyDescent="0.25">
      <c r="A2070" s="827"/>
      <c r="B2070" s="1066">
        <v>1820</v>
      </c>
      <c r="C2070" s="831">
        <v>0.97504456829550989</v>
      </c>
      <c r="D2070" s="831">
        <v>1.0179904311043151</v>
      </c>
      <c r="E2070" s="831">
        <v>0.98340696391129667</v>
      </c>
      <c r="F2070" s="831">
        <v>1.0014527551906116</v>
      </c>
      <c r="G2070" s="831">
        <v>0.98674534711156647</v>
      </c>
      <c r="H2070" s="831">
        <v>1.036664363916308</v>
      </c>
      <c r="I2070" s="831">
        <v>0.97287486883307916</v>
      </c>
      <c r="K2070">
        <v>1.7503567767688282</v>
      </c>
      <c r="L2070">
        <v>0</v>
      </c>
      <c r="M2070">
        <v>1.5131773928780687E-3</v>
      </c>
      <c r="N2070">
        <v>0.14478478192746311</v>
      </c>
      <c r="O2070">
        <v>1.814568004666222E-2</v>
      </c>
      <c r="P2070">
        <v>1.9636616346688257E-2</v>
      </c>
      <c r="Q2070">
        <v>2.1662309455727688E-3</v>
      </c>
      <c r="R2070">
        <v>1.5041753660568987E-3</v>
      </c>
      <c r="S2070">
        <v>0.15387933880205606</v>
      </c>
      <c r="T2070">
        <v>1.0728396996819596</v>
      </c>
      <c r="U2070">
        <v>2.3919448050537456E-2</v>
      </c>
      <c r="V2070">
        <v>0.20726892385852955</v>
      </c>
      <c r="W2070">
        <v>8.7538369203128519E-2</v>
      </c>
      <c r="X2070">
        <v>1.6092820437919767E-2</v>
      </c>
      <c r="Y2070">
        <v>4.0938694951307203E-3</v>
      </c>
    </row>
    <row r="2071" spans="1:25" x14ac:dyDescent="0.25">
      <c r="A2071" s="827"/>
      <c r="B2071" s="1066">
        <v>1821</v>
      </c>
      <c r="C2071" s="831">
        <v>1.0048556222984995</v>
      </c>
      <c r="D2071" s="831">
        <v>0.98773128777238495</v>
      </c>
      <c r="E2071" s="831">
        <v>0.98079841074079543</v>
      </c>
      <c r="F2071" s="831">
        <v>0.99318405198088233</v>
      </c>
      <c r="G2071" s="831">
        <v>1.0305063672182624</v>
      </c>
      <c r="H2071" s="831">
        <v>1.0183847316387618</v>
      </c>
      <c r="I2071" s="831">
        <v>0.98478975838066063</v>
      </c>
      <c r="K2071">
        <v>1.7380981094420462</v>
      </c>
      <c r="L2071">
        <v>0</v>
      </c>
      <c r="M2071">
        <v>1.4702492804323658E-3</v>
      </c>
      <c r="N2071">
        <v>0.1395258523102697</v>
      </c>
      <c r="O2071">
        <v>1.7849587900359353E-2</v>
      </c>
      <c r="P2071">
        <v>1.9556486105922918E-2</v>
      </c>
      <c r="Q2071">
        <v>2.1200051037409753E-3</v>
      </c>
      <c r="R2071">
        <v>1.4613674669559692E-3</v>
      </c>
      <c r="S2071">
        <v>0.15175727206745379</v>
      </c>
      <c r="T2071">
        <v>1.0730729368096268</v>
      </c>
      <c r="U2071">
        <v>2.320982973151451E-2</v>
      </c>
      <c r="V2071">
        <v>0.20679616336205006</v>
      </c>
      <c r="W2071">
        <v>8.4511372494805309E-2</v>
      </c>
      <c r="X2071">
        <v>1.5730124864379091E-2</v>
      </c>
      <c r="Y2071">
        <v>3.9773605053981366E-3</v>
      </c>
    </row>
    <row r="2072" spans="1:25" x14ac:dyDescent="0.25">
      <c r="A2072" s="827"/>
      <c r="B2072" s="1066">
        <v>1822</v>
      </c>
      <c r="C2072" s="831">
        <v>0.99243860780142279</v>
      </c>
      <c r="D2072" s="831">
        <v>0.97259244531631472</v>
      </c>
      <c r="E2072" s="831">
        <v>1.0119626646292512</v>
      </c>
      <c r="F2072" s="831">
        <v>0.97100283671693222</v>
      </c>
      <c r="G2072" s="831">
        <v>0.99295465807261474</v>
      </c>
      <c r="H2072" s="831">
        <v>0.96573509845933225</v>
      </c>
      <c r="I2072" s="831">
        <v>1.0021528858952307</v>
      </c>
      <c r="K2072">
        <v>1.739495660201543</v>
      </c>
      <c r="L2072">
        <v>0</v>
      </c>
      <c r="M2072">
        <v>1.3313521790518307E-3</v>
      </c>
      <c r="N2072">
        <v>0.13916653265078777</v>
      </c>
      <c r="O2072">
        <v>1.8200104280156653E-2</v>
      </c>
      <c r="P2072">
        <v>2.0046977765136066E-2</v>
      </c>
      <c r="Q2072">
        <v>2.2277114736654496E-3</v>
      </c>
      <c r="R2072">
        <v>1.3228817549986336E-3</v>
      </c>
      <c r="S2072">
        <v>0.15350930393419571</v>
      </c>
      <c r="T2072">
        <v>1.0703032297193071</v>
      </c>
      <c r="U2072">
        <v>2.3500222295835767E-2</v>
      </c>
      <c r="V2072">
        <v>0.20961088499733002</v>
      </c>
      <c r="W2072">
        <v>8.2510789161276979E-2</v>
      </c>
      <c r="X2072">
        <v>1.6827926298649907E-2</v>
      </c>
      <c r="Y2072">
        <v>3.6004480492529472E-3</v>
      </c>
    </row>
    <row r="2073" spans="1:25" x14ac:dyDescent="0.25">
      <c r="A2073" s="827"/>
      <c r="B2073" s="1066">
        <v>1823</v>
      </c>
      <c r="C2073" s="831">
        <v>0.96842110227357125</v>
      </c>
      <c r="D2073" s="831">
        <v>1.0012510584772434</v>
      </c>
      <c r="E2073" s="831">
        <v>1.0152286422493599</v>
      </c>
      <c r="F2073" s="831">
        <v>1.013757078546756</v>
      </c>
      <c r="G2073" s="831">
        <v>0.98776418292088086</v>
      </c>
      <c r="H2073" s="831">
        <v>1.0354731941154192</v>
      </c>
      <c r="I2073" s="831">
        <v>0.97391906325415711</v>
      </c>
      <c r="K2073">
        <v>1.7630370790914469</v>
      </c>
      <c r="L2073">
        <v>0</v>
      </c>
      <c r="M2073">
        <v>1.4338526842444126E-3</v>
      </c>
      <c r="N2073">
        <v>0.15147319792717401</v>
      </c>
      <c r="O2073">
        <v>1.8407358930296519E-2</v>
      </c>
      <c r="P2073">
        <v>2.0134321999592242E-2</v>
      </c>
      <c r="Q2073">
        <v>2.26585849019963E-3</v>
      </c>
      <c r="R2073">
        <v>1.4253242236647902E-3</v>
      </c>
      <c r="S2073">
        <v>0.15608384963584737</v>
      </c>
      <c r="T2073">
        <v>1.0700150907452448</v>
      </c>
      <c r="U2073">
        <v>2.4083043877863312E-2</v>
      </c>
      <c r="V2073">
        <v>0.20956796720424242</v>
      </c>
      <c r="W2073">
        <v>8.9608736964205321E-2</v>
      </c>
      <c r="X2073">
        <v>1.7526919098549618E-2</v>
      </c>
      <c r="Y2073">
        <v>3.8792626788115049E-3</v>
      </c>
    </row>
    <row r="2074" spans="1:25" x14ac:dyDescent="0.25">
      <c r="A2074" s="827"/>
      <c r="B2074" s="1066">
        <v>1824</v>
      </c>
      <c r="C2074" s="831">
        <v>1.0158843495626257</v>
      </c>
      <c r="D2074" s="831">
        <v>1.0317036840068148</v>
      </c>
      <c r="E2074" s="831">
        <v>0.98408350300832537</v>
      </c>
      <c r="F2074" s="831">
        <v>1.022301218266209</v>
      </c>
      <c r="G2074" s="831">
        <v>1.0398298336044158</v>
      </c>
      <c r="H2074" s="831">
        <v>0.99140134059430074</v>
      </c>
      <c r="I2074" s="831">
        <v>1.0022621219047869</v>
      </c>
      <c r="K2074">
        <v>1.7156012493189616</v>
      </c>
      <c r="L2074">
        <v>0</v>
      </c>
      <c r="M2074">
        <v>1.3786129356902861E-3</v>
      </c>
      <c r="N2074">
        <v>0.13215056188236687</v>
      </c>
      <c r="O2074">
        <v>1.7311261088314198E-2</v>
      </c>
      <c r="P2074">
        <v>1.9480691047982626E-2</v>
      </c>
      <c r="Q2074">
        <v>2.070276808420811E-3</v>
      </c>
      <c r="R2074">
        <v>1.370027768361957E-3</v>
      </c>
      <c r="S2074">
        <v>0.14815190377930673</v>
      </c>
      <c r="T2074">
        <v>1.0727792504462881</v>
      </c>
      <c r="U2074">
        <v>2.2957857268245483E-2</v>
      </c>
      <c r="V2074">
        <v>0.20170997851031972</v>
      </c>
      <c r="W2074">
        <v>7.9862188571063794E-2</v>
      </c>
      <c r="X2074">
        <v>1.5407101128033765E-2</v>
      </c>
      <c r="Y2074">
        <v>3.7287639559487832E-3</v>
      </c>
    </row>
    <row r="2075" spans="1:25" x14ac:dyDescent="0.25">
      <c r="A2075" s="827"/>
      <c r="B2075" s="1066">
        <v>1825</v>
      </c>
      <c r="C2075" s="831">
        <v>0.96491770518169262</v>
      </c>
      <c r="D2075" s="831">
        <v>1.0264171379878253</v>
      </c>
      <c r="E2075" s="831">
        <v>0.96645846647277567</v>
      </c>
      <c r="F2075" s="831">
        <v>0.97389171782500927</v>
      </c>
      <c r="G2075" s="831">
        <v>1.0132097605187609</v>
      </c>
      <c r="H2075" s="831">
        <v>1.0290554547005177</v>
      </c>
      <c r="I2075" s="831">
        <v>1.0157922514177469</v>
      </c>
      <c r="K2075">
        <v>1.7562498338023114</v>
      </c>
      <c r="L2075">
        <v>0</v>
      </c>
      <c r="M2075">
        <v>1.5669269820314819E-3</v>
      </c>
      <c r="N2075">
        <v>0.14220619140737867</v>
      </c>
      <c r="O2075">
        <v>1.826795416111154E-2</v>
      </c>
      <c r="P2075">
        <v>1.9510441408763367E-2</v>
      </c>
      <c r="Q2075">
        <v>2.1449094984530913E-3</v>
      </c>
      <c r="R2075">
        <v>1.5575300326355005E-3</v>
      </c>
      <c r="S2075">
        <v>0.16123138848655558</v>
      </c>
      <c r="T2075">
        <v>1.074359668684713</v>
      </c>
      <c r="U2075">
        <v>2.4170483941852439E-2</v>
      </c>
      <c r="V2075">
        <v>0.20763724512334758</v>
      </c>
      <c r="W2075">
        <v>8.7000104564669667E-2</v>
      </c>
      <c r="X2075">
        <v>1.5491760165663759E-2</v>
      </c>
      <c r="Y2075">
        <v>4.2390833091965644E-3</v>
      </c>
    </row>
    <row r="2076" spans="1:25" x14ac:dyDescent="0.25">
      <c r="A2076" s="827"/>
      <c r="B2076" s="1066">
        <v>1826</v>
      </c>
      <c r="C2076" s="831">
        <v>1.0400854374988615</v>
      </c>
      <c r="D2076" s="831">
        <v>0.98536853340252017</v>
      </c>
      <c r="E2076" s="831">
        <v>1.0057265647215961</v>
      </c>
      <c r="F2076" s="831">
        <v>0.98489510164048188</v>
      </c>
      <c r="G2076" s="831">
        <v>1.0128352677384886</v>
      </c>
      <c r="H2076" s="831">
        <v>0.98657866553688056</v>
      </c>
      <c r="I2076" s="831">
        <v>0.99984071079871117</v>
      </c>
      <c r="K2076">
        <v>1.7160692857841851</v>
      </c>
      <c r="L2076">
        <v>0</v>
      </c>
      <c r="M2076">
        <v>1.3071988877261295E-3</v>
      </c>
      <c r="N2076">
        <v>0.13403524841869519</v>
      </c>
      <c r="O2076">
        <v>1.7263734054373536E-2</v>
      </c>
      <c r="P2076">
        <v>1.9769537465376165E-2</v>
      </c>
      <c r="Q2076">
        <v>2.1022319160856461E-3</v>
      </c>
      <c r="R2076">
        <v>1.2990490839185679E-3</v>
      </c>
      <c r="S2076">
        <v>0.1467965772120581</v>
      </c>
      <c r="T2076">
        <v>1.0708545266302867</v>
      </c>
      <c r="U2076">
        <v>2.2423665458087678E-2</v>
      </c>
      <c r="V2076">
        <v>0.20334507777138647</v>
      </c>
      <c r="W2076">
        <v>7.9806211844082958E-2</v>
      </c>
      <c r="X2076">
        <v>1.6145041442546491E-2</v>
      </c>
      <c r="Y2076">
        <v>3.5355833750109165E-3</v>
      </c>
    </row>
    <row r="2077" spans="1:25" x14ac:dyDescent="0.25">
      <c r="A2077" s="827"/>
      <c r="B2077" s="1066">
        <v>1827</v>
      </c>
      <c r="C2077" s="831">
        <v>1.0122141130485354</v>
      </c>
      <c r="D2077" s="831">
        <v>1.0225715737444834</v>
      </c>
      <c r="E2077" s="831">
        <v>0.95581454816329736</v>
      </c>
      <c r="F2077" s="831">
        <v>0.99812476653199989</v>
      </c>
      <c r="G2077" s="831">
        <v>1.0030774835277574</v>
      </c>
      <c r="H2077" s="831">
        <v>1.0138730849961961</v>
      </c>
      <c r="I2077" s="831">
        <v>0.99376747984403579</v>
      </c>
      <c r="K2077">
        <v>1.7218828633053649</v>
      </c>
      <c r="L2077">
        <v>0</v>
      </c>
      <c r="M2077">
        <v>1.507376669890536E-3</v>
      </c>
      <c r="N2077">
        <v>0.13232142588663701</v>
      </c>
      <c r="O2077">
        <v>1.7443921302059875E-2</v>
      </c>
      <c r="P2077">
        <v>1.9131100309655105E-2</v>
      </c>
      <c r="Q2077">
        <v>2.0252710453549485E-3</v>
      </c>
      <c r="R2077">
        <v>1.4982042485257108E-3</v>
      </c>
      <c r="S2077">
        <v>0.14954003825782416</v>
      </c>
      <c r="T2077">
        <v>1.0753197336336473</v>
      </c>
      <c r="U2077">
        <v>2.3041101282476269E-2</v>
      </c>
      <c r="V2077">
        <v>0.20287123968394549</v>
      </c>
      <c r="W2077">
        <v>8.156087953950944E-2</v>
      </c>
      <c r="X2077">
        <v>1.4559706704029236E-2</v>
      </c>
      <c r="Y2077">
        <v>4.0776180815891919E-3</v>
      </c>
    </row>
    <row r="2078" spans="1:25" x14ac:dyDescent="0.25">
      <c r="A2078" s="827"/>
      <c r="B2078" s="1066">
        <v>1828</v>
      </c>
      <c r="C2078" s="831">
        <v>1.0062311279137217</v>
      </c>
      <c r="D2078" s="831">
        <v>0.95916408085196392</v>
      </c>
      <c r="E2078" s="831">
        <v>1.0029207242838787</v>
      </c>
      <c r="F2078" s="831">
        <v>0.97511419784237874</v>
      </c>
      <c r="G2078" s="831">
        <v>0.98431020719514284</v>
      </c>
      <c r="H2078" s="831">
        <v>0.95018146926688052</v>
      </c>
      <c r="I2078" s="831">
        <v>0.99936444335239227</v>
      </c>
      <c r="K2078">
        <v>1.7294302679291578</v>
      </c>
      <c r="L2078">
        <v>0</v>
      </c>
      <c r="M2078">
        <v>1.3251643775167845E-3</v>
      </c>
      <c r="N2078">
        <v>0.13466637246520827</v>
      </c>
      <c r="O2078">
        <v>1.8064504336944343E-2</v>
      </c>
      <c r="P2078">
        <v>1.9878747377276726E-2</v>
      </c>
      <c r="Q2078">
        <v>2.1886482008934556E-3</v>
      </c>
      <c r="R2078">
        <v>1.3166051937035256E-3</v>
      </c>
      <c r="S2078">
        <v>0.15073005721545629</v>
      </c>
      <c r="T2078">
        <v>1.0711030539080058</v>
      </c>
      <c r="U2078">
        <v>2.3178102178829572E-2</v>
      </c>
      <c r="V2078">
        <v>0.20940525824185177</v>
      </c>
      <c r="W2078">
        <v>8.0335613072307438E-2</v>
      </c>
      <c r="X2078">
        <v>1.6305104797720908E-2</v>
      </c>
      <c r="Y2078">
        <v>3.5833653184755374E-3</v>
      </c>
    </row>
    <row r="2079" spans="1:25" x14ac:dyDescent="0.25">
      <c r="A2079" s="827"/>
      <c r="B2079" s="1066">
        <v>1829</v>
      </c>
      <c r="C2079" s="831">
        <v>0.96792427758097821</v>
      </c>
      <c r="D2079" s="831">
        <v>0.99519798303273399</v>
      </c>
      <c r="E2079" s="831">
        <v>0.97546979097366326</v>
      </c>
      <c r="F2079" s="831">
        <v>1.0099759551776573</v>
      </c>
      <c r="G2079" s="831">
        <v>1.007677351456153</v>
      </c>
      <c r="H2079" s="831">
        <v>0.98511717598524329</v>
      </c>
      <c r="I2079" s="831">
        <v>1.0323012198342243</v>
      </c>
      <c r="K2079">
        <v>1.7532771813707471</v>
      </c>
      <c r="L2079">
        <v>0</v>
      </c>
      <c r="M2079">
        <v>1.4880061518819637E-3</v>
      </c>
      <c r="N2079">
        <v>0.13885650283798193</v>
      </c>
      <c r="O2079">
        <v>1.8467473138015261E-2</v>
      </c>
      <c r="P2079">
        <v>1.9679506218611937E-2</v>
      </c>
      <c r="Q2079">
        <v>2.1828853951540274E-3</v>
      </c>
      <c r="R2079">
        <v>1.4787077768149315E-3</v>
      </c>
      <c r="S2079">
        <v>0.16207950783521535</v>
      </c>
      <c r="T2079">
        <v>1.0735501763056932</v>
      </c>
      <c r="U2079">
        <v>2.4095405434597116E-2</v>
      </c>
      <c r="V2079">
        <v>0.21020220163743153</v>
      </c>
      <c r="W2079">
        <v>8.4417909815692055E-2</v>
      </c>
      <c r="X2079">
        <v>1.5730356014817884E-2</v>
      </c>
      <c r="Y2079">
        <v>4.0245551126026242E-3</v>
      </c>
    </row>
    <row r="2080" spans="1:25" x14ac:dyDescent="0.25">
      <c r="A2080" s="827"/>
      <c r="B2080" s="1066">
        <v>1830</v>
      </c>
      <c r="C2080" s="831">
        <v>0.95335395997250538</v>
      </c>
      <c r="D2080" s="831">
        <v>1.0224819350067202</v>
      </c>
      <c r="E2080" s="831">
        <v>0.99526415949218838</v>
      </c>
      <c r="F2080" s="831">
        <v>1.0000850328846198</v>
      </c>
      <c r="G2080" s="831">
        <v>1.0023886384001779</v>
      </c>
      <c r="H2080" s="831">
        <v>1.0037161671599115</v>
      </c>
      <c r="I2080" s="831">
        <v>1.0038399874506132</v>
      </c>
      <c r="K2080">
        <v>1.758029763706132</v>
      </c>
      <c r="L2080">
        <v>0</v>
      </c>
      <c r="M2080">
        <v>1.4586239511664369E-3</v>
      </c>
      <c r="N2080">
        <v>0.14478498017495134</v>
      </c>
      <c r="O2080">
        <v>1.8521643993063473E-2</v>
      </c>
      <c r="P2080">
        <v>1.9911996873587582E-2</v>
      </c>
      <c r="Q2080">
        <v>2.2385819104548716E-3</v>
      </c>
      <c r="R2080">
        <v>1.4496584378888167E-3</v>
      </c>
      <c r="S2080">
        <v>0.15962767649820553</v>
      </c>
      <c r="T2080">
        <v>1.0717827461696499</v>
      </c>
      <c r="U2080">
        <v>2.446366079915983E-2</v>
      </c>
      <c r="V2080">
        <v>0.2093230809366394</v>
      </c>
      <c r="W2080">
        <v>8.682587098461321E-2</v>
      </c>
      <c r="X2080">
        <v>1.6612998490925932E-2</v>
      </c>
      <c r="Y2080">
        <v>3.9454923881577422E-3</v>
      </c>
    </row>
    <row r="2081" spans="1:25" x14ac:dyDescent="0.25">
      <c r="A2081" s="827"/>
      <c r="B2081" s="1066">
        <v>1831</v>
      </c>
      <c r="C2081" s="831">
        <v>0.97356614504111494</v>
      </c>
      <c r="D2081" s="831">
        <v>0.97506832311476477</v>
      </c>
      <c r="E2081" s="831">
        <v>1.0085950512558794</v>
      </c>
      <c r="F2081" s="831">
        <v>1.0089805677544053</v>
      </c>
      <c r="G2081" s="831">
        <v>0.99800817840807432</v>
      </c>
      <c r="H2081" s="831">
        <v>0.9979543879583217</v>
      </c>
      <c r="I2081" s="831">
        <v>1.013580409959254</v>
      </c>
      <c r="K2081">
        <v>1.7611659242810029</v>
      </c>
      <c r="L2081">
        <v>0</v>
      </c>
      <c r="M2081">
        <v>1.4108067651122792E-3</v>
      </c>
      <c r="N2081">
        <v>0.14596607878018431</v>
      </c>
      <c r="O2081">
        <v>1.8531490396564938E-2</v>
      </c>
      <c r="P2081">
        <v>2.0130130609943623E-2</v>
      </c>
      <c r="Q2081">
        <v>2.2611294386612915E-3</v>
      </c>
      <c r="R2081">
        <v>1.4021187956556721E-3</v>
      </c>
      <c r="S2081">
        <v>0.16053790445000185</v>
      </c>
      <c r="T2081">
        <v>1.0706007579965862</v>
      </c>
      <c r="U2081">
        <v>2.3955771281794339E-2</v>
      </c>
      <c r="V2081">
        <v>0.21151347667451109</v>
      </c>
      <c r="W2081">
        <v>8.6740407088701774E-2</v>
      </c>
      <c r="X2081">
        <v>1.7121360380072621E-2</v>
      </c>
      <c r="Y2081">
        <v>3.816105153437973E-3</v>
      </c>
    </row>
    <row r="2082" spans="1:25" x14ac:dyDescent="0.25">
      <c r="A2082" s="827"/>
      <c r="B2082" s="1066">
        <v>1832</v>
      </c>
      <c r="C2082" s="831">
        <v>0.98329916871577061</v>
      </c>
      <c r="D2082" s="831">
        <v>1.0383424521882934</v>
      </c>
      <c r="E2082" s="831">
        <v>0.99809458633219816</v>
      </c>
      <c r="F2082" s="831">
        <v>1.0098648010100906</v>
      </c>
      <c r="G2082" s="831">
        <v>1.0178826760670776</v>
      </c>
      <c r="H2082" s="831">
        <v>1.0284907230572244</v>
      </c>
      <c r="I2082" s="831">
        <v>1.015558241046284</v>
      </c>
      <c r="K2082">
        <v>1.7463818279262633</v>
      </c>
      <c r="L2082">
        <v>0</v>
      </c>
      <c r="M2082">
        <v>1.4305394256299414E-3</v>
      </c>
      <c r="N2082">
        <v>0.14327377339120989</v>
      </c>
      <c r="O2082">
        <v>1.7833253967988516E-2</v>
      </c>
      <c r="P2082">
        <v>1.9845068280030621E-2</v>
      </c>
      <c r="Q2082">
        <v>2.164219244230452E-3</v>
      </c>
      <c r="R2082">
        <v>1.4219477438484503E-3</v>
      </c>
      <c r="S2082">
        <v>0.15738491172911376</v>
      </c>
      <c r="T2082">
        <v>1.0715312244296176</v>
      </c>
      <c r="U2082">
        <v>2.3718649054451417E-2</v>
      </c>
      <c r="V2082">
        <v>0.20455253702704143</v>
      </c>
      <c r="W2082">
        <v>8.575299311694054E-2</v>
      </c>
      <c r="X2082">
        <v>1.6463716353611931E-2</v>
      </c>
      <c r="Y2082">
        <v>3.8700730138077001E-3</v>
      </c>
    </row>
    <row r="2083" spans="1:25" x14ac:dyDescent="0.25">
      <c r="A2083" s="827"/>
      <c r="B2083" s="1066">
        <v>1833</v>
      </c>
      <c r="C2083" s="831">
        <v>0.97793409436688827</v>
      </c>
      <c r="D2083" s="831">
        <v>1.0039542742032668</v>
      </c>
      <c r="E2083" s="831">
        <v>1.0087857987216382</v>
      </c>
      <c r="F2083" s="831">
        <v>0.99887990668055715</v>
      </c>
      <c r="G2083" s="831">
        <v>0.98361370862317155</v>
      </c>
      <c r="H2083" s="831">
        <v>1.0456918983234063</v>
      </c>
      <c r="I2083" s="831">
        <v>0.99704235576214584</v>
      </c>
      <c r="K2083">
        <v>1.7627689628240562</v>
      </c>
      <c r="L2083">
        <v>0</v>
      </c>
      <c r="M2083">
        <v>1.451770209256405E-3</v>
      </c>
      <c r="N2083">
        <v>0.15033376434120724</v>
      </c>
      <c r="O2083">
        <v>1.8206057214028105E-2</v>
      </c>
      <c r="P2083">
        <v>2.0062493590118236E-2</v>
      </c>
      <c r="Q2083">
        <v>2.2271992509032782E-3</v>
      </c>
      <c r="R2083">
        <v>1.4432176838580959E-3</v>
      </c>
      <c r="S2083">
        <v>0.15880463589463373</v>
      </c>
      <c r="T2083">
        <v>1.0705838940209995</v>
      </c>
      <c r="U2083">
        <v>2.3848772665403535E-2</v>
      </c>
      <c r="V2083">
        <v>0.20823995199119383</v>
      </c>
      <c r="W2083">
        <v>8.9324317502831027E-2</v>
      </c>
      <c r="X2083">
        <v>1.7218466099252819E-2</v>
      </c>
      <c r="Y2083">
        <v>3.927962778880115E-3</v>
      </c>
    </row>
    <row r="2084" spans="1:25" x14ac:dyDescent="0.25">
      <c r="A2084" s="827"/>
      <c r="B2084" s="1066">
        <v>1834</v>
      </c>
      <c r="C2084" s="831">
        <v>1.0115144453791705</v>
      </c>
      <c r="D2084" s="831">
        <v>0.97352936298708015</v>
      </c>
      <c r="E2084" s="831">
        <v>1.033236666910484</v>
      </c>
      <c r="F2084" s="831">
        <v>0.99039483751958701</v>
      </c>
      <c r="G2084" s="831">
        <v>0.99026824180887674</v>
      </c>
      <c r="H2084" s="831">
        <v>0.97153362928107467</v>
      </c>
      <c r="I2084" s="831">
        <v>1.0075666082420109</v>
      </c>
      <c r="K2084">
        <v>1.734111978100592</v>
      </c>
      <c r="L2084">
        <v>0</v>
      </c>
      <c r="M2084">
        <v>1.2557710402053377E-3</v>
      </c>
      <c r="N2084">
        <v>0.14023770049004766</v>
      </c>
      <c r="O2084">
        <v>1.7849062564553958E-2</v>
      </c>
      <c r="P2084">
        <v>2.0274429899595641E-2</v>
      </c>
      <c r="Q2084">
        <v>2.2315533908254721E-3</v>
      </c>
      <c r="R2084">
        <v>1.2478285368900798E-3</v>
      </c>
      <c r="S2084">
        <v>0.15178703152303769</v>
      </c>
      <c r="T2084">
        <v>1.0684335996335077</v>
      </c>
      <c r="U2084">
        <v>2.3057038883474015E-2</v>
      </c>
      <c r="V2084">
        <v>0.20742813898108639</v>
      </c>
      <c r="W2084">
        <v>8.1962930473228765E-2</v>
      </c>
      <c r="X2084">
        <v>1.7462256833700687E-2</v>
      </c>
      <c r="Y2084">
        <v>3.3961779308481635E-3</v>
      </c>
    </row>
    <row r="2085" spans="1:25" x14ac:dyDescent="0.25">
      <c r="A2085" s="827"/>
      <c r="B2085" s="1066">
        <v>1835</v>
      </c>
      <c r="C2085" s="831">
        <v>0.97096363934988994</v>
      </c>
      <c r="D2085" s="831">
        <v>0.97498651341116915</v>
      </c>
      <c r="E2085" s="831">
        <v>1.0242636131624641</v>
      </c>
      <c r="F2085" s="831">
        <v>1.0110293958315588</v>
      </c>
      <c r="G2085" s="831">
        <v>0.98650834442464763</v>
      </c>
      <c r="H2085" s="831">
        <v>0.98349309208827462</v>
      </c>
      <c r="I2085" s="831">
        <v>0.98175069764014156</v>
      </c>
      <c r="K2085">
        <v>1.7550081042686532</v>
      </c>
      <c r="L2085">
        <v>0</v>
      </c>
      <c r="M2085">
        <v>1.3487789877825586E-3</v>
      </c>
      <c r="N2085">
        <v>0.14649753347251421</v>
      </c>
      <c r="O2085">
        <v>1.8581869282889778E-2</v>
      </c>
      <c r="P2085">
        <v>2.0270552066526139E-2</v>
      </c>
      <c r="Q2085">
        <v>2.3029245888241366E-3</v>
      </c>
      <c r="R2085">
        <v>1.3403509220727052E-3</v>
      </c>
      <c r="S2085">
        <v>0.154856941656591</v>
      </c>
      <c r="T2085">
        <v>1.0692200897758084</v>
      </c>
      <c r="U2085">
        <v>2.4019980721336567E-2</v>
      </c>
      <c r="V2085">
        <v>0.21182462918002881</v>
      </c>
      <c r="W2085">
        <v>8.6138376316824194E-2</v>
      </c>
      <c r="X2085">
        <v>1.7655641909701019E-2</v>
      </c>
      <c r="Y2085">
        <v>3.6479933633191916E-3</v>
      </c>
    </row>
    <row r="2086" spans="1:25" x14ac:dyDescent="0.25">
      <c r="A2086" s="827"/>
      <c r="B2086" s="1066">
        <v>1836</v>
      </c>
      <c r="C2086" s="831">
        <v>0.96426669618122818</v>
      </c>
      <c r="D2086" s="831">
        <v>0.99428346527344813</v>
      </c>
      <c r="E2086" s="831">
        <v>0.97143665488751374</v>
      </c>
      <c r="F2086" s="831">
        <v>1.0203318620728608</v>
      </c>
      <c r="G2086" s="831">
        <v>1.007282792413746</v>
      </c>
      <c r="H2086" s="831">
        <v>0.97507077191396474</v>
      </c>
      <c r="I2086" s="831">
        <v>0.98093673849416407</v>
      </c>
      <c r="K2086">
        <v>1.7437765080383345</v>
      </c>
      <c r="L2086">
        <v>0</v>
      </c>
      <c r="M2086">
        <v>1.4915960446522563E-3</v>
      </c>
      <c r="N2086">
        <v>0.13744366477167749</v>
      </c>
      <c r="O2086">
        <v>1.854524859589763E-2</v>
      </c>
      <c r="P2086">
        <v>1.9522839289856798E-2</v>
      </c>
      <c r="Q2086">
        <v>2.1829133833611535E-3</v>
      </c>
      <c r="R2086">
        <v>1.4821799093475451E-3</v>
      </c>
      <c r="S2086">
        <v>0.15392251717084246</v>
      </c>
      <c r="T2086">
        <v>1.0739120988681174</v>
      </c>
      <c r="U2086">
        <v>2.418680225156284E-2</v>
      </c>
      <c r="V2086">
        <v>0.21071251324046006</v>
      </c>
      <c r="W2086">
        <v>8.3794227170528271E-2</v>
      </c>
      <c r="X2086">
        <v>1.552909431856456E-2</v>
      </c>
      <c r="Y2086">
        <v>4.034005112768216E-3</v>
      </c>
    </row>
    <row r="2087" spans="1:25" x14ac:dyDescent="0.25">
      <c r="A2087" s="827"/>
      <c r="B2087" s="1066">
        <v>1837</v>
      </c>
      <c r="C2087" s="831">
        <v>1.0215134881497019</v>
      </c>
      <c r="D2087" s="831">
        <v>0.96374883892939078</v>
      </c>
      <c r="E2087" s="831">
        <v>1.0142288900781031</v>
      </c>
      <c r="F2087" s="831">
        <v>0.98602068731588188</v>
      </c>
      <c r="G2087" s="831">
        <v>0.99121111792622119</v>
      </c>
      <c r="H2087" s="831">
        <v>0.99349523923309369</v>
      </c>
      <c r="I2087" s="831">
        <v>0.98117082514294252</v>
      </c>
      <c r="K2087">
        <v>1.7319454640587491</v>
      </c>
      <c r="L2087">
        <v>0</v>
      </c>
      <c r="M2087">
        <v>1.3297966001829147E-3</v>
      </c>
      <c r="N2087">
        <v>0.14001218313872354</v>
      </c>
      <c r="O2087">
        <v>1.7755677175007509E-2</v>
      </c>
      <c r="P2087">
        <v>1.9967887562988028E-2</v>
      </c>
      <c r="Q2087">
        <v>2.1765751357791163E-3</v>
      </c>
      <c r="R2087">
        <v>1.3215787000714632E-3</v>
      </c>
      <c r="S2087">
        <v>0.14852000987212191</v>
      </c>
      <c r="T2087">
        <v>1.0701032504292682</v>
      </c>
      <c r="U2087">
        <v>2.2831346006549517E-2</v>
      </c>
      <c r="V2087">
        <v>0.20730289066887339</v>
      </c>
      <c r="W2087">
        <v>8.2884714120164057E-2</v>
      </c>
      <c r="X2087">
        <v>1.6802246286092851E-2</v>
      </c>
      <c r="Y2087">
        <v>3.59690156329313E-3</v>
      </c>
    </row>
    <row r="2088" spans="1:25" x14ac:dyDescent="0.25">
      <c r="A2088" s="827"/>
      <c r="B2088" s="1066">
        <v>1838</v>
      </c>
      <c r="C2088" s="831">
        <v>0.97950492369413</v>
      </c>
      <c r="D2088" s="831">
        <v>1.0086616009604246</v>
      </c>
      <c r="E2088" s="831">
        <v>1.0067001871887791</v>
      </c>
      <c r="F2088" s="831">
        <v>1.0245541382955186</v>
      </c>
      <c r="G2088" s="831">
        <v>0.96688984194235572</v>
      </c>
      <c r="H2088" s="831">
        <v>1.0101240696139757</v>
      </c>
      <c r="I2088" s="831">
        <v>0.98976783118033307</v>
      </c>
      <c r="K2088">
        <v>1.747926703719948</v>
      </c>
      <c r="L2088">
        <v>0</v>
      </c>
      <c r="M2088">
        <v>1.4033405174187414E-3</v>
      </c>
      <c r="N2088">
        <v>0.14434898649571237</v>
      </c>
      <c r="O2088">
        <v>1.8138414623171038E-2</v>
      </c>
      <c r="P2088">
        <v>1.9966262998867019E-2</v>
      </c>
      <c r="Q2088">
        <v>2.2151436661304535E-3</v>
      </c>
      <c r="R2088">
        <v>1.3947789450219467E-3</v>
      </c>
      <c r="S2088">
        <v>0.15451743749567767</v>
      </c>
      <c r="T2088">
        <v>1.0707683575484019</v>
      </c>
      <c r="U2088">
        <v>2.3810526454878845E-2</v>
      </c>
      <c r="V2088">
        <v>0.20762434669753571</v>
      </c>
      <c r="W2088">
        <v>8.589014576682627E-2</v>
      </c>
      <c r="X2088">
        <v>1.6859515045549219E-2</v>
      </c>
      <c r="Y2088">
        <v>3.7961284995940837E-3</v>
      </c>
    </row>
    <row r="2089" spans="1:25" x14ac:dyDescent="0.25">
      <c r="A2089" s="827"/>
      <c r="B2089" s="1066">
        <v>1839</v>
      </c>
      <c r="C2089" s="831">
        <v>1.0168118654576221</v>
      </c>
      <c r="D2089" s="831">
        <v>1.0153959942355824</v>
      </c>
      <c r="E2089" s="831">
        <v>1.0098868134877292</v>
      </c>
      <c r="F2089" s="831">
        <v>0.97190395124418538</v>
      </c>
      <c r="G2089" s="831">
        <v>1.0003404792108204</v>
      </c>
      <c r="H2089" s="831">
        <v>0.95814734376413047</v>
      </c>
      <c r="I2089" s="831">
        <v>0.97236079896029526</v>
      </c>
      <c r="K2089">
        <v>1.7078594568154057</v>
      </c>
      <c r="L2089">
        <v>0</v>
      </c>
      <c r="M2089">
        <v>1.2698800847751382E-3</v>
      </c>
      <c r="N2089">
        <v>0.13187733555112421</v>
      </c>
      <c r="O2089">
        <v>1.7420400404180473E-2</v>
      </c>
      <c r="P2089">
        <v>1.9766192160540905E-2</v>
      </c>
      <c r="Q2089">
        <v>2.1354078781315772E-3</v>
      </c>
      <c r="R2089">
        <v>1.2617080624177574E-3</v>
      </c>
      <c r="S2089">
        <v>0.14228379104676253</v>
      </c>
      <c r="T2089">
        <v>1.0704865802388264</v>
      </c>
      <c r="U2089">
        <v>2.2936915559897339E-2</v>
      </c>
      <c r="V2089">
        <v>0.2030285792393188</v>
      </c>
      <c r="W2089">
        <v>7.8299372534284151E-2</v>
      </c>
      <c r="X2089">
        <v>1.6199100800746487E-2</v>
      </c>
      <c r="Y2089">
        <v>3.4339534239501406E-3</v>
      </c>
    </row>
    <row r="2090" spans="1:25" x14ac:dyDescent="0.25">
      <c r="A2090" s="827"/>
      <c r="B2090" s="1066">
        <v>1840</v>
      </c>
      <c r="C2090" s="831">
        <v>0.98371545544289218</v>
      </c>
      <c r="D2090" s="831">
        <v>0.96623944815514706</v>
      </c>
      <c r="E2090" s="831">
        <v>0.98399038255927385</v>
      </c>
      <c r="F2090" s="831">
        <v>0.99795894222317316</v>
      </c>
      <c r="G2090" s="831">
        <v>0.9707953534937408</v>
      </c>
      <c r="H2090" s="831">
        <v>1.0011069189557615</v>
      </c>
      <c r="I2090" s="831">
        <v>1.0366615397345615</v>
      </c>
      <c r="K2090">
        <v>1.7593838186842174</v>
      </c>
      <c r="L2090">
        <v>0</v>
      </c>
      <c r="M2090">
        <v>1.4812117667870729E-3</v>
      </c>
      <c r="N2090">
        <v>0.14195758438145892</v>
      </c>
      <c r="O2090">
        <v>1.8416282876007939E-2</v>
      </c>
      <c r="P2090">
        <v>1.9822950908846365E-2</v>
      </c>
      <c r="Q2090">
        <v>2.1904072425204453E-3</v>
      </c>
      <c r="R2090">
        <v>1.4721257992380973E-3</v>
      </c>
      <c r="S2090">
        <v>0.16335875956929166</v>
      </c>
      <c r="T2090">
        <v>1.0727875698011295</v>
      </c>
      <c r="U2090">
        <v>2.3708611844268333E-2</v>
      </c>
      <c r="V2090">
        <v>0.21122684999409744</v>
      </c>
      <c r="W2090">
        <v>8.5794367500690388E-2</v>
      </c>
      <c r="X2090">
        <v>1.6122879394069579E-2</v>
      </c>
      <c r="Y2090">
        <v>4.0066411393868051E-3</v>
      </c>
    </row>
    <row r="2091" spans="1:25" x14ac:dyDescent="0.25">
      <c r="A2091" s="827"/>
      <c r="B2091" s="1066">
        <v>1841</v>
      </c>
      <c r="C2091" s="831">
        <v>1.0092652499080255</v>
      </c>
      <c r="D2091" s="831">
        <v>1.0260736380295339</v>
      </c>
      <c r="E2091" s="831">
        <v>0.99416718192866527</v>
      </c>
      <c r="F2091" s="831">
        <v>0.9952895658194979</v>
      </c>
      <c r="G2091" s="831">
        <v>1.0050911896916124</v>
      </c>
      <c r="H2091" s="831">
        <v>1.0133036837830167</v>
      </c>
      <c r="I2091" s="831">
        <v>1.0085611884831975</v>
      </c>
      <c r="K2091">
        <v>1.7291871692173697</v>
      </c>
      <c r="L2091">
        <v>0</v>
      </c>
      <c r="M2091">
        <v>1.3919904338660174E-3</v>
      </c>
      <c r="N2091">
        <v>0.1377077347357327</v>
      </c>
      <c r="O2091">
        <v>1.7467892616862012E-2</v>
      </c>
      <c r="P2091">
        <v>1.9686617671046073E-2</v>
      </c>
      <c r="Q2091">
        <v>2.1094874216597437E-3</v>
      </c>
      <c r="R2091">
        <v>1.383513049841241E-3</v>
      </c>
      <c r="S2091">
        <v>0.15195381057412774</v>
      </c>
      <c r="T2091">
        <v>1.0718803087105171</v>
      </c>
      <c r="U2091">
        <v>2.3108422588044727E-2</v>
      </c>
      <c r="V2091">
        <v>0.20287361177372953</v>
      </c>
      <c r="W2091">
        <v>8.2643967438927657E-2</v>
      </c>
      <c r="X2091">
        <v>1.5998326624030636E-2</v>
      </c>
      <c r="Y2091">
        <v>3.7654664467135501E-3</v>
      </c>
    </row>
    <row r="2092" spans="1:25" x14ac:dyDescent="0.25">
      <c r="A2092" s="827"/>
      <c r="B2092" s="1066">
        <v>1842</v>
      </c>
      <c r="C2092" s="831">
        <v>1.0054367901970693</v>
      </c>
      <c r="D2092" s="831">
        <v>0.97869346324006756</v>
      </c>
      <c r="E2092" s="831">
        <v>1.0032208590714051</v>
      </c>
      <c r="F2092" s="831">
        <v>1.0160316565306597</v>
      </c>
      <c r="G2092" s="831">
        <v>1.025282529545946</v>
      </c>
      <c r="H2092" s="831">
        <v>1.0240412765237115</v>
      </c>
      <c r="I2092" s="831">
        <v>1.0386542750107521</v>
      </c>
      <c r="K2092">
        <v>1.7534259954795095</v>
      </c>
      <c r="L2092">
        <v>0</v>
      </c>
      <c r="M2092">
        <v>1.4153813248665213E-3</v>
      </c>
      <c r="N2092">
        <v>0.14403482588285846</v>
      </c>
      <c r="O2092">
        <v>1.7913852819408251E-2</v>
      </c>
      <c r="P2092">
        <v>1.9998817760677606E-2</v>
      </c>
      <c r="Q2092">
        <v>2.1747003216760533E-3</v>
      </c>
      <c r="R2092">
        <v>1.4068846229795958E-3</v>
      </c>
      <c r="S2092">
        <v>0.16100226210812679</v>
      </c>
      <c r="T2092">
        <v>1.0710764552695986</v>
      </c>
      <c r="U2092">
        <v>2.3196413862806717E-2</v>
      </c>
      <c r="V2092">
        <v>0.20759336321145389</v>
      </c>
      <c r="W2092">
        <v>8.5906784753997947E-2</v>
      </c>
      <c r="X2092">
        <v>1.6707940026432121E-2</v>
      </c>
      <c r="Y2092">
        <v>3.8290761643591381E-3</v>
      </c>
    </row>
    <row r="2093" spans="1:25" x14ac:dyDescent="0.25">
      <c r="A2093" s="827"/>
      <c r="B2093" s="1066">
        <v>1843</v>
      </c>
      <c r="C2093" s="831">
        <v>1.0116484094990335</v>
      </c>
      <c r="D2093" s="831">
        <v>0.9844299985092273</v>
      </c>
      <c r="E2093" s="831">
        <v>1.0124146344770364</v>
      </c>
      <c r="F2093" s="831">
        <v>0.98070244228248504</v>
      </c>
      <c r="G2093" s="831">
        <v>0.98836047036724861</v>
      </c>
      <c r="H2093" s="831">
        <v>0.96472071746264287</v>
      </c>
      <c r="I2093" s="831">
        <v>0.97809818505224333</v>
      </c>
      <c r="K2093">
        <v>1.7218688808285072</v>
      </c>
      <c r="L2093">
        <v>0</v>
      </c>
      <c r="M2093">
        <v>1.2963227674683772E-3</v>
      </c>
      <c r="N2093">
        <v>0.13569361864577204</v>
      </c>
      <c r="O2093">
        <v>1.7756687288642773E-2</v>
      </c>
      <c r="P2093">
        <v>1.9901413729295204E-2</v>
      </c>
      <c r="Q2093">
        <v>2.1766002273520199E-3</v>
      </c>
      <c r="R2093">
        <v>1.2880583022078639E-3</v>
      </c>
      <c r="S2093">
        <v>0.14617159880950142</v>
      </c>
      <c r="T2093">
        <v>1.0702633308802378</v>
      </c>
      <c r="U2093">
        <v>2.3053985633064419E-2</v>
      </c>
      <c r="V2093">
        <v>0.20638100675923157</v>
      </c>
      <c r="W2093">
        <v>8.0427058677819144E-2</v>
      </c>
      <c r="X2093">
        <v>1.6546174552544805E-2</v>
      </c>
      <c r="Y2093">
        <v>3.5056700903045987E-3</v>
      </c>
    </row>
    <row r="2094" spans="1:25" x14ac:dyDescent="0.25">
      <c r="A2094" s="827"/>
      <c r="B2094" s="1066">
        <v>1844</v>
      </c>
      <c r="C2094" s="831">
        <v>0.99919371539621682</v>
      </c>
      <c r="D2094" s="831">
        <v>1.0017935900981574</v>
      </c>
      <c r="E2094" s="831">
        <v>0.97849618251186565</v>
      </c>
      <c r="F2094" s="831">
        <v>0.97230038559524368</v>
      </c>
      <c r="G2094" s="831">
        <v>0.96850532262795874</v>
      </c>
      <c r="H2094" s="831">
        <v>1.0079824723302264</v>
      </c>
      <c r="I2094" s="831">
        <v>1.0104902278760344</v>
      </c>
      <c r="K2094">
        <v>1.7378845906862161</v>
      </c>
      <c r="L2094">
        <v>0</v>
      </c>
      <c r="M2094">
        <v>1.4611855226525292E-3</v>
      </c>
      <c r="N2094">
        <v>0.13766496263444303</v>
      </c>
      <c r="O2094">
        <v>1.7836083045960273E-2</v>
      </c>
      <c r="P2094">
        <v>1.9560070088046905E-2</v>
      </c>
      <c r="Q2094">
        <v>2.1159063235937463E-3</v>
      </c>
      <c r="R2094">
        <v>1.4522570637451695E-3</v>
      </c>
      <c r="S2094">
        <v>0.15492788573864763</v>
      </c>
      <c r="T2094">
        <v>1.0732789971206207</v>
      </c>
      <c r="U2094">
        <v>2.3341347667559052E-2</v>
      </c>
      <c r="V2094">
        <v>0.20610143525799859</v>
      </c>
      <c r="W2094">
        <v>8.3517569397433364E-2</v>
      </c>
      <c r="X2094">
        <v>1.5596696879718007E-2</v>
      </c>
      <c r="Y2094">
        <v>3.9525649911019518E-3</v>
      </c>
    </row>
    <row r="2095" spans="1:25" x14ac:dyDescent="0.25">
      <c r="A2095" s="827"/>
      <c r="B2095" s="1066">
        <v>1845</v>
      </c>
      <c r="C2095" s="831">
        <v>0.96521446437051506</v>
      </c>
      <c r="D2095" s="831">
        <v>1.0048443241075176</v>
      </c>
      <c r="E2095" s="831">
        <v>0.96925097962307161</v>
      </c>
      <c r="F2095" s="831">
        <v>0.97283160917449873</v>
      </c>
      <c r="G2095" s="831">
        <v>1.0101562351715041</v>
      </c>
      <c r="H2095" s="831">
        <v>0.97721458398623073</v>
      </c>
      <c r="I2095" s="831">
        <v>1.0385019410166147</v>
      </c>
      <c r="K2095">
        <v>1.7498723713727113</v>
      </c>
      <c r="L2095">
        <v>0</v>
      </c>
      <c r="M2095">
        <v>1.4931098901070153E-3</v>
      </c>
      <c r="N2095">
        <v>0.13664989610587919</v>
      </c>
      <c r="O2095">
        <v>1.8438578452914803E-2</v>
      </c>
      <c r="P2095">
        <v>1.9588644576026822E-2</v>
      </c>
      <c r="Q2095">
        <v>2.1673922160358834E-3</v>
      </c>
      <c r="R2095">
        <v>1.4836967754724461E-3</v>
      </c>
      <c r="S2095">
        <v>0.16224870336017025</v>
      </c>
      <c r="T2095">
        <v>1.0741084902035456</v>
      </c>
      <c r="U2095">
        <v>2.4163052626354316E-2</v>
      </c>
      <c r="V2095">
        <v>0.20960006611445439</v>
      </c>
      <c r="W2095">
        <v>8.3437604112447494E-2</v>
      </c>
      <c r="X2095">
        <v>1.5441223197192927E-2</v>
      </c>
      <c r="Y2095">
        <v>4.0381335223254123E-3</v>
      </c>
    </row>
    <row r="2096" spans="1:25" x14ac:dyDescent="0.25">
      <c r="A2096" s="827"/>
      <c r="B2096" s="1066">
        <v>1846</v>
      </c>
      <c r="C2096" s="831">
        <v>0.99051728635245195</v>
      </c>
      <c r="D2096" s="831">
        <v>1.0077056744937718</v>
      </c>
      <c r="E2096" s="831">
        <v>0.98465792959664855</v>
      </c>
      <c r="F2096" s="831">
        <v>1.0005184658628281</v>
      </c>
      <c r="G2096" s="831">
        <v>1.0180061295560925</v>
      </c>
      <c r="H2096" s="831">
        <v>0.97992554536696841</v>
      </c>
      <c r="I2096" s="831">
        <v>0.9917570162019943</v>
      </c>
      <c r="K2096">
        <v>1.7302975297923888</v>
      </c>
      <c r="L2096">
        <v>0</v>
      </c>
      <c r="M2096">
        <v>1.4107766262101092E-3</v>
      </c>
      <c r="N2096">
        <v>0.1354675567488007</v>
      </c>
      <c r="O2096">
        <v>1.7944453403737331E-2</v>
      </c>
      <c r="P2096">
        <v>1.9599535686901214E-2</v>
      </c>
      <c r="Q2096">
        <v>2.1431553153334203E-3</v>
      </c>
      <c r="R2096">
        <v>1.4019051281214622E-3</v>
      </c>
      <c r="S2096">
        <v>0.15100383681373178</v>
      </c>
      <c r="T2096">
        <v>1.0727279385471367</v>
      </c>
      <c r="U2096">
        <v>2.3545806034529285E-2</v>
      </c>
      <c r="V2096">
        <v>0.20650214402005729</v>
      </c>
      <c r="W2096">
        <v>8.1834214232194627E-2</v>
      </c>
      <c r="X2096">
        <v>1.5722236867210821E-2</v>
      </c>
      <c r="Y2096">
        <v>3.8155236208453369E-3</v>
      </c>
    </row>
    <row r="2097" spans="1:25" x14ac:dyDescent="0.25">
      <c r="A2097" s="827"/>
      <c r="B2097" s="1066">
        <v>1847</v>
      </c>
      <c r="C2097" s="831">
        <v>0.98663837678038979</v>
      </c>
      <c r="D2097" s="831">
        <v>0.98166118136772273</v>
      </c>
      <c r="E2097" s="831">
        <v>1.0167680801001671</v>
      </c>
      <c r="F2097" s="831">
        <v>0.97506633748241645</v>
      </c>
      <c r="G2097" s="831">
        <v>1.0302809232493939</v>
      </c>
      <c r="H2097" s="831">
        <v>1.0041479755753882</v>
      </c>
      <c r="I2097" s="831">
        <v>0.98769778722064461</v>
      </c>
      <c r="K2097">
        <v>1.7506151000776513</v>
      </c>
      <c r="L2097">
        <v>0</v>
      </c>
      <c r="M2097">
        <v>1.3726028361076056E-3</v>
      </c>
      <c r="N2097">
        <v>0.14567228801579502</v>
      </c>
      <c r="O2097">
        <v>1.8230087043704223E-2</v>
      </c>
      <c r="P2097">
        <v>2.0122975123277178E-2</v>
      </c>
      <c r="Q2097">
        <v>2.2438276512176869E-3</v>
      </c>
      <c r="R2097">
        <v>1.3641976017497867E-3</v>
      </c>
      <c r="S2097">
        <v>0.15438225474029513</v>
      </c>
      <c r="T2097">
        <v>1.0698794147303645</v>
      </c>
      <c r="U2097">
        <v>2.363837495801608E-2</v>
      </c>
      <c r="V2097">
        <v>0.20937743180370344</v>
      </c>
      <c r="W2097">
        <v>8.6087304781396048E-2</v>
      </c>
      <c r="X2097">
        <v>1.7276650299894149E-2</v>
      </c>
      <c r="Y2097">
        <v>3.7128961643443648E-3</v>
      </c>
    </row>
    <row r="2098" spans="1:25" x14ac:dyDescent="0.25">
      <c r="A2098" s="827"/>
      <c r="B2098" s="1066">
        <v>1848</v>
      </c>
      <c r="C2098" s="831">
        <v>1.0224002569417905</v>
      </c>
      <c r="D2098" s="831">
        <v>0.99528145975674276</v>
      </c>
      <c r="E2098" s="831">
        <v>0.98764818540576538</v>
      </c>
      <c r="F2098" s="831">
        <v>1.0150024737775751</v>
      </c>
      <c r="G2098" s="831">
        <v>0.96534581670529906</v>
      </c>
      <c r="H2098" s="831">
        <v>0.96276016493843641</v>
      </c>
      <c r="I2098" s="831">
        <v>1.0023170637661767</v>
      </c>
      <c r="K2098">
        <v>1.7136010606916872</v>
      </c>
      <c r="L2098">
        <v>0</v>
      </c>
      <c r="M2098">
        <v>1.3419390102268167E-3</v>
      </c>
      <c r="N2098">
        <v>0.13004930603519346</v>
      </c>
      <c r="O2098">
        <v>1.74828165174933E-2</v>
      </c>
      <c r="P2098">
        <v>1.9551192120226438E-2</v>
      </c>
      <c r="Q2098">
        <v>2.0922276896171333E-3</v>
      </c>
      <c r="R2098">
        <v>1.3333586036845073E-3</v>
      </c>
      <c r="S2098">
        <v>0.14740463484997027</v>
      </c>
      <c r="T2098">
        <v>1.0724610279899953</v>
      </c>
      <c r="U2098">
        <v>2.2811543463482364E-2</v>
      </c>
      <c r="V2098">
        <v>0.20424819512778367</v>
      </c>
      <c r="W2098">
        <v>7.8398980842898452E-2</v>
      </c>
      <c r="X2098">
        <v>1.5480753883883742E-2</v>
      </c>
      <c r="Y2098">
        <v>3.6289625776836539E-3</v>
      </c>
    </row>
    <row r="2099" spans="1:25" x14ac:dyDescent="0.25">
      <c r="A2099" s="827"/>
      <c r="B2099" s="1066">
        <v>1849</v>
      </c>
      <c r="C2099" s="831">
        <v>0.98305820705182101</v>
      </c>
      <c r="D2099" s="831">
        <v>0.9962436862895323</v>
      </c>
      <c r="E2099" s="831">
        <v>0.96680447644986334</v>
      </c>
      <c r="F2099" s="831">
        <v>1.0058024064330939</v>
      </c>
      <c r="G2099" s="831">
        <v>1.0007105197954251</v>
      </c>
      <c r="H2099" s="831">
        <v>0.99124917196052142</v>
      </c>
      <c r="I2099" s="831">
        <v>0.99908488064771406</v>
      </c>
      <c r="K2099">
        <v>1.7399722451090598</v>
      </c>
      <c r="L2099">
        <v>0</v>
      </c>
      <c r="M2099">
        <v>1.5005294825089625E-3</v>
      </c>
      <c r="N2099">
        <v>0.13629802577434694</v>
      </c>
      <c r="O2099">
        <v>1.817451902203596E-2</v>
      </c>
      <c r="P2099">
        <v>1.9434070102512194E-2</v>
      </c>
      <c r="Q2099">
        <v>2.1295111191223853E-3</v>
      </c>
      <c r="R2099">
        <v>1.4912100565573543E-3</v>
      </c>
      <c r="S2099">
        <v>0.15483021161032937</v>
      </c>
      <c r="T2099">
        <v>1.0743285302365992</v>
      </c>
      <c r="U2099">
        <v>2.3724462835468457E-2</v>
      </c>
      <c r="V2099">
        <v>0.20838721290881299</v>
      </c>
      <c r="W2099">
        <v>8.3365350125698595E-2</v>
      </c>
      <c r="X2099">
        <v>1.5251088603398189E-2</v>
      </c>
      <c r="Y2099">
        <v>4.0585821966860882E-3</v>
      </c>
    </row>
    <row r="2100" spans="1:25" x14ac:dyDescent="0.25">
      <c r="A2100" s="827"/>
      <c r="B2100" s="1066">
        <v>1850</v>
      </c>
      <c r="C2100" s="831">
        <v>0.96709616354808559</v>
      </c>
      <c r="D2100" s="831">
        <v>0.9867112728094376</v>
      </c>
      <c r="E2100" s="831">
        <v>0.97861572530305152</v>
      </c>
      <c r="F2100" s="831">
        <v>0.962240674865531</v>
      </c>
      <c r="G2100" s="831">
        <v>0.99848223903824729</v>
      </c>
      <c r="H2100" s="831">
        <v>1.002100452432825</v>
      </c>
      <c r="I2100" s="831">
        <v>0.98416527008237709</v>
      </c>
      <c r="K2100">
        <v>1.7541792525567765</v>
      </c>
      <c r="L2100">
        <v>0</v>
      </c>
      <c r="M2100">
        <v>1.5108370165902579E-3</v>
      </c>
      <c r="N2100">
        <v>0.1423918419867021</v>
      </c>
      <c r="O2100">
        <v>1.8555205298478407E-2</v>
      </c>
      <c r="P2100">
        <v>1.966000986330526E-2</v>
      </c>
      <c r="Q2100">
        <v>2.1987396704482359E-3</v>
      </c>
      <c r="R2100">
        <v>1.5015624824546909E-3</v>
      </c>
      <c r="S2100">
        <v>0.1564534231830203</v>
      </c>
      <c r="T2100">
        <v>1.073268292574528</v>
      </c>
      <c r="U2100">
        <v>2.4116038070854717E-2</v>
      </c>
      <c r="V2100">
        <v>0.21112088904234011</v>
      </c>
      <c r="W2100">
        <v>8.6378065287217518E-2</v>
      </c>
      <c r="X2100">
        <v>1.5959264026715193E-2</v>
      </c>
      <c r="Y2100">
        <v>4.08675808730236E-3</v>
      </c>
    </row>
    <row r="2101" spans="1:25" x14ac:dyDescent="0.25">
      <c r="A2101" s="827"/>
      <c r="B2101" s="1066">
        <v>1851</v>
      </c>
      <c r="C2101" s="831">
        <v>1.0407466998354744</v>
      </c>
      <c r="D2101" s="831">
        <v>1.0221588661972589</v>
      </c>
      <c r="E2101" s="831">
        <v>1.0318661396922613</v>
      </c>
      <c r="F2101" s="831">
        <v>0.98628547264881661</v>
      </c>
      <c r="G2101" s="831">
        <v>1.0350198662164183</v>
      </c>
      <c r="H2101" s="831">
        <v>0.99901176615089449</v>
      </c>
      <c r="I2101" s="831">
        <v>0.9952954831724089</v>
      </c>
      <c r="K2101">
        <v>1.7121835414080622</v>
      </c>
      <c r="L2101">
        <v>0</v>
      </c>
      <c r="M2101">
        <v>1.2312006697889331E-3</v>
      </c>
      <c r="N2101">
        <v>0.13693080503507823</v>
      </c>
      <c r="O2101">
        <v>1.6968782000676186E-2</v>
      </c>
      <c r="P2101">
        <v>2.0044422063295011E-2</v>
      </c>
      <c r="Q2101">
        <v>2.127122424984384E-3</v>
      </c>
      <c r="R2101">
        <v>1.2235975833743442E-3</v>
      </c>
      <c r="S2101">
        <v>0.1446781152136388</v>
      </c>
      <c r="T2101">
        <v>1.0685535289968648</v>
      </c>
      <c r="U2101">
        <v>2.2409418066845727E-2</v>
      </c>
      <c r="V2101">
        <v>0.20004311892994819</v>
      </c>
      <c r="W2101">
        <v>8.010359632459596E-2</v>
      </c>
      <c r="X2101">
        <v>1.7002006175440027E-2</v>
      </c>
      <c r="Y2101">
        <v>3.3302292631100109E-3</v>
      </c>
    </row>
    <row r="2102" spans="1:25" x14ac:dyDescent="0.25">
      <c r="A2102" s="827"/>
      <c r="B2102" s="1066">
        <v>1852</v>
      </c>
      <c r="C2102" s="831">
        <v>0.99854692819978697</v>
      </c>
      <c r="D2102" s="831">
        <v>0.99912833208795437</v>
      </c>
      <c r="E2102" s="831">
        <v>1.0305591290116931</v>
      </c>
      <c r="F2102" s="831">
        <v>0.99495144597050256</v>
      </c>
      <c r="G2102" s="831">
        <v>0.99891908249441153</v>
      </c>
      <c r="H2102" s="831">
        <v>0.98415335758271005</v>
      </c>
      <c r="I2102" s="831">
        <v>0.99111912696412618</v>
      </c>
      <c r="K2102">
        <v>1.7350969065432331</v>
      </c>
      <c r="L2102">
        <v>0</v>
      </c>
      <c r="M2102">
        <v>1.280770031546185E-3</v>
      </c>
      <c r="N2102">
        <v>0.14185541075127719</v>
      </c>
      <c r="O2102">
        <v>1.7869184779990367E-2</v>
      </c>
      <c r="P2102">
        <v>2.0210827543030638E-2</v>
      </c>
      <c r="Q2102">
        <v>2.2329497525939625E-3</v>
      </c>
      <c r="R2102">
        <v>1.2727562357895982E-3</v>
      </c>
      <c r="S2102">
        <v>0.15052609860612765</v>
      </c>
      <c r="T2102">
        <v>1.0686679666858943</v>
      </c>
      <c r="U2102">
        <v>2.3356466521157724E-2</v>
      </c>
      <c r="V2102">
        <v>0.20641753727415052</v>
      </c>
      <c r="W2102">
        <v>8.3057110011181115E-2</v>
      </c>
      <c r="X2102">
        <v>1.7447345503745718E-2</v>
      </c>
      <c r="Y2102">
        <v>3.4640229098389175E-3</v>
      </c>
    </row>
    <row r="2103" spans="1:25" x14ac:dyDescent="0.25">
      <c r="A2103" s="827"/>
      <c r="B2103" s="1066">
        <v>1853</v>
      </c>
      <c r="C2103" s="831">
        <v>1.0239764337824759</v>
      </c>
      <c r="D2103" s="831">
        <v>1.0383399196273375</v>
      </c>
      <c r="E2103" s="831">
        <v>0.99892040406475768</v>
      </c>
      <c r="F2103" s="831">
        <v>0.97090363846621752</v>
      </c>
      <c r="G2103" s="831">
        <v>1.0138604023374465</v>
      </c>
      <c r="H2103" s="831">
        <v>0.96730631794642186</v>
      </c>
      <c r="I2103" s="831">
        <v>0.97368990076012651</v>
      </c>
      <c r="K2103">
        <v>1.7001860623296807</v>
      </c>
      <c r="L2103">
        <v>0</v>
      </c>
      <c r="M2103">
        <v>1.2897470723311642E-3</v>
      </c>
      <c r="N2103">
        <v>0.12945574387545308</v>
      </c>
      <c r="O2103">
        <v>1.7124850252046381E-2</v>
      </c>
      <c r="P2103">
        <v>1.9559767764166409E-2</v>
      </c>
      <c r="Q2103">
        <v>2.0799752197067038E-3</v>
      </c>
      <c r="R2103">
        <v>1.2815110185798782E-3</v>
      </c>
      <c r="S2103">
        <v>0.14079604069707735</v>
      </c>
      <c r="T2103">
        <v>1.0714578962962082</v>
      </c>
      <c r="U2103">
        <v>2.2776430324818932E-2</v>
      </c>
      <c r="V2103">
        <v>0.20033737044893746</v>
      </c>
      <c r="W2103">
        <v>7.7438735989328655E-2</v>
      </c>
      <c r="X2103">
        <v>1.5679636973110554E-2</v>
      </c>
      <c r="Y2103">
        <v>3.4878505425806903E-3</v>
      </c>
    </row>
    <row r="2104" spans="1:25" x14ac:dyDescent="0.25">
      <c r="A2104" s="827"/>
      <c r="B2104" s="1066">
        <v>1854</v>
      </c>
      <c r="C2104" s="831">
        <v>0.9970578306084954</v>
      </c>
      <c r="D2104" s="831">
        <v>1.0182868169531702</v>
      </c>
      <c r="E2104" s="831">
        <v>0.98248905553822641</v>
      </c>
      <c r="F2104" s="831">
        <v>0.98922557537129818</v>
      </c>
      <c r="G2104" s="831">
        <v>1.0442794696109052</v>
      </c>
      <c r="H2104" s="831">
        <v>0.97458092145131403</v>
      </c>
      <c r="I2104" s="831">
        <v>0.99644855506553021</v>
      </c>
      <c r="K2104">
        <v>1.7228243751863117</v>
      </c>
      <c r="L2104">
        <v>0</v>
      </c>
      <c r="M2104">
        <v>1.3936505501696663E-3</v>
      </c>
      <c r="N2104">
        <v>0.13291668629338291</v>
      </c>
      <c r="O2104">
        <v>1.7742720946107394E-2</v>
      </c>
      <c r="P2104">
        <v>1.9527845519999271E-2</v>
      </c>
      <c r="Q2104">
        <v>2.1162037419226926E-3</v>
      </c>
      <c r="R2104">
        <v>1.3848312359804917E-3</v>
      </c>
      <c r="S2104">
        <v>0.14969194895566318</v>
      </c>
      <c r="T2104">
        <v>1.0729217429471682</v>
      </c>
      <c r="U2104">
        <v>2.3391349209974752E-2</v>
      </c>
      <c r="V2104">
        <v>0.20484098276043744</v>
      </c>
      <c r="W2104">
        <v>8.0413892178277671E-2</v>
      </c>
      <c r="X2104">
        <v>1.550076783272265E-2</v>
      </c>
      <c r="Y2104">
        <v>3.7690541148446459E-3</v>
      </c>
    </row>
    <row r="2105" spans="1:25" x14ac:dyDescent="0.25">
      <c r="A2105" s="827"/>
      <c r="B2105" s="1066">
        <v>1855</v>
      </c>
      <c r="C2105" s="831">
        <v>0.96174996742896934</v>
      </c>
      <c r="D2105" s="831">
        <v>0.97985631658307493</v>
      </c>
      <c r="E2105" s="831">
        <v>0.96572222512851091</v>
      </c>
      <c r="F2105" s="831">
        <v>0.99201305499048886</v>
      </c>
      <c r="G2105" s="831">
        <v>0.97658150782460595</v>
      </c>
      <c r="H2105" s="831">
        <v>0.98202491319515783</v>
      </c>
      <c r="I2105" s="831">
        <v>0.97572773574407889</v>
      </c>
      <c r="K2105">
        <v>1.749941199754532</v>
      </c>
      <c r="L2105">
        <v>0</v>
      </c>
      <c r="M2105">
        <v>1.5344388130747559E-3</v>
      </c>
      <c r="N2105">
        <v>0.13890148897660015</v>
      </c>
      <c r="O2105">
        <v>1.8717481695511438E-2</v>
      </c>
      <c r="P2105">
        <v>1.9481459346020975E-2</v>
      </c>
      <c r="Q2105">
        <v>2.1877049577286914E-3</v>
      </c>
      <c r="R2105">
        <v>1.5248323407578382E-3</v>
      </c>
      <c r="S2105">
        <v>0.15495172902469906</v>
      </c>
      <c r="T2105">
        <v>1.0744259401085503</v>
      </c>
      <c r="U2105">
        <v>2.4250094814820655E-2</v>
      </c>
      <c r="V2105">
        <v>0.21242283186303385</v>
      </c>
      <c r="W2105">
        <v>8.5022176916986922E-2</v>
      </c>
      <c r="X2105">
        <v>1.543980755219989E-2</v>
      </c>
      <c r="Y2105">
        <v>4.1500909706967976E-3</v>
      </c>
    </row>
    <row r="2106" spans="1:25" x14ac:dyDescent="0.25">
      <c r="A2106" s="827"/>
      <c r="B2106" s="1066">
        <v>1856</v>
      </c>
      <c r="C2106" s="831">
        <v>1.0001187599839227</v>
      </c>
      <c r="D2106" s="831">
        <v>0.96311449312678288</v>
      </c>
      <c r="E2106" s="831">
        <v>0.99231081388514997</v>
      </c>
      <c r="F2106" s="831">
        <v>0.99343447748271629</v>
      </c>
      <c r="G2106" s="831">
        <v>0.98940956105409883</v>
      </c>
      <c r="H2106" s="831">
        <v>0.99417085041878472</v>
      </c>
      <c r="I2106" s="831">
        <v>0.97228659167253439</v>
      </c>
      <c r="K2106">
        <v>1.73973826071893</v>
      </c>
      <c r="L2106">
        <v>0</v>
      </c>
      <c r="M2106">
        <v>1.4238332519789017E-3</v>
      </c>
      <c r="N2106">
        <v>0.14003433511260069</v>
      </c>
      <c r="O2106">
        <v>1.814094346926675E-2</v>
      </c>
      <c r="P2106">
        <v>1.9735862846698905E-2</v>
      </c>
      <c r="Q2106">
        <v>2.1753111769199978E-3</v>
      </c>
      <c r="R2106">
        <v>1.4150406831808435E-3</v>
      </c>
      <c r="S2106">
        <v>0.15041282838228728</v>
      </c>
      <c r="T2106">
        <v>1.0720455129429667</v>
      </c>
      <c r="U2106">
        <v>2.3319758444165287E-2</v>
      </c>
      <c r="V2106">
        <v>0.20968804061108509</v>
      </c>
      <c r="W2106">
        <v>8.4147576470176719E-2</v>
      </c>
      <c r="X2106">
        <v>1.6195609559975791E-2</v>
      </c>
      <c r="Y2106">
        <v>3.8512742715824111E-3</v>
      </c>
    </row>
    <row r="2107" spans="1:25" x14ac:dyDescent="0.25">
      <c r="A2107" s="827"/>
      <c r="B2107" s="1066">
        <v>1857</v>
      </c>
      <c r="C2107" s="831">
        <v>1.0045617740768411</v>
      </c>
      <c r="D2107" s="831">
        <v>1.0005738931352839</v>
      </c>
      <c r="E2107" s="831">
        <v>0.99614924656960746</v>
      </c>
      <c r="F2107" s="831">
        <v>1.0112070643929301</v>
      </c>
      <c r="G2107" s="831">
        <v>0.97741898644536851</v>
      </c>
      <c r="H2107" s="831">
        <v>1.0042760815228104</v>
      </c>
      <c r="I2107" s="831">
        <v>1.0130650387643605</v>
      </c>
      <c r="K2107">
        <v>1.7367474353719301</v>
      </c>
      <c r="L2107">
        <v>0</v>
      </c>
      <c r="M2107">
        <v>1.3960612754909743E-3</v>
      </c>
      <c r="N2107">
        <v>0.13895913691728148</v>
      </c>
      <c r="O2107">
        <v>1.7750563857204284E-2</v>
      </c>
      <c r="P2107">
        <v>1.9784591103110573E-2</v>
      </c>
      <c r="Q2107">
        <v>2.1435148505392068E-3</v>
      </c>
      <c r="R2107">
        <v>1.3875001195215331E-3</v>
      </c>
      <c r="S2107">
        <v>0.15430258006926989</v>
      </c>
      <c r="T2107">
        <v>1.0717040617315998</v>
      </c>
      <c r="U2107">
        <v>2.3216618927925831E-2</v>
      </c>
      <c r="V2107">
        <v>0.20564124946055282</v>
      </c>
      <c r="W2107">
        <v>8.3281577172604634E-2</v>
      </c>
      <c r="X2107">
        <v>1.6195784501766206E-2</v>
      </c>
      <c r="Y2107">
        <v>3.7763179360461403E-3</v>
      </c>
    </row>
    <row r="2108" spans="1:25" x14ac:dyDescent="0.25">
      <c r="A2108" s="827"/>
      <c r="B2108" s="1066">
        <v>1858</v>
      </c>
      <c r="C2108" s="831">
        <v>1.0118365011217578</v>
      </c>
      <c r="D2108" s="831">
        <v>1.0205455375345807</v>
      </c>
      <c r="E2108" s="831">
        <v>1.003156006191785</v>
      </c>
      <c r="F2108" s="831">
        <v>1.0153361271844372</v>
      </c>
      <c r="G2108" s="831">
        <v>0.98865945810648248</v>
      </c>
      <c r="H2108" s="831">
        <v>0.99231192953462311</v>
      </c>
      <c r="I2108" s="831">
        <v>1.0081782763581661</v>
      </c>
      <c r="K2108">
        <v>1.7239808760788573</v>
      </c>
      <c r="L2108">
        <v>0</v>
      </c>
      <c r="M2108">
        <v>1.3374546812720506E-3</v>
      </c>
      <c r="N2108">
        <v>0.1360480722526565</v>
      </c>
      <c r="O2108">
        <v>1.7466075756989996E-2</v>
      </c>
      <c r="P2108">
        <v>1.9788746034342334E-2</v>
      </c>
      <c r="Q2108">
        <v>2.1274958434140986E-3</v>
      </c>
      <c r="R2108">
        <v>1.3291407335939615E-3</v>
      </c>
      <c r="S2108">
        <v>0.15036183152318844</v>
      </c>
      <c r="T2108">
        <v>1.0710822023935087</v>
      </c>
      <c r="U2108">
        <v>2.3049700097245929E-2</v>
      </c>
      <c r="V2108">
        <v>0.2030891884602074</v>
      </c>
      <c r="W2108">
        <v>8.1146832905322847E-2</v>
      </c>
      <c r="X2108">
        <v>1.6211561833940905E-2</v>
      </c>
      <c r="Y2108">
        <v>3.6174829257176896E-3</v>
      </c>
    </row>
    <row r="2109" spans="1:25" x14ac:dyDescent="0.25">
      <c r="A2109" s="827"/>
      <c r="B2109" s="1066">
        <v>1859</v>
      </c>
      <c r="C2109" s="831">
        <v>1.0236052452510673</v>
      </c>
      <c r="D2109" s="831">
        <v>1.0159016927972502</v>
      </c>
      <c r="E2109" s="831">
        <v>0.98426496092161953</v>
      </c>
      <c r="F2109" s="831">
        <v>0.97642139122493443</v>
      </c>
      <c r="G2109" s="831">
        <v>0.96865057967261359</v>
      </c>
      <c r="H2109" s="831">
        <v>1.0126074655378694</v>
      </c>
      <c r="I2109" s="831">
        <v>0.99394807965983234</v>
      </c>
      <c r="K2109">
        <v>1.7206986925594203</v>
      </c>
      <c r="L2109">
        <v>0</v>
      </c>
      <c r="M2109">
        <v>1.4067108395386149E-3</v>
      </c>
      <c r="N2109">
        <v>0.13493892845788913</v>
      </c>
      <c r="O2109">
        <v>1.7300890846434335E-2</v>
      </c>
      <c r="P2109">
        <v>1.9489480808328304E-2</v>
      </c>
      <c r="Q2109">
        <v>2.0668332025949453E-3</v>
      </c>
      <c r="R2109">
        <v>1.3981447952756715E-3</v>
      </c>
      <c r="S2109">
        <v>0.1482168710453988</v>
      </c>
      <c r="T2109">
        <v>1.0727630399841137</v>
      </c>
      <c r="U2109">
        <v>2.2784689709735444E-2</v>
      </c>
      <c r="V2109">
        <v>0.20228763753457224</v>
      </c>
      <c r="W2109">
        <v>8.1537037440518115E-2</v>
      </c>
      <c r="X2109">
        <v>1.5516560339663367E-2</v>
      </c>
      <c r="Y2109">
        <v>3.8052892344324842E-3</v>
      </c>
    </row>
    <row r="2110" spans="1:25" x14ac:dyDescent="0.25">
      <c r="A2110" s="827"/>
      <c r="B2110" s="1066">
        <v>1860</v>
      </c>
      <c r="C2110" s="831">
        <v>1.0269775966883092</v>
      </c>
      <c r="D2110" s="831">
        <v>1.001497376886425</v>
      </c>
      <c r="E2110" s="831">
        <v>0.97427370482141284</v>
      </c>
      <c r="F2110" s="831">
        <v>0.98913894575102879</v>
      </c>
      <c r="G2110" s="831">
        <v>0.99094538360943107</v>
      </c>
      <c r="H2110" s="831">
        <v>0.99765527085172534</v>
      </c>
      <c r="I2110" s="831">
        <v>1.0044128061481874</v>
      </c>
      <c r="K2110">
        <v>1.7187650615586108</v>
      </c>
      <c r="L2110">
        <v>0</v>
      </c>
      <c r="M2110">
        <v>1.419800188668423E-3</v>
      </c>
      <c r="N2110">
        <v>0.13200870369455056</v>
      </c>
      <c r="O2110">
        <v>1.7355869422420581E-2</v>
      </c>
      <c r="P2110">
        <v>1.9377500279394815E-2</v>
      </c>
      <c r="Q2110">
        <v>2.0500534360216446E-3</v>
      </c>
      <c r="R2110">
        <v>1.4110350175693775E-3</v>
      </c>
      <c r="S2110">
        <v>0.14912370563557986</v>
      </c>
      <c r="T2110">
        <v>1.0736574461452744</v>
      </c>
      <c r="U2110">
        <v>2.2709870179749996E-2</v>
      </c>
      <c r="V2110">
        <v>0.20321661375551631</v>
      </c>
      <c r="W2110">
        <v>8.0321661390428303E-2</v>
      </c>
      <c r="X2110">
        <v>1.5112030620519253E-2</v>
      </c>
      <c r="Y2110">
        <v>3.8403721702553136E-3</v>
      </c>
    </row>
    <row r="2111" spans="1:25" x14ac:dyDescent="0.25">
      <c r="A2111" s="827"/>
      <c r="B2111" s="1066">
        <v>1861</v>
      </c>
      <c r="C2111" s="831">
        <v>1.0149110140847064</v>
      </c>
      <c r="D2111" s="831">
        <v>1.0223110229034578</v>
      </c>
      <c r="E2111" s="831">
        <v>0.98203483775455402</v>
      </c>
      <c r="F2111" s="831">
        <v>1.0154092479286376</v>
      </c>
      <c r="G2111" s="831">
        <v>0.98024550999887605</v>
      </c>
      <c r="H2111" s="831">
        <v>1.0001626688074481</v>
      </c>
      <c r="I2111" s="831">
        <v>1.0079250320533333</v>
      </c>
      <c r="K2111">
        <v>1.7217254882763768</v>
      </c>
      <c r="L2111">
        <v>0</v>
      </c>
      <c r="M2111">
        <v>1.4039126056191555E-3</v>
      </c>
      <c r="N2111">
        <v>0.13372759991280303</v>
      </c>
      <c r="O2111">
        <v>1.7399571035545992E-2</v>
      </c>
      <c r="P2111">
        <v>1.9494591073650015E-2</v>
      </c>
      <c r="Q2111">
        <v>2.0749826501417603E-3</v>
      </c>
      <c r="R2111">
        <v>1.3952528362680123E-3</v>
      </c>
      <c r="S2111">
        <v>0.15031562417089259</v>
      </c>
      <c r="T2111">
        <v>1.0729623529533052</v>
      </c>
      <c r="U2111">
        <v>2.2979874663530474E-2</v>
      </c>
      <c r="V2111">
        <v>0.20261798232059069</v>
      </c>
      <c r="W2111">
        <v>8.0929953442506197E-2</v>
      </c>
      <c r="X2111">
        <v>1.5434197547414151E-2</v>
      </c>
      <c r="Y2111">
        <v>3.7974182753476656E-3</v>
      </c>
    </row>
    <row r="2112" spans="1:25" x14ac:dyDescent="0.25">
      <c r="A2112" s="827"/>
      <c r="B2112" s="1066">
        <v>1862</v>
      </c>
      <c r="C2112" s="831">
        <v>1.0177629702261279</v>
      </c>
      <c r="D2112" s="831">
        <v>0.98788095379245688</v>
      </c>
      <c r="E2112" s="831">
        <v>1.0277256577562126</v>
      </c>
      <c r="F2112" s="831">
        <v>1.0327990147101129</v>
      </c>
      <c r="G2112" s="831">
        <v>0.99215968555132406</v>
      </c>
      <c r="H2112" s="831">
        <v>1.0036848385016928</v>
      </c>
      <c r="I2112" s="831">
        <v>1.0209327404777064</v>
      </c>
      <c r="K2112">
        <v>1.7381041649462508</v>
      </c>
      <c r="L2112">
        <v>0</v>
      </c>
      <c r="M2112">
        <v>1.2958562349063801E-3</v>
      </c>
      <c r="N2112">
        <v>0.14228761356253369</v>
      </c>
      <c r="O2112">
        <v>1.7622006861566904E-2</v>
      </c>
      <c r="P2112">
        <v>2.0204473689427203E-2</v>
      </c>
      <c r="Q2112">
        <v>2.1938550125157846E-3</v>
      </c>
      <c r="R2112">
        <v>1.2879131828831994E-3</v>
      </c>
      <c r="S2112">
        <v>0.15425751941254617</v>
      </c>
      <c r="T2112">
        <v>1.0689162789526734</v>
      </c>
      <c r="U2112">
        <v>2.2915480893474994E-2</v>
      </c>
      <c r="V2112">
        <v>0.20540960029147437</v>
      </c>
      <c r="W2112">
        <v>8.3468597012851087E-2</v>
      </c>
      <c r="X2112">
        <v>1.7331407185868637E-2</v>
      </c>
      <c r="Y2112">
        <v>3.5052751233414351E-3</v>
      </c>
    </row>
    <row r="2113" spans="1:25" x14ac:dyDescent="0.25">
      <c r="A2113" s="827"/>
      <c r="B2113" s="1066">
        <v>1863</v>
      </c>
      <c r="C2113" s="831">
        <v>0.97162493658011317</v>
      </c>
      <c r="D2113" s="831">
        <v>0.96714977888694376</v>
      </c>
      <c r="E2113" s="831">
        <v>0.99833201863369025</v>
      </c>
      <c r="F2113" s="831">
        <v>1.0285301535665645</v>
      </c>
      <c r="G2113" s="831">
        <v>0.97464907105534226</v>
      </c>
      <c r="H2113" s="831">
        <v>1.0018973415603034</v>
      </c>
      <c r="I2113" s="831">
        <v>0.97179650112618876</v>
      </c>
      <c r="K2113">
        <v>1.7577761439525714</v>
      </c>
      <c r="L2113">
        <v>0</v>
      </c>
      <c r="M2113">
        <v>1.4556141066889398E-3</v>
      </c>
      <c r="N2113">
        <v>0.14587465453695334</v>
      </c>
      <c r="O2113">
        <v>1.8637464313389442E-2</v>
      </c>
      <c r="P2113">
        <v>1.9929037779839096E-2</v>
      </c>
      <c r="Q2113">
        <v>2.2492377434673019E-3</v>
      </c>
      <c r="R2113">
        <v>1.4466915062567934E-3</v>
      </c>
      <c r="S2113">
        <v>0.15503957371725333</v>
      </c>
      <c r="T2113">
        <v>1.0715101390940669</v>
      </c>
      <c r="U2113">
        <v>2.4003632492588033E-2</v>
      </c>
      <c r="V2113">
        <v>0.21253575806306454</v>
      </c>
      <c r="W2113">
        <v>8.7295485588754995E-2</v>
      </c>
      <c r="X2113">
        <v>1.6772665845320577E-2</v>
      </c>
      <c r="Y2113">
        <v>3.9374173783041245E-3</v>
      </c>
    </row>
    <row r="2114" spans="1:25" x14ac:dyDescent="0.25">
      <c r="A2114" s="827"/>
      <c r="B2114" s="1066">
        <v>1864</v>
      </c>
      <c r="C2114" s="831">
        <v>0.96525416228891614</v>
      </c>
      <c r="D2114" s="831">
        <v>0.99343927962866874</v>
      </c>
      <c r="E2114" s="831">
        <v>0.99978111507137202</v>
      </c>
      <c r="F2114" s="831">
        <v>0.99558936840895318</v>
      </c>
      <c r="G2114" s="831">
        <v>0.98179136121514998</v>
      </c>
      <c r="H2114" s="831">
        <v>1.0248466916584302</v>
      </c>
      <c r="I2114" s="831">
        <v>0.98030546735729107</v>
      </c>
      <c r="K2114">
        <v>1.7626911553800646</v>
      </c>
      <c r="L2114">
        <v>0</v>
      </c>
      <c r="M2114">
        <v>1.476152614093118E-3</v>
      </c>
      <c r="N2114">
        <v>0.14861994620162045</v>
      </c>
      <c r="O2114">
        <v>1.8533411097109466E-2</v>
      </c>
      <c r="P2114">
        <v>1.9957400086136154E-2</v>
      </c>
      <c r="Q2114">
        <v>2.2449247886018038E-3</v>
      </c>
      <c r="R2114">
        <v>1.4672871839662225E-3</v>
      </c>
      <c r="S2114">
        <v>0.15736007718065087</v>
      </c>
      <c r="T2114">
        <v>1.0713814972180493</v>
      </c>
      <c r="U2114">
        <v>2.4162058874730195E-2</v>
      </c>
      <c r="V2114">
        <v>0.21068223411320564</v>
      </c>
      <c r="W2114">
        <v>8.8850145637226111E-2</v>
      </c>
      <c r="X2114">
        <v>1.6914853589196213E-2</v>
      </c>
      <c r="Y2114">
        <v>3.9934720236658571E-3</v>
      </c>
    </row>
    <row r="2115" spans="1:25" x14ac:dyDescent="0.25">
      <c r="A2115" s="827"/>
      <c r="B2115" s="1066">
        <v>1865</v>
      </c>
      <c r="C2115" s="831">
        <v>0.97414836716413977</v>
      </c>
      <c r="D2115" s="831">
        <v>1.0056931304240482</v>
      </c>
      <c r="E2115" s="831">
        <v>1.0185324970752025</v>
      </c>
      <c r="F2115" s="831">
        <v>0.99646274331319384</v>
      </c>
      <c r="G2115" s="831">
        <v>0.99278929970802399</v>
      </c>
      <c r="H2115" s="831">
        <v>0.98337582628622167</v>
      </c>
      <c r="I2115" s="831">
        <v>0.97279328934014364</v>
      </c>
      <c r="K2115">
        <v>1.7422278441801589</v>
      </c>
      <c r="L2115">
        <v>0</v>
      </c>
      <c r="M2115">
        <v>1.3416070936486408E-3</v>
      </c>
      <c r="N2115">
        <v>0.14314504525194965</v>
      </c>
      <c r="O2115">
        <v>1.8262496708149712E-2</v>
      </c>
      <c r="P2115">
        <v>2.0091896306678663E-2</v>
      </c>
      <c r="Q2115">
        <v>2.2562522432043666E-3</v>
      </c>
      <c r="R2115">
        <v>1.3332015245279907E-3</v>
      </c>
      <c r="S2115">
        <v>0.15097683693290817</v>
      </c>
      <c r="T2115">
        <v>1.0697240208791496</v>
      </c>
      <c r="U2115">
        <v>2.3941453565433566E-2</v>
      </c>
      <c r="V2115">
        <v>0.20850241939690917</v>
      </c>
      <c r="W2115">
        <v>8.4492970438415485E-2</v>
      </c>
      <c r="X2115">
        <v>1.7214322966479904E-2</v>
      </c>
      <c r="Y2115">
        <v>3.6285350600007453E-3</v>
      </c>
    </row>
    <row r="2116" spans="1:25" x14ac:dyDescent="0.25">
      <c r="A2116" s="827"/>
      <c r="B2116" s="1066">
        <v>1866</v>
      </c>
      <c r="C2116" s="831">
        <v>1.0345598050029736</v>
      </c>
      <c r="D2116" s="831">
        <v>0.98165488413817981</v>
      </c>
      <c r="E2116" s="831">
        <v>1.00689899559011</v>
      </c>
      <c r="F2116" s="831">
        <v>0.98725749494794446</v>
      </c>
      <c r="G2116" s="831">
        <v>1.0090581975258892</v>
      </c>
      <c r="H2116" s="831">
        <v>0.96823574704063009</v>
      </c>
      <c r="I2116" s="831">
        <v>0.97170766769146111</v>
      </c>
      <c r="K2116">
        <v>1.7103120556999003</v>
      </c>
      <c r="L2116">
        <v>0</v>
      </c>
      <c r="M2116">
        <v>1.288767451450534E-3</v>
      </c>
      <c r="N2116">
        <v>0.13261252079467431</v>
      </c>
      <c r="O2116">
        <v>1.7385709149569079E-2</v>
      </c>
      <c r="P2116">
        <v>1.9739147776027241E-2</v>
      </c>
      <c r="Q2116">
        <v>2.1189110060755496E-3</v>
      </c>
      <c r="R2116">
        <v>1.2805828814103834E-3</v>
      </c>
      <c r="S2116">
        <v>0.14240620146811894</v>
      </c>
      <c r="T2116">
        <v>1.0707507666959355</v>
      </c>
      <c r="U2116">
        <v>2.254343130819406E-2</v>
      </c>
      <c r="V2116">
        <v>0.20424962988797501</v>
      </c>
      <c r="W2116">
        <v>7.8896063114577974E-2</v>
      </c>
      <c r="X2116">
        <v>1.6132534609626072E-2</v>
      </c>
      <c r="Y2116">
        <v>3.4853244591656601E-3</v>
      </c>
    </row>
    <row r="2117" spans="1:25" x14ac:dyDescent="0.25">
      <c r="A2117" s="827"/>
      <c r="B2117" s="1066">
        <v>1867</v>
      </c>
      <c r="C2117" s="831">
        <v>0.98351343531984103</v>
      </c>
      <c r="D2117" s="831">
        <v>0.98107688155954631</v>
      </c>
      <c r="E2117" s="831">
        <v>0.99540918578547288</v>
      </c>
      <c r="F2117" s="831">
        <v>0.99300255463945886</v>
      </c>
      <c r="G2117" s="831">
        <v>0.99755992666203464</v>
      </c>
      <c r="H2117" s="831">
        <v>1.012830014122351</v>
      </c>
      <c r="I2117" s="831">
        <v>1.0215563594835444</v>
      </c>
      <c r="K2117">
        <v>1.7579082986925472</v>
      </c>
      <c r="L2117">
        <v>0</v>
      </c>
      <c r="M2117">
        <v>1.4532210712596397E-3</v>
      </c>
      <c r="N2117">
        <v>0.14432480665614714</v>
      </c>
      <c r="O2117">
        <v>1.8292953715506752E-2</v>
      </c>
      <c r="P2117">
        <v>1.9927034475250852E-2</v>
      </c>
      <c r="Q2117">
        <v>2.2037907151810461E-3</v>
      </c>
      <c r="R2117">
        <v>1.4443988793907034E-3</v>
      </c>
      <c r="S2117">
        <v>0.16087454566586482</v>
      </c>
      <c r="T2117">
        <v>1.0717698512762903</v>
      </c>
      <c r="U2117">
        <v>2.3713481748948967E-2</v>
      </c>
      <c r="V2117">
        <v>0.20978575839836489</v>
      </c>
      <c r="W2117">
        <v>8.6541294068165506E-2</v>
      </c>
      <c r="X2117">
        <v>1.6552426560958334E-2</v>
      </c>
      <c r="Y2117">
        <v>3.9311776037388715E-3</v>
      </c>
    </row>
    <row r="2118" spans="1:25" x14ac:dyDescent="0.25">
      <c r="A2118" s="827"/>
      <c r="B2118" s="1066">
        <v>1868</v>
      </c>
      <c r="C2118" s="831">
        <v>1.0003774207287186</v>
      </c>
      <c r="D2118" s="831">
        <v>0.9915316024729055</v>
      </c>
      <c r="E2118" s="831">
        <v>1.0410320066079821</v>
      </c>
      <c r="F2118" s="831">
        <v>0.99991714505914153</v>
      </c>
      <c r="G2118" s="831">
        <v>0.99182128379727086</v>
      </c>
      <c r="H2118" s="831">
        <v>0.96881679413768207</v>
      </c>
      <c r="I2118" s="831">
        <v>0.97798983120177607</v>
      </c>
      <c r="K2118">
        <v>1.7306741644370427</v>
      </c>
      <c r="L2118">
        <v>0</v>
      </c>
      <c r="M2118">
        <v>1.2351650148745234E-3</v>
      </c>
      <c r="N2118">
        <v>0.14130940216295226</v>
      </c>
      <c r="O2118">
        <v>1.7898293189314903E-2</v>
      </c>
      <c r="P2118">
        <v>2.0317696775143227E-2</v>
      </c>
      <c r="Q2118">
        <v>2.258375045764812E-3</v>
      </c>
      <c r="R2118">
        <v>1.2273191197513101E-3</v>
      </c>
      <c r="S2118">
        <v>0.14765030305236121</v>
      </c>
      <c r="T2118">
        <v>1.0677528170049624</v>
      </c>
      <c r="U2118">
        <v>2.3313728813785167E-2</v>
      </c>
      <c r="V2118">
        <v>0.2069265754159311</v>
      </c>
      <c r="W2118">
        <v>8.2161102814267792E-2</v>
      </c>
      <c r="X2118">
        <v>1.7753357999355929E-2</v>
      </c>
      <c r="Y2118">
        <v>3.340358058323974E-3</v>
      </c>
    </row>
    <row r="2119" spans="1:25" x14ac:dyDescent="0.25">
      <c r="A2119" s="827"/>
      <c r="B2119" s="1066">
        <v>1869</v>
      </c>
      <c r="C2119" s="831">
        <v>1.0242323900872341</v>
      </c>
      <c r="D2119" s="831">
        <v>0.99043271869914751</v>
      </c>
      <c r="E2119" s="831">
        <v>1.0155505063249177</v>
      </c>
      <c r="F2119" s="831">
        <v>0.9807424537490993</v>
      </c>
      <c r="G2119" s="831">
        <v>0.99498801281059834</v>
      </c>
      <c r="H2119" s="831">
        <v>0.9588525953231225</v>
      </c>
      <c r="I2119" s="831">
        <v>0.96015619270045738</v>
      </c>
      <c r="K2119">
        <v>1.7096328371912446</v>
      </c>
      <c r="L2119">
        <v>0</v>
      </c>
      <c r="M2119">
        <v>1.2607354102235958E-3</v>
      </c>
      <c r="N2119">
        <v>0.13325526816087052</v>
      </c>
      <c r="O2119">
        <v>1.7490223773997289E-2</v>
      </c>
      <c r="P2119">
        <v>1.9842012939561771E-2</v>
      </c>
      <c r="Q2119">
        <v>2.1517329972279239E-3</v>
      </c>
      <c r="R2119">
        <v>1.2526446029685965E-3</v>
      </c>
      <c r="S2119">
        <v>0.14097344988393132</v>
      </c>
      <c r="T2119">
        <v>1.0699867163264749</v>
      </c>
      <c r="U2119">
        <v>2.277073848086061E-2</v>
      </c>
      <c r="V2119">
        <v>0.20450060868379263</v>
      </c>
      <c r="W2119">
        <v>7.8814173114877012E-2</v>
      </c>
      <c r="X2119">
        <v>1.6446717961804896E-2</v>
      </c>
      <c r="Y2119">
        <v>3.4092856750981308E-3</v>
      </c>
    </row>
    <row r="2120" spans="1:25" x14ac:dyDescent="0.25">
      <c r="A2120" s="827"/>
      <c r="B2120" s="1066">
        <v>1870</v>
      </c>
      <c r="C2120" s="831">
        <v>1.0440227390634946</v>
      </c>
      <c r="D2120" s="831">
        <v>0.99130058402018706</v>
      </c>
      <c r="E2120" s="831">
        <v>0.98602713700832201</v>
      </c>
      <c r="F2120" s="831">
        <v>1.038975276176346</v>
      </c>
      <c r="G2120" s="831">
        <v>1.0094576912087252</v>
      </c>
      <c r="H2120" s="831">
        <v>1.0358910891004596</v>
      </c>
      <c r="I2120" s="831">
        <v>0.99921195601155088</v>
      </c>
      <c r="K2120">
        <v>1.724601067411258</v>
      </c>
      <c r="L2120">
        <v>0</v>
      </c>
      <c r="M2120">
        <v>1.421371048062377E-3</v>
      </c>
      <c r="N2120">
        <v>0.13711609488562349</v>
      </c>
      <c r="O2120">
        <v>1.7151868052016753E-2</v>
      </c>
      <c r="P2120">
        <v>1.9522181858069091E-2</v>
      </c>
      <c r="Q2120">
        <v>2.048580065934621E-3</v>
      </c>
      <c r="R2120">
        <v>1.4129271251353565E-3</v>
      </c>
      <c r="S2120">
        <v>0.14918844377510357</v>
      </c>
      <c r="T2120">
        <v>1.0726056811855291</v>
      </c>
      <c r="U2120">
        <v>2.2339099547988645E-2</v>
      </c>
      <c r="V2120">
        <v>0.20241546391004794</v>
      </c>
      <c r="W2120">
        <v>8.2751711321928503E-2</v>
      </c>
      <c r="X2120">
        <v>1.5624864868625981E-2</v>
      </c>
      <c r="Y2120">
        <v>3.8455218633168184E-3</v>
      </c>
    </row>
    <row r="2121" spans="1:25" x14ac:dyDescent="0.25">
      <c r="A2121" s="827"/>
      <c r="B2121" s="1066">
        <v>1871</v>
      </c>
      <c r="C2121" s="831">
        <v>1.0172271090584526</v>
      </c>
      <c r="D2121" s="831">
        <v>1.0120512930693624</v>
      </c>
      <c r="E2121" s="831">
        <v>0.95506055344056517</v>
      </c>
      <c r="F2121" s="831">
        <v>1.0067975122696806</v>
      </c>
      <c r="G2121" s="831">
        <v>1.0089464237858286</v>
      </c>
      <c r="H2121" s="831">
        <v>0.97809036387920623</v>
      </c>
      <c r="I2121" s="831">
        <v>1.0075437995862997</v>
      </c>
      <c r="K2121">
        <v>1.7135768677672918</v>
      </c>
      <c r="L2121">
        <v>0</v>
      </c>
      <c r="M2121">
        <v>1.4560770218634697E-3</v>
      </c>
      <c r="N2121">
        <v>0.12748985371346006</v>
      </c>
      <c r="O2121">
        <v>1.7439291473668645E-2</v>
      </c>
      <c r="P2121">
        <v>1.9117326235496362E-2</v>
      </c>
      <c r="Q2121">
        <v>2.0214622732800348E-3</v>
      </c>
      <c r="R2121">
        <v>1.4469002780206513E-3</v>
      </c>
      <c r="S2121">
        <v>0.14898354800043187</v>
      </c>
      <c r="T2121">
        <v>1.07538790332977</v>
      </c>
      <c r="U2121">
        <v>2.2927552451773071E-2</v>
      </c>
      <c r="V2121">
        <v>0.20327867762468677</v>
      </c>
      <c r="W2121">
        <v>7.8624615615894178E-2</v>
      </c>
      <c r="X2121">
        <v>1.4377828206450415E-2</v>
      </c>
      <c r="Y2121">
        <v>3.9379855862237507E-3</v>
      </c>
    </row>
    <row r="2122" spans="1:25" x14ac:dyDescent="0.25">
      <c r="A2122" s="827"/>
      <c r="B2122" s="1066">
        <v>1872</v>
      </c>
      <c r="C2122" s="831">
        <v>0.98485046529170595</v>
      </c>
      <c r="D2122" s="831">
        <v>0.9774212344061155</v>
      </c>
      <c r="E2122" s="831">
        <v>0.98465918490511894</v>
      </c>
      <c r="F2122" s="831">
        <v>1.0410064769448173</v>
      </c>
      <c r="G2122" s="831">
        <v>0.95877882114028989</v>
      </c>
      <c r="H2122" s="831">
        <v>1.021619504202449</v>
      </c>
      <c r="I2122" s="831">
        <v>1.0082321294404644</v>
      </c>
      <c r="K2122">
        <v>1.7574131400408977</v>
      </c>
      <c r="L2122">
        <v>0</v>
      </c>
      <c r="M2122">
        <v>1.499844724115253E-3</v>
      </c>
      <c r="N2122">
        <v>0.1440601151604109</v>
      </c>
      <c r="O2122">
        <v>1.8299113031739891E-2</v>
      </c>
      <c r="P2122">
        <v>1.9762567132178294E-2</v>
      </c>
      <c r="Q2122">
        <v>2.180034258916763E-3</v>
      </c>
      <c r="R2122">
        <v>1.4908206025288091E-3</v>
      </c>
      <c r="S2122">
        <v>0.15946003729336572</v>
      </c>
      <c r="T2122">
        <v>1.0727278264275804</v>
      </c>
      <c r="U2122">
        <v>2.3681288398838499E-2</v>
      </c>
      <c r="V2122">
        <v>0.20999299748797606</v>
      </c>
      <c r="W2122">
        <v>8.7024793050061069E-2</v>
      </c>
      <c r="X2122">
        <v>1.6175869690212251E-2</v>
      </c>
      <c r="Y2122">
        <v>4.0575222312038738E-3</v>
      </c>
    </row>
    <row r="2123" spans="1:25" x14ac:dyDescent="0.25">
      <c r="A2123" s="827"/>
      <c r="B2123" s="1066">
        <v>1873</v>
      </c>
      <c r="C2123" s="831">
        <v>0.97531166299923366</v>
      </c>
      <c r="D2123" s="831">
        <v>0.99408134630187417</v>
      </c>
      <c r="E2123" s="831">
        <v>0.98660303718842868</v>
      </c>
      <c r="F2123" s="831">
        <v>0.99603001689278947</v>
      </c>
      <c r="G2123" s="831">
        <v>0.95664000776063363</v>
      </c>
      <c r="H2123" s="831">
        <v>1.0049668830023126</v>
      </c>
      <c r="I2123" s="831">
        <v>0.9796309752637461</v>
      </c>
      <c r="K2123">
        <v>1.7485571291075643</v>
      </c>
      <c r="L2123">
        <v>0</v>
      </c>
      <c r="M2123">
        <v>1.4724316627266071E-3</v>
      </c>
      <c r="N2123">
        <v>0.14227039713475337</v>
      </c>
      <c r="O2123">
        <v>1.833692168381813E-2</v>
      </c>
      <c r="P2123">
        <v>1.9713587121611004E-2</v>
      </c>
      <c r="Q2123">
        <v>2.1919032474493113E-3</v>
      </c>
      <c r="R2123">
        <v>1.4634131735620551E-3</v>
      </c>
      <c r="S2123">
        <v>0.15415111428239461</v>
      </c>
      <c r="T2123">
        <v>1.0725542797826908</v>
      </c>
      <c r="U2123">
        <v>2.3912897572231279E-2</v>
      </c>
      <c r="V2123">
        <v>0.20946756440555725</v>
      </c>
      <c r="W2123">
        <v>8.5828260326103828E-2</v>
      </c>
      <c r="X2123">
        <v>1.6156293795703641E-2</v>
      </c>
      <c r="Y2123">
        <v>3.9829282444128998E-3</v>
      </c>
    </row>
    <row r="2124" spans="1:25" x14ac:dyDescent="0.25">
      <c r="A2124" s="827"/>
      <c r="B2124" s="1066">
        <v>1874</v>
      </c>
      <c r="C2124" s="831">
        <v>0.99736490650043697</v>
      </c>
      <c r="D2124" s="831">
        <v>1.0069683734017805</v>
      </c>
      <c r="E2124" s="831">
        <v>0.99991694609213799</v>
      </c>
      <c r="F2124" s="831">
        <v>1.0309459477393728</v>
      </c>
      <c r="G2124" s="831">
        <v>1.0094063575371324</v>
      </c>
      <c r="H2124" s="831">
        <v>1.0205781977301631</v>
      </c>
      <c r="I2124" s="831">
        <v>0.9630035324079862</v>
      </c>
      <c r="K2124">
        <v>1.7365527167031556</v>
      </c>
      <c r="L2124">
        <v>0</v>
      </c>
      <c r="M2124">
        <v>1.4135920484255834E-3</v>
      </c>
      <c r="N2124">
        <v>0.14237691610713743</v>
      </c>
      <c r="O2124">
        <v>1.7827156290401922E-2</v>
      </c>
      <c r="P2124">
        <v>1.9761091005761511E-2</v>
      </c>
      <c r="Q2124">
        <v>2.1620678111562053E-3</v>
      </c>
      <c r="R2124">
        <v>1.4050574361064196E-3</v>
      </c>
      <c r="S2124">
        <v>0.1484722960583352</v>
      </c>
      <c r="T2124">
        <v>1.0713694430370335</v>
      </c>
      <c r="U2124">
        <v>2.3384147312880188E-2</v>
      </c>
      <c r="V2124">
        <v>0.20582698971963745</v>
      </c>
      <c r="W2124">
        <v>8.5109934840392296E-2</v>
      </c>
      <c r="X2124">
        <v>1.6447105968714751E-2</v>
      </c>
      <c r="Y2124">
        <v>3.8241031640223436E-3</v>
      </c>
    </row>
    <row r="2125" spans="1:25" x14ac:dyDescent="0.25">
      <c r="A2125" s="827"/>
      <c r="B2125" s="1066">
        <v>1875</v>
      </c>
      <c r="C2125" s="831">
        <v>0.98626536766862294</v>
      </c>
      <c r="D2125" s="831">
        <v>1.0007306488316183</v>
      </c>
      <c r="E2125" s="831">
        <v>0.9855307382737446</v>
      </c>
      <c r="F2125" s="831">
        <v>0.99429204670922378</v>
      </c>
      <c r="G2125" s="831">
        <v>0.9677618447565115</v>
      </c>
      <c r="H2125" s="831">
        <v>1.0211909291306998</v>
      </c>
      <c r="I2125" s="831">
        <v>0.96805650593090664</v>
      </c>
      <c r="K2125">
        <v>1.7435356091358154</v>
      </c>
      <c r="L2125">
        <v>0</v>
      </c>
      <c r="M2125">
        <v>1.4784551946993604E-3</v>
      </c>
      <c r="N2125">
        <v>0.14238961922704765</v>
      </c>
      <c r="O2125">
        <v>1.8078575347163603E-2</v>
      </c>
      <c r="P2125">
        <v>1.9632641764739046E-2</v>
      </c>
      <c r="Q2125">
        <v>2.1598574007408674E-3</v>
      </c>
      <c r="R2125">
        <v>1.4695388303306777E-3</v>
      </c>
      <c r="S2125">
        <v>0.15136421808553291</v>
      </c>
      <c r="T2125">
        <v>1.0726499967798468</v>
      </c>
      <c r="U2125">
        <v>2.3647315076503157E-2</v>
      </c>
      <c r="V2125">
        <v>0.20761155712495111</v>
      </c>
      <c r="W2125">
        <v>8.5963850942805869E-2</v>
      </c>
      <c r="X2125">
        <v>1.6047293488038732E-2</v>
      </c>
      <c r="Y2125">
        <v>3.9996002628148826E-3</v>
      </c>
    </row>
    <row r="2126" spans="1:25" x14ac:dyDescent="0.25">
      <c r="A2126" s="827"/>
      <c r="B2126" s="1066">
        <v>1876</v>
      </c>
      <c r="C2126" s="831">
        <v>1.0188120903732252</v>
      </c>
      <c r="D2126" s="831">
        <v>0.98129762052819525</v>
      </c>
      <c r="E2126" s="831">
        <v>0.99911669646396339</v>
      </c>
      <c r="F2126" s="831">
        <v>0.97365074123576145</v>
      </c>
      <c r="G2126" s="831">
        <v>0.95636611520865633</v>
      </c>
      <c r="H2126" s="831">
        <v>1.0374161062475551</v>
      </c>
      <c r="I2126" s="831">
        <v>0.99954972376069662</v>
      </c>
      <c r="K2126">
        <v>1.7427537677916676</v>
      </c>
      <c r="L2126">
        <v>0</v>
      </c>
      <c r="M2126">
        <v>1.4256094994331034E-3</v>
      </c>
      <c r="N2126">
        <v>0.14324618588583274</v>
      </c>
      <c r="O2126">
        <v>1.7657356545389902E-2</v>
      </c>
      <c r="P2126">
        <v>1.9815857162860013E-2</v>
      </c>
      <c r="Q2126">
        <v>2.1352131523895848E-3</v>
      </c>
      <c r="R2126">
        <v>1.4171598827068161E-3</v>
      </c>
      <c r="S2126">
        <v>0.15368744292996131</v>
      </c>
      <c r="T2126">
        <v>1.0714404703816307</v>
      </c>
      <c r="U2126">
        <v>2.2891883713079379E-2</v>
      </c>
      <c r="V2126">
        <v>0.20591399470978342</v>
      </c>
      <c r="W2126">
        <v>8.5676482387671837E-2</v>
      </c>
      <c r="X2126">
        <v>1.6440288505695247E-2</v>
      </c>
      <c r="Y2126">
        <v>3.8570420340981737E-3</v>
      </c>
    </row>
    <row r="2127" spans="1:25" x14ac:dyDescent="0.25">
      <c r="A2127" s="827"/>
      <c r="B2127" s="1066">
        <v>1877</v>
      </c>
      <c r="C2127" s="831">
        <v>1.0089101329361139</v>
      </c>
      <c r="D2127" s="831">
        <v>1.0103000223150227</v>
      </c>
      <c r="E2127" s="831">
        <v>1.0034840717565472</v>
      </c>
      <c r="F2127" s="831">
        <v>1.0184852566538813</v>
      </c>
      <c r="G2127" s="831">
        <v>1.0261318295717909</v>
      </c>
      <c r="H2127" s="831">
        <v>0.97480784643698137</v>
      </c>
      <c r="I2127" s="831">
        <v>1.0318184823004308</v>
      </c>
      <c r="K2127">
        <v>1.7265386520000763</v>
      </c>
      <c r="L2127">
        <v>0</v>
      </c>
      <c r="M2127">
        <v>1.3227771290967364E-3</v>
      </c>
      <c r="N2127">
        <v>0.13467798775780096</v>
      </c>
      <c r="O2127">
        <v>1.7596833937613847E-2</v>
      </c>
      <c r="P2127">
        <v>1.9856333404904385E-2</v>
      </c>
      <c r="Q2127">
        <v>2.1423704669351487E-3</v>
      </c>
      <c r="R2127">
        <v>1.3144135920176386E-3</v>
      </c>
      <c r="S2127">
        <v>0.15370125918240374</v>
      </c>
      <c r="T2127">
        <v>1.0710531315533445</v>
      </c>
      <c r="U2127">
        <v>2.3116556308568691E-2</v>
      </c>
      <c r="V2127">
        <v>0.20429827521099644</v>
      </c>
      <c r="W2127">
        <v>8.0311648020808438E-2</v>
      </c>
      <c r="X2127">
        <v>1.6215219192629714E-2</v>
      </c>
      <c r="Y2127">
        <v>3.5774005011478538E-3</v>
      </c>
    </row>
    <row r="2128" spans="1:25" x14ac:dyDescent="0.25">
      <c r="A2128" s="827"/>
      <c r="B2128" s="1066">
        <v>1878</v>
      </c>
      <c r="C2128" s="831">
        <v>1.0316528457064416</v>
      </c>
      <c r="D2128" s="831">
        <v>0.97602403196817999</v>
      </c>
      <c r="E2128" s="831">
        <v>1.0272109293082352</v>
      </c>
      <c r="F2128" s="831">
        <v>1.023594366701035</v>
      </c>
      <c r="G2128" s="831">
        <v>0.96476399059734996</v>
      </c>
      <c r="H2128" s="831">
        <v>1.0152853019696177</v>
      </c>
      <c r="I2128" s="831">
        <v>0.98693601225316863</v>
      </c>
      <c r="K2128">
        <v>1.7323077049238949</v>
      </c>
      <c r="L2128">
        <v>0</v>
      </c>
      <c r="M2128">
        <v>1.3017008931020995E-3</v>
      </c>
      <c r="N2128">
        <v>0.14271205163004019</v>
      </c>
      <c r="O2128">
        <v>1.7480302613296729E-2</v>
      </c>
      <c r="P2128">
        <v>2.0110584177286606E-2</v>
      </c>
      <c r="Q2128">
        <v>2.1729319539766237E-3</v>
      </c>
      <c r="R2128">
        <v>1.2938210119359307E-3</v>
      </c>
      <c r="S2128">
        <v>0.14865959295730799</v>
      </c>
      <c r="T2128">
        <v>1.0689614200502533</v>
      </c>
      <c r="U2128">
        <v>2.2606953487665459E-2</v>
      </c>
      <c r="V2128">
        <v>0.20507183203497081</v>
      </c>
      <c r="W2128">
        <v>8.374651256792133E-2</v>
      </c>
      <c r="X2128">
        <v>1.7272049045831059E-2</v>
      </c>
      <c r="Y2128">
        <v>3.5213542865076461E-3</v>
      </c>
    </row>
    <row r="2129" spans="1:25" x14ac:dyDescent="0.25">
      <c r="A2129" s="827"/>
      <c r="B2129" s="1066">
        <v>1879</v>
      </c>
      <c r="C2129" s="831">
        <v>0.98596863186887906</v>
      </c>
      <c r="D2129" s="831">
        <v>1.0090039110209879</v>
      </c>
      <c r="E2129" s="831">
        <v>0.98741453673254609</v>
      </c>
      <c r="F2129" s="831">
        <v>1.0202601619400058</v>
      </c>
      <c r="G2129" s="831">
        <v>0.97239544743642448</v>
      </c>
      <c r="H2129" s="831">
        <v>0.99442943591924948</v>
      </c>
      <c r="I2129" s="831">
        <v>1.0087295554818545</v>
      </c>
      <c r="K2129">
        <v>1.7398737612205382</v>
      </c>
      <c r="L2129">
        <v>0</v>
      </c>
      <c r="M2129">
        <v>1.4291232477508476E-3</v>
      </c>
      <c r="N2129">
        <v>0.13842513005621809</v>
      </c>
      <c r="O2129">
        <v>1.8016738272263355E-2</v>
      </c>
      <c r="P2129">
        <v>1.9701431791291187E-2</v>
      </c>
      <c r="Q2129">
        <v>2.1580323329859546E-3</v>
      </c>
      <c r="R2129">
        <v>1.4202665290613224E-3</v>
      </c>
      <c r="S2129">
        <v>0.15527523234510771</v>
      </c>
      <c r="T2129">
        <v>1.0724818713765165</v>
      </c>
      <c r="U2129">
        <v>2.3654431940797055E-2</v>
      </c>
      <c r="V2129">
        <v>0.20688143446428509</v>
      </c>
      <c r="W2129">
        <v>8.3461725265173425E-2</v>
      </c>
      <c r="X2129">
        <v>1.5961092793218102E-2</v>
      </c>
      <c r="Y2129">
        <v>3.8654973013694436E-3</v>
      </c>
    </row>
    <row r="2130" spans="1:25" x14ac:dyDescent="0.25">
      <c r="A2130" s="827"/>
      <c r="B2130" s="1066">
        <v>1880</v>
      </c>
      <c r="C2130" s="831">
        <v>1.0129006374726972</v>
      </c>
      <c r="D2130" s="831">
        <v>1.0157771308408086</v>
      </c>
      <c r="E2130" s="831">
        <v>1.0379231764306349</v>
      </c>
      <c r="F2130" s="831">
        <v>1.0081676811179525</v>
      </c>
      <c r="G2130" s="831">
        <v>0.98938488700325988</v>
      </c>
      <c r="H2130" s="831">
        <v>1.0037945063674552</v>
      </c>
      <c r="I2130" s="831">
        <v>0.96471083746072495</v>
      </c>
      <c r="K2130">
        <v>1.7258143529936443</v>
      </c>
      <c r="L2130">
        <v>0</v>
      </c>
      <c r="M2130">
        <v>1.2584624308590285E-3</v>
      </c>
      <c r="N2130">
        <v>0.14262300519381793</v>
      </c>
      <c r="O2130">
        <v>1.748470066125532E-2</v>
      </c>
      <c r="P2130">
        <v>2.0182282063122343E-2</v>
      </c>
      <c r="Q2130">
        <v>2.2038046688160774E-3</v>
      </c>
      <c r="R2130">
        <v>1.2507319280311388E-3</v>
      </c>
      <c r="S2130">
        <v>0.14478643828380958</v>
      </c>
      <c r="T2130">
        <v>1.0680240407115063</v>
      </c>
      <c r="U2130">
        <v>2.3025484470515799E-2</v>
      </c>
      <c r="V2130">
        <v>0.20339793107023696</v>
      </c>
      <c r="W2130">
        <v>8.3096671819959542E-2</v>
      </c>
      <c r="X2130">
        <v>1.759364454900229E-2</v>
      </c>
      <c r="Y2130">
        <v>3.4040800044314932E-3</v>
      </c>
    </row>
    <row r="2131" spans="1:25" x14ac:dyDescent="0.25">
      <c r="A2131" s="827"/>
      <c r="B2131" s="1066">
        <v>1881</v>
      </c>
      <c r="C2131" s="831">
        <v>0.95994934150145883</v>
      </c>
      <c r="D2131" s="831">
        <v>1.0054027091079085</v>
      </c>
      <c r="E2131" s="831">
        <v>0.97926362902001873</v>
      </c>
      <c r="F2131" s="831">
        <v>1.0040971671659114</v>
      </c>
      <c r="G2131" s="831">
        <v>0.98782792784828433</v>
      </c>
      <c r="H2131" s="831">
        <v>0.9731190138699688</v>
      </c>
      <c r="I2131" s="831">
        <v>1.0377636002636534</v>
      </c>
      <c r="K2131">
        <v>1.7525837371218043</v>
      </c>
      <c r="L2131">
        <v>0</v>
      </c>
      <c r="M2131">
        <v>1.4635709653641373E-3</v>
      </c>
      <c r="N2131">
        <v>0.13818914170453486</v>
      </c>
      <c r="O2131">
        <v>1.8535048298132357E-2</v>
      </c>
      <c r="P2131">
        <v>1.97418415162137E-2</v>
      </c>
      <c r="Q2131">
        <v>2.2011894761938002E-3</v>
      </c>
      <c r="R2131">
        <v>1.4543048235147492E-3</v>
      </c>
      <c r="S2131">
        <v>0.16266801549235041</v>
      </c>
      <c r="T2131">
        <v>1.0732102849040674</v>
      </c>
      <c r="U2131">
        <v>2.4295581954173091E-2</v>
      </c>
      <c r="V2131">
        <v>0.21015360537593564</v>
      </c>
      <c r="W2131">
        <v>8.3790906856093056E-2</v>
      </c>
      <c r="X2131">
        <v>1.5849249367807412E-2</v>
      </c>
      <c r="Y2131">
        <v>3.9581383181509196E-3</v>
      </c>
    </row>
    <row r="2132" spans="1:25" x14ac:dyDescent="0.25">
      <c r="A2132" s="827"/>
      <c r="B2132" s="1066">
        <v>1882</v>
      </c>
      <c r="C2132" s="831">
        <v>0.97438160506728</v>
      </c>
      <c r="D2132" s="831">
        <v>0.9734396222360937</v>
      </c>
      <c r="E2132" s="831">
        <v>1.0316156500488958</v>
      </c>
      <c r="F2132" s="831">
        <v>1.010905510176292</v>
      </c>
      <c r="G2132" s="831">
        <v>1.0165899073684372</v>
      </c>
      <c r="H2132" s="831">
        <v>0.98921067442092547</v>
      </c>
      <c r="I2132" s="831">
        <v>0.97405423685734094</v>
      </c>
      <c r="K2132">
        <v>1.7550711972403508</v>
      </c>
      <c r="L2132">
        <v>0</v>
      </c>
      <c r="M2132">
        <v>1.331963918373862E-3</v>
      </c>
      <c r="N2132">
        <v>0.14801687283836998</v>
      </c>
      <c r="O2132">
        <v>1.8530051101908224E-2</v>
      </c>
      <c r="P2132">
        <v>2.0348490569940324E-2</v>
      </c>
      <c r="Q2132">
        <v>2.312970237839078E-3</v>
      </c>
      <c r="R2132">
        <v>1.3236901161133986E-3</v>
      </c>
      <c r="S2132">
        <v>0.15362052873391888</v>
      </c>
      <c r="T2132">
        <v>1.0685754560502894</v>
      </c>
      <c r="U2132">
        <v>2.3935722695311714E-2</v>
      </c>
      <c r="V2132">
        <v>0.21158123379171803</v>
      </c>
      <c r="W2132">
        <v>8.6603389394098243E-2</v>
      </c>
      <c r="X2132">
        <v>1.7952107487486841E-2</v>
      </c>
      <c r="Y2132">
        <v>3.6026481417311676E-3</v>
      </c>
    </row>
    <row r="2133" spans="1:25" x14ac:dyDescent="0.25">
      <c r="A2133" s="827"/>
      <c r="B2133" s="1066">
        <v>1883</v>
      </c>
      <c r="C2133" s="831">
        <v>1.0062444992225659</v>
      </c>
      <c r="D2133" s="831">
        <v>0.99820141119494876</v>
      </c>
      <c r="E2133" s="831">
        <v>1.0210229426188251</v>
      </c>
      <c r="F2133" s="831">
        <v>0.98889949185570702</v>
      </c>
      <c r="G2133" s="831">
        <v>1.0029068931300795</v>
      </c>
      <c r="H2133" s="831">
        <v>0.9885256657319702</v>
      </c>
      <c r="I2133" s="831">
        <v>1.0092389974601004</v>
      </c>
      <c r="K2133">
        <v>1.7341272043054163</v>
      </c>
      <c r="L2133">
        <v>0</v>
      </c>
      <c r="M2133">
        <v>1.3031657778866412E-3</v>
      </c>
      <c r="N2133">
        <v>0.14012853329416677</v>
      </c>
      <c r="O2133">
        <v>1.7739946961096837E-2</v>
      </c>
      <c r="P2133">
        <v>2.0096649113981097E-2</v>
      </c>
      <c r="Q2133">
        <v>2.1957823342855531E-3</v>
      </c>
      <c r="R2133">
        <v>1.2950485311847197E-3</v>
      </c>
      <c r="S2133">
        <v>0.15247916195661676</v>
      </c>
      <c r="T2133">
        <v>1.0695048856822287</v>
      </c>
      <c r="U2133">
        <v>2.3177794180561824E-2</v>
      </c>
      <c r="V2133">
        <v>0.20567619719850283</v>
      </c>
      <c r="W2133">
        <v>8.2573537553015081E-2</v>
      </c>
      <c r="X2133">
        <v>1.7038138088413667E-2</v>
      </c>
      <c r="Y2133">
        <v>3.5246951892512375E-3</v>
      </c>
    </row>
    <row r="2134" spans="1:25" x14ac:dyDescent="0.25">
      <c r="A2134" s="827"/>
      <c r="B2134" s="1066">
        <v>1884</v>
      </c>
      <c r="C2134" s="831">
        <v>0.99969517762523463</v>
      </c>
      <c r="D2134" s="831">
        <v>0.99600408646668004</v>
      </c>
      <c r="E2134" s="831">
        <v>1.0271426974080926</v>
      </c>
      <c r="F2134" s="831">
        <v>0.97932401581672524</v>
      </c>
      <c r="G2134" s="831">
        <v>0.98200137584071123</v>
      </c>
      <c r="H2134" s="831">
        <v>0.98083385373980303</v>
      </c>
      <c r="I2134" s="831">
        <v>1.0099446231325482</v>
      </c>
      <c r="K2134">
        <v>1.7367721622540899</v>
      </c>
      <c r="L2134">
        <v>0</v>
      </c>
      <c r="M2134">
        <v>1.2860523258613578E-3</v>
      </c>
      <c r="N2134">
        <v>0.14093491764710489</v>
      </c>
      <c r="O2134">
        <v>1.787400609204844E-2</v>
      </c>
      <c r="P2134">
        <v>2.0203534756129665E-2</v>
      </c>
      <c r="Q2134">
        <v>2.2254435551170167E-3</v>
      </c>
      <c r="R2134">
        <v>1.2779803076935269E-3</v>
      </c>
      <c r="S2134">
        <v>0.15316712253422141</v>
      </c>
      <c r="T2134">
        <v>1.0689674046643103</v>
      </c>
      <c r="U2134">
        <v>2.3329639294355317E-2</v>
      </c>
      <c r="V2134">
        <v>0.20658330979794426</v>
      </c>
      <c r="W2134">
        <v>8.2707440954035399E-2</v>
      </c>
      <c r="X2134">
        <v>1.7309173865542961E-2</v>
      </c>
      <c r="Y2134">
        <v>3.478241111446572E-3</v>
      </c>
    </row>
    <row r="2135" spans="1:25" x14ac:dyDescent="0.25">
      <c r="A2135" s="827"/>
      <c r="B2135" s="1066">
        <v>1885</v>
      </c>
      <c r="C2135" s="831">
        <v>1.0054013473345551</v>
      </c>
      <c r="D2135" s="831">
        <v>1.0441927449839874</v>
      </c>
      <c r="E2135" s="831">
        <v>0.98935118211295714</v>
      </c>
      <c r="F2135" s="831">
        <v>1.0237425390471693</v>
      </c>
      <c r="G2135" s="831">
        <v>1.0122223292936436</v>
      </c>
      <c r="H2135" s="831">
        <v>1.0246904425611369</v>
      </c>
      <c r="I2135" s="831">
        <v>1.0303306157683805</v>
      </c>
      <c r="K2135">
        <v>1.7327159351350629</v>
      </c>
      <c r="L2135">
        <v>0</v>
      </c>
      <c r="M2135">
        <v>1.4162123733822576E-3</v>
      </c>
      <c r="N2135">
        <v>0.13802739601594674</v>
      </c>
      <c r="O2135">
        <v>1.7397096218344087E-2</v>
      </c>
      <c r="P2135">
        <v>1.9655262204034647E-2</v>
      </c>
      <c r="Q2135">
        <v>2.0936930066529028E-3</v>
      </c>
      <c r="R2135">
        <v>1.4076713683797385E-3</v>
      </c>
      <c r="S2135">
        <v>0.15552733984544759</v>
      </c>
      <c r="T2135">
        <v>1.0723091687353539</v>
      </c>
      <c r="U2135">
        <v>2.3197231593267809E-2</v>
      </c>
      <c r="V2135">
        <v>0.20172233018916233</v>
      </c>
      <c r="W2135">
        <v>8.3110810969260152E-2</v>
      </c>
      <c r="X2135">
        <v>1.5852929936607394E-2</v>
      </c>
      <c r="Y2135">
        <v>3.831217425987775E-3</v>
      </c>
    </row>
    <row r="2136" spans="1:25" x14ac:dyDescent="0.25">
      <c r="A2136" s="827"/>
      <c r="B2136" s="1066">
        <v>1886</v>
      </c>
      <c r="C2136" s="831">
        <v>1.0417700960698328</v>
      </c>
      <c r="D2136" s="831">
        <v>1.0092459589033065</v>
      </c>
      <c r="E2136" s="831">
        <v>1.0182387056496873</v>
      </c>
      <c r="F2136" s="831">
        <v>1.0114214321079049</v>
      </c>
      <c r="G2136" s="831">
        <v>1.0254716528644059</v>
      </c>
      <c r="H2136" s="831">
        <v>1.0105229867211507</v>
      </c>
      <c r="I2136" s="831">
        <v>0.98895857556465816</v>
      </c>
      <c r="K2136">
        <v>1.7158523769623863</v>
      </c>
      <c r="L2136">
        <v>0</v>
      </c>
      <c r="M2136">
        <v>1.2879005730103423E-3</v>
      </c>
      <c r="N2136">
        <v>0.13731237776495167</v>
      </c>
      <c r="O2136">
        <v>1.7049837585590602E-2</v>
      </c>
      <c r="P2136">
        <v>1.9882825709742803E-2</v>
      </c>
      <c r="Q2136">
        <v>2.1064242073944319E-3</v>
      </c>
      <c r="R2136">
        <v>1.2800460155187141E-3</v>
      </c>
      <c r="S2136">
        <v>0.14515554995684102</v>
      </c>
      <c r="T2136">
        <v>1.0697498871837208</v>
      </c>
      <c r="U2136">
        <v>2.238740388718145E-2</v>
      </c>
      <c r="V2136">
        <v>0.20105138148199692</v>
      </c>
      <c r="W2136">
        <v>8.1066260290341641E-2</v>
      </c>
      <c r="X2136">
        <v>1.6614420164930123E-2</v>
      </c>
      <c r="Y2136">
        <v>3.4838632871863296E-3</v>
      </c>
    </row>
    <row r="2137" spans="1:25" x14ac:dyDescent="0.25">
      <c r="A2137" s="827"/>
      <c r="B2137" s="1066">
        <v>1887</v>
      </c>
      <c r="C2137" s="831">
        <v>0.99532613978692663</v>
      </c>
      <c r="D2137" s="831">
        <v>0.9967946041751311</v>
      </c>
      <c r="E2137" s="831">
        <v>1.0235162942677336</v>
      </c>
      <c r="F2137" s="831">
        <v>1.0097285031424079</v>
      </c>
      <c r="G2137" s="831">
        <v>1.0164701260047591</v>
      </c>
      <c r="H2137" s="831">
        <v>1.0313905283292666</v>
      </c>
      <c r="I2137" s="831">
        <v>1.0012046124876677</v>
      </c>
      <c r="K2137">
        <v>1.7529906856307902</v>
      </c>
      <c r="L2137">
        <v>0</v>
      </c>
      <c r="M2137">
        <v>1.3682391977366815E-3</v>
      </c>
      <c r="N2137">
        <v>0.1483083728644092</v>
      </c>
      <c r="O2137">
        <v>1.7946011833302338E-2</v>
      </c>
      <c r="P2137">
        <v>2.02024283719234E-2</v>
      </c>
      <c r="Q2137">
        <v>2.2265364467972644E-3</v>
      </c>
      <c r="R2137">
        <v>1.3600717577455523E-3</v>
      </c>
      <c r="S2137">
        <v>0.15611397780036124</v>
      </c>
      <c r="T2137">
        <v>1.0692857301830516</v>
      </c>
      <c r="U2137">
        <v>2.3432046005840781E-2</v>
      </c>
      <c r="V2137">
        <v>0.20698099967623909</v>
      </c>
      <c r="W2137">
        <v>8.7246989804230318E-2</v>
      </c>
      <c r="X2137">
        <v>1.7554093107576593E-2</v>
      </c>
      <c r="Y2137">
        <v>3.7016669770489488E-3</v>
      </c>
    </row>
    <row r="2138" spans="1:25" x14ac:dyDescent="0.25">
      <c r="A2138" s="827"/>
      <c r="B2138" s="1066">
        <v>1888</v>
      </c>
      <c r="C2138" s="831">
        <v>0.99244524429890757</v>
      </c>
      <c r="D2138" s="831">
        <v>0.99671681401800316</v>
      </c>
      <c r="E2138" s="831">
        <v>0.99169113622143301</v>
      </c>
      <c r="F2138" s="831">
        <v>1.0111117109358434</v>
      </c>
      <c r="G2138" s="831">
        <v>0.97000171544078739</v>
      </c>
      <c r="H2138" s="831">
        <v>1.0338671777357202</v>
      </c>
      <c r="I2138" s="831">
        <v>1.0030986975181733</v>
      </c>
      <c r="K2138">
        <v>1.7514689285454266</v>
      </c>
      <c r="L2138">
        <v>0</v>
      </c>
      <c r="M2138">
        <v>1.4710206987505509E-3</v>
      </c>
      <c r="N2138">
        <v>0.14442842755870089</v>
      </c>
      <c r="O2138">
        <v>1.799874248046484E-2</v>
      </c>
      <c r="P2138">
        <v>1.9787572643197145E-2</v>
      </c>
      <c r="Q2138">
        <v>2.1630481256996632E-3</v>
      </c>
      <c r="R2138">
        <v>1.4622608152038709E-3</v>
      </c>
      <c r="S2138">
        <v>0.15704840206414308</v>
      </c>
      <c r="T2138">
        <v>1.0721006889860063</v>
      </c>
      <c r="U2138">
        <v>2.3500065149467193E-2</v>
      </c>
      <c r="V2138">
        <v>0.20730712210854119</v>
      </c>
      <c r="W2138">
        <v>8.682502937348241E-2</v>
      </c>
      <c r="X2138">
        <v>1.6338798034431355E-2</v>
      </c>
      <c r="Y2138">
        <v>3.979791904836754E-3</v>
      </c>
    </row>
    <row r="2139" spans="1:25" x14ac:dyDescent="0.25">
      <c r="A2139" s="827"/>
      <c r="B2139" s="1066">
        <v>1889</v>
      </c>
      <c r="C2139" s="831">
        <v>1.0254952600793075</v>
      </c>
      <c r="D2139" s="831">
        <v>0.9884744874521384</v>
      </c>
      <c r="E2139" s="831">
        <v>1.0109933471388508</v>
      </c>
      <c r="F2139" s="831">
        <v>1.0257288685391297</v>
      </c>
      <c r="G2139" s="831">
        <v>0.97385862981565707</v>
      </c>
      <c r="H2139" s="831">
        <v>0.97959273396271829</v>
      </c>
      <c r="I2139" s="831">
        <v>1.0083928176232424</v>
      </c>
      <c r="K2139">
        <v>1.7224992522718678</v>
      </c>
      <c r="L2139">
        <v>0</v>
      </c>
      <c r="M2139">
        <v>1.3000148885504716E-3</v>
      </c>
      <c r="N2139">
        <v>0.13549313407630489</v>
      </c>
      <c r="O2139">
        <v>1.7484371734921494E-2</v>
      </c>
      <c r="P2139">
        <v>1.989814141569652E-2</v>
      </c>
      <c r="Q2139">
        <v>2.1409046440498979E-3</v>
      </c>
      <c r="R2139">
        <v>1.2918499653340914E-3</v>
      </c>
      <c r="S2139">
        <v>0.14946661833019342</v>
      </c>
      <c r="T2139">
        <v>1.0703888248540983</v>
      </c>
      <c r="U2139">
        <v>2.2742696925288072E-2</v>
      </c>
      <c r="V2139">
        <v>0.20455148155107081</v>
      </c>
      <c r="W2139">
        <v>8.0385732072514329E-2</v>
      </c>
      <c r="X2139">
        <v>1.6439521843534657E-2</v>
      </c>
      <c r="Y2139">
        <v>3.5159897474127755E-3</v>
      </c>
    </row>
    <row r="2140" spans="1:25" x14ac:dyDescent="0.25">
      <c r="A2140" s="827"/>
      <c r="B2140" s="1066">
        <v>1890</v>
      </c>
      <c r="C2140" s="831">
        <v>1.0114784235366776</v>
      </c>
      <c r="D2140" s="831">
        <v>0.98987055104989952</v>
      </c>
      <c r="E2140" s="831">
        <v>1.0115082279881991</v>
      </c>
      <c r="F2140" s="831">
        <v>1.0022220220737204</v>
      </c>
      <c r="G2140" s="831">
        <v>1.0335724561453166</v>
      </c>
      <c r="H2140" s="831">
        <v>1.0218957863055733</v>
      </c>
      <c r="I2140" s="831">
        <v>1.0421078659769627</v>
      </c>
      <c r="K2140">
        <v>1.747824442438848</v>
      </c>
      <c r="L2140">
        <v>0</v>
      </c>
      <c r="M2140">
        <v>1.3725779147708459E-3</v>
      </c>
      <c r="N2140">
        <v>0.14332249998940713</v>
      </c>
      <c r="O2140">
        <v>1.771532274433376E-2</v>
      </c>
      <c r="P2140">
        <v>2.0068094837067965E-2</v>
      </c>
      <c r="Q2140">
        <v>2.1705523865100853E-3</v>
      </c>
      <c r="R2140">
        <v>1.3643131602871404E-3</v>
      </c>
      <c r="S2140">
        <v>0.15965592066819692</v>
      </c>
      <c r="T2140">
        <v>1.0703433541123148</v>
      </c>
      <c r="U2140">
        <v>2.3057860015199275E-2</v>
      </c>
      <c r="V2140">
        <v>0.20588936196942098</v>
      </c>
      <c r="W2140">
        <v>8.5001042088882331E-2</v>
      </c>
      <c r="X2140">
        <v>1.6895487705409298E-2</v>
      </c>
      <c r="Y2140">
        <v>3.7132106765891799E-3</v>
      </c>
    </row>
    <row r="2141" spans="1:25" x14ac:dyDescent="0.25">
      <c r="A2141" s="827"/>
      <c r="B2141" s="1066">
        <v>1891</v>
      </c>
      <c r="C2141" s="831">
        <v>1.0112361200769246</v>
      </c>
      <c r="D2141" s="831">
        <v>1.0097843016940546</v>
      </c>
      <c r="E2141" s="831">
        <v>0.99486538646649258</v>
      </c>
      <c r="F2141" s="831">
        <v>1.0091870219279822</v>
      </c>
      <c r="G2141" s="831">
        <v>1.013722757411794</v>
      </c>
      <c r="H2141" s="831">
        <v>0.97353734834250905</v>
      </c>
      <c r="I2141" s="831">
        <v>1.0411484607854626</v>
      </c>
      <c r="K2141">
        <v>1.7254651089397985</v>
      </c>
      <c r="L2141">
        <v>0</v>
      </c>
      <c r="M2141">
        <v>1.3424619772953767E-3</v>
      </c>
      <c r="N2141">
        <v>0.13306464965435164</v>
      </c>
      <c r="O2141">
        <v>1.7560414857212055E-2</v>
      </c>
      <c r="P2141">
        <v>1.9749128461443312E-2</v>
      </c>
      <c r="Q2141">
        <v>2.1193982441830299E-3</v>
      </c>
      <c r="R2141">
        <v>1.3339632531522492E-3</v>
      </c>
      <c r="S2141">
        <v>0.15467357507124016</v>
      </c>
      <c r="T2141">
        <v>1.0718182068329045</v>
      </c>
      <c r="U2141">
        <v>2.3063384935784366E-2</v>
      </c>
      <c r="V2141">
        <v>0.20410033369211569</v>
      </c>
      <c r="W2141">
        <v>7.9819176348189955E-2</v>
      </c>
      <c r="X2141">
        <v>1.5874731332304489E-2</v>
      </c>
      <c r="Y2141">
        <v>3.6306082342122035E-3</v>
      </c>
    </row>
    <row r="2142" spans="1:25" x14ac:dyDescent="0.25">
      <c r="A2142" s="827"/>
      <c r="B2142" s="1066">
        <v>1892</v>
      </c>
      <c r="C2142" s="831">
        <v>0.9651297681317319</v>
      </c>
      <c r="D2142" s="831">
        <v>1.0288907186489578</v>
      </c>
      <c r="E2142" s="831">
        <v>1.0072283342485688</v>
      </c>
      <c r="F2142" s="831">
        <v>1.0065839883694749</v>
      </c>
      <c r="G2142" s="831">
        <v>0.99235889899767882</v>
      </c>
      <c r="H2142" s="831">
        <v>1.0145154821959985</v>
      </c>
      <c r="I2142" s="831">
        <v>1.0015485609208385</v>
      </c>
      <c r="K2142">
        <v>1.7539702922135418</v>
      </c>
      <c r="L2142">
        <v>0</v>
      </c>
      <c r="M2142">
        <v>1.4160902714787829E-3</v>
      </c>
      <c r="N2142">
        <v>0.1459022971729258</v>
      </c>
      <c r="O2142">
        <v>1.8244101603355573E-2</v>
      </c>
      <c r="P2142">
        <v>2.0018878454422896E-2</v>
      </c>
      <c r="Q2142">
        <v>2.2328250653548881E-3</v>
      </c>
      <c r="R2142">
        <v>1.4074745212110981E-3</v>
      </c>
      <c r="S2142">
        <v>0.15770788613029774</v>
      </c>
      <c r="T2142">
        <v>1.0707216296261617</v>
      </c>
      <c r="U2142">
        <v>2.4165173086983113E-2</v>
      </c>
      <c r="V2142">
        <v>0.20739041508322412</v>
      </c>
      <c r="W2142">
        <v>8.6783177194117045E-2</v>
      </c>
      <c r="X2142">
        <v>1.6981842874080496E-2</v>
      </c>
      <c r="Y2142">
        <v>3.8306816728853883E-3</v>
      </c>
    </row>
    <row r="2143" spans="1:25" x14ac:dyDescent="0.25">
      <c r="A2143" s="827"/>
      <c r="B2143" s="1066">
        <v>1893</v>
      </c>
      <c r="C2143" s="831">
        <v>0.99497554719436299</v>
      </c>
      <c r="D2143" s="831">
        <v>1.021262790059581</v>
      </c>
      <c r="E2143" s="831">
        <v>0.99444095056763604</v>
      </c>
      <c r="F2143" s="831">
        <v>1.0228708484859514</v>
      </c>
      <c r="G2143" s="831">
        <v>1.0089701134789633</v>
      </c>
      <c r="H2143" s="831">
        <v>1.0167902072932165</v>
      </c>
      <c r="I2143" s="831">
        <v>0.97216398975793206</v>
      </c>
      <c r="K2143">
        <v>1.73360224909334</v>
      </c>
      <c r="L2143">
        <v>0</v>
      </c>
      <c r="M2143">
        <v>1.4190303563777313E-3</v>
      </c>
      <c r="N2143">
        <v>0.14050570308271509</v>
      </c>
      <c r="O2143">
        <v>1.7756419664923258E-2</v>
      </c>
      <c r="P2143">
        <v>1.968228671392435E-2</v>
      </c>
      <c r="Q2143">
        <v>2.1441071206925173E-3</v>
      </c>
      <c r="R2143">
        <v>1.4104211852476887E-3</v>
      </c>
      <c r="S2143">
        <v>0.14910540959759672</v>
      </c>
      <c r="T2143">
        <v>1.0718559561391929</v>
      </c>
      <c r="U2143">
        <v>2.3440302592428686E-2</v>
      </c>
      <c r="V2143">
        <v>0.20479831665163631</v>
      </c>
      <c r="W2143">
        <v>8.4307283897528174E-2</v>
      </c>
      <c r="X2143">
        <v>1.6176371282805555E-2</v>
      </c>
      <c r="Y2143">
        <v>3.8387015210254475E-3</v>
      </c>
    </row>
    <row r="2144" spans="1:25" x14ac:dyDescent="0.25">
      <c r="A2144" s="827"/>
      <c r="B2144" s="1066">
        <v>1894</v>
      </c>
      <c r="C2144" s="831">
        <v>0.96110436880968586</v>
      </c>
      <c r="D2144" s="831">
        <v>0.97317536627486889</v>
      </c>
      <c r="E2144" s="831">
        <v>0.990980276744577</v>
      </c>
      <c r="F2144" s="831">
        <v>1.0089564672146121</v>
      </c>
      <c r="G2144" s="831">
        <v>1.0160120785145659</v>
      </c>
      <c r="H2144" s="831">
        <v>1.0018302669993744</v>
      </c>
      <c r="I2144" s="831">
        <v>0.98937787875270333</v>
      </c>
      <c r="K2144">
        <v>1.764044766460054</v>
      </c>
      <c r="L2144">
        <v>0</v>
      </c>
      <c r="M2144">
        <v>1.49018003178997E-3</v>
      </c>
      <c r="N2144">
        <v>0.14595991871522701</v>
      </c>
      <c r="O2144">
        <v>1.8788353529030681E-2</v>
      </c>
      <c r="P2144">
        <v>1.9896269921931862E-2</v>
      </c>
      <c r="Q2144">
        <v>2.2518687823533242E-3</v>
      </c>
      <c r="R2144">
        <v>1.4810402396867237E-3</v>
      </c>
      <c r="S2144">
        <v>0.15915485854377073</v>
      </c>
      <c r="T2144">
        <v>1.0721640016672298</v>
      </c>
      <c r="U2144">
        <v>2.426638422962098E-2</v>
      </c>
      <c r="V2144">
        <v>0.21316963149526924</v>
      </c>
      <c r="W2144">
        <v>8.7788654465034435E-2</v>
      </c>
      <c r="X2144">
        <v>1.6583061595044503E-2</v>
      </c>
      <c r="Y2144">
        <v>4.0309033076434625E-3</v>
      </c>
    </row>
    <row r="2145" spans="1:25" x14ac:dyDescent="0.25">
      <c r="A2145" s="827"/>
      <c r="B2145" s="1066">
        <v>1895</v>
      </c>
      <c r="C2145" s="831">
        <v>1.0214274068011564</v>
      </c>
      <c r="D2145" s="831">
        <v>1.0134366619409567</v>
      </c>
      <c r="E2145" s="831">
        <v>1.0006864958144395</v>
      </c>
      <c r="F2145" s="831">
        <v>1.0048466648191059</v>
      </c>
      <c r="G2145" s="831">
        <v>1.0402322679262868</v>
      </c>
      <c r="H2145" s="831">
        <v>0.97829713421645614</v>
      </c>
      <c r="I2145" s="831">
        <v>1.0312554292779557</v>
      </c>
      <c r="K2145">
        <v>1.7198003114682021</v>
      </c>
      <c r="L2145">
        <v>0</v>
      </c>
      <c r="M2145">
        <v>1.3171481018646946E-3</v>
      </c>
      <c r="N2145">
        <v>0.13294572857882866</v>
      </c>
      <c r="O2145">
        <v>1.735683581543588E-2</v>
      </c>
      <c r="P2145">
        <v>1.9766959305644895E-2</v>
      </c>
      <c r="Q2145">
        <v>2.1077563259709079E-3</v>
      </c>
      <c r="R2145">
        <v>1.3088477759826945E-3</v>
      </c>
      <c r="S2145">
        <v>0.15179155958071541</v>
      </c>
      <c r="T2145">
        <v>1.071301163305679</v>
      </c>
      <c r="U2145">
        <v>2.2833270130613828E-2</v>
      </c>
      <c r="V2145">
        <v>0.2027254302727719</v>
      </c>
      <c r="W2145">
        <v>7.9430341869572804E-2</v>
      </c>
      <c r="X2145">
        <v>1.5987314424177425E-2</v>
      </c>
      <c r="Y2145">
        <v>3.5622521846714996E-3</v>
      </c>
    </row>
    <row r="2146" spans="1:25" x14ac:dyDescent="0.25">
      <c r="A2146" s="827"/>
      <c r="B2146" s="1066">
        <v>1896</v>
      </c>
      <c r="C2146" s="831">
        <v>1.0105064099079146</v>
      </c>
      <c r="D2146" s="831">
        <v>1.0068292233683285</v>
      </c>
      <c r="E2146" s="831">
        <v>1.0077005988792618</v>
      </c>
      <c r="F2146" s="831">
        <v>0.97179320890616672</v>
      </c>
      <c r="G2146" s="831">
        <v>0.99910370801873472</v>
      </c>
      <c r="H2146" s="831">
        <v>1.0051133473916873</v>
      </c>
      <c r="I2146" s="831">
        <v>0.95750267356636365</v>
      </c>
      <c r="K2146">
        <v>1.7249714382745167</v>
      </c>
      <c r="L2146">
        <v>0</v>
      </c>
      <c r="M2146">
        <v>1.3517983839798579E-3</v>
      </c>
      <c r="N2146">
        <v>0.13947638312442487</v>
      </c>
      <c r="O2146">
        <v>1.7596417038253605E-2</v>
      </c>
      <c r="P2146">
        <v>1.9790940017916502E-2</v>
      </c>
      <c r="Q2146">
        <v>2.1507866939845426E-3</v>
      </c>
      <c r="R2146">
        <v>1.3435113713231531E-3</v>
      </c>
      <c r="S2146">
        <v>0.1446640139427067</v>
      </c>
      <c r="T2146">
        <v>1.0706798548423984</v>
      </c>
      <c r="U2146">
        <v>2.3080039542182119E-2</v>
      </c>
      <c r="V2146">
        <v>0.20444434524619054</v>
      </c>
      <c r="W2146">
        <v>8.2934357148941679E-2</v>
      </c>
      <c r="X2146">
        <v>1.6505992625836748E-2</v>
      </c>
      <c r="Y2146">
        <v>3.656595064337095E-3</v>
      </c>
    </row>
    <row r="2147" spans="1:25" x14ac:dyDescent="0.25">
      <c r="A2147" s="827"/>
      <c r="B2147" s="1066">
        <v>1897</v>
      </c>
      <c r="C2147" s="831">
        <v>1.0107194050630122</v>
      </c>
      <c r="D2147" s="831">
        <v>0.97165599367028155</v>
      </c>
      <c r="E2147" s="831">
        <v>0.98745512246399891</v>
      </c>
      <c r="F2147" s="831">
        <v>1.0266971772581979</v>
      </c>
      <c r="G2147" s="831">
        <v>0.97458795043971858</v>
      </c>
      <c r="H2147" s="831">
        <v>0.9942201164709028</v>
      </c>
      <c r="I2147" s="831">
        <v>0.99451890775308882</v>
      </c>
      <c r="K2147">
        <v>1.734448510451577</v>
      </c>
      <c r="L2147">
        <v>0</v>
      </c>
      <c r="M2147">
        <v>1.4177308710535141E-3</v>
      </c>
      <c r="N2147">
        <v>0.13734148052161907</v>
      </c>
      <c r="O2147">
        <v>1.7878746208919834E-2</v>
      </c>
      <c r="P2147">
        <v>1.9656583561247592E-2</v>
      </c>
      <c r="Q2147">
        <v>2.1349457874289125E-3</v>
      </c>
      <c r="R2147">
        <v>1.4089700085003021E-3</v>
      </c>
      <c r="S2147">
        <v>0.15168298509526981</v>
      </c>
      <c r="T2147">
        <v>1.0724782506474426</v>
      </c>
      <c r="U2147">
        <v>2.3075175742617905E-2</v>
      </c>
      <c r="V2147">
        <v>0.20769479326038867</v>
      </c>
      <c r="W2147">
        <v>8.2806032250098346E-2</v>
      </c>
      <c r="X2147">
        <v>1.5873526342795118E-2</v>
      </c>
      <c r="Y2147">
        <v>3.8347518962993494E-3</v>
      </c>
    </row>
    <row r="2148" spans="1:25" x14ac:dyDescent="0.25">
      <c r="A2148" s="827"/>
      <c r="B2148" s="1066">
        <v>1898</v>
      </c>
      <c r="C2148" s="831">
        <v>0.97026438480111854</v>
      </c>
      <c r="D2148" s="831">
        <v>1.0030793419566777</v>
      </c>
      <c r="E2148" s="831">
        <v>0.98615816869931006</v>
      </c>
      <c r="F2148" s="831">
        <v>1.0021041045748951</v>
      </c>
      <c r="G2148" s="831">
        <v>1.0061170021261356</v>
      </c>
      <c r="H2148" s="831">
        <v>1.0273614146629106</v>
      </c>
      <c r="I2148" s="831">
        <v>1.007081512890337</v>
      </c>
      <c r="K2148">
        <v>1.7602897629073306</v>
      </c>
      <c r="L2148">
        <v>0</v>
      </c>
      <c r="M2148">
        <v>1.5083254081907449E-3</v>
      </c>
      <c r="N2148">
        <v>0.14555568409894726</v>
      </c>
      <c r="O2148">
        <v>1.8357217063586066E-2</v>
      </c>
      <c r="P2148">
        <v>1.9789338234621486E-2</v>
      </c>
      <c r="Q2148">
        <v>2.1949627196652215E-3</v>
      </c>
      <c r="R2148">
        <v>1.4992818103392732E-3</v>
      </c>
      <c r="S2148">
        <v>0.16036627868867903</v>
      </c>
      <c r="T2148">
        <v>1.0725939849843509</v>
      </c>
      <c r="U2148">
        <v>2.4037291550265214E-2</v>
      </c>
      <c r="V2148">
        <v>0.20918708571261715</v>
      </c>
      <c r="W2148">
        <v>8.7837183029851079E-2</v>
      </c>
      <c r="X2148">
        <v>1.6299229572969667E-2</v>
      </c>
      <c r="Y2148">
        <v>4.0805508496275528E-3</v>
      </c>
    </row>
    <row r="2149" spans="1:25" x14ac:dyDescent="0.25">
      <c r="A2149" s="827"/>
      <c r="B2149" s="1066">
        <v>1899</v>
      </c>
      <c r="C2149" s="831">
        <v>1.01216721619546</v>
      </c>
      <c r="D2149" s="831">
        <v>0.96824865507992364</v>
      </c>
      <c r="E2149" s="831">
        <v>0.99104830272436306</v>
      </c>
      <c r="F2149" s="831">
        <v>1.0098037986311412</v>
      </c>
      <c r="G2149" s="831">
        <v>1.000129093181896</v>
      </c>
      <c r="H2149" s="831">
        <v>1.0332574785620929</v>
      </c>
      <c r="I2149" s="831">
        <v>1.0209699647558486</v>
      </c>
      <c r="K2149">
        <v>1.7511915207933582</v>
      </c>
      <c r="L2149">
        <v>0</v>
      </c>
      <c r="M2149">
        <v>1.4625479802683236E-3</v>
      </c>
      <c r="N2149">
        <v>0.14331101450318778</v>
      </c>
      <c r="O2149">
        <v>1.7881706159714201E-2</v>
      </c>
      <c r="P2149">
        <v>1.9801116383049249E-2</v>
      </c>
      <c r="Q2149">
        <v>2.1424445922254153E-3</v>
      </c>
      <c r="R2149">
        <v>1.4538541559031906E-3</v>
      </c>
      <c r="S2149">
        <v>0.158590625880623</v>
      </c>
      <c r="T2149">
        <v>1.072157942111359</v>
      </c>
      <c r="U2149">
        <v>2.3042168848313487E-2</v>
      </c>
      <c r="V2149">
        <v>0.20787015158927569</v>
      </c>
      <c r="W2149">
        <v>8.6191414508622999E-2</v>
      </c>
      <c r="X2149">
        <v>1.6254718291874814E-2</v>
      </c>
      <c r="Y2149">
        <v>3.9569117494747969E-3</v>
      </c>
    </row>
    <row r="2150" spans="1:25" x14ac:dyDescent="0.25">
      <c r="A2150" s="827"/>
      <c r="B2150" s="1066">
        <v>1900</v>
      </c>
      <c r="C2150" s="831">
        <v>1.0046628669732918</v>
      </c>
      <c r="D2150" s="831">
        <v>1.0186964273512911</v>
      </c>
      <c r="E2150" s="831">
        <v>0.96821611695896526</v>
      </c>
      <c r="F2150" s="831">
        <v>1.0223903714441753</v>
      </c>
      <c r="G2150" s="831">
        <v>1.011483631033437</v>
      </c>
      <c r="H2150" s="831">
        <v>0.98841697105195281</v>
      </c>
      <c r="I2150" s="831">
        <v>1.0371533910236761</v>
      </c>
      <c r="K2150">
        <v>1.72740683052091</v>
      </c>
      <c r="L2150">
        <v>0</v>
      </c>
      <c r="M2150">
        <v>1.4451091724459715E-3</v>
      </c>
      <c r="N2150">
        <v>0.13183930605994096</v>
      </c>
      <c r="O2150">
        <v>1.7605212625916404E-2</v>
      </c>
      <c r="P2150">
        <v>1.9398685938982901E-2</v>
      </c>
      <c r="Q2150">
        <v>2.0695506399783102E-3</v>
      </c>
      <c r="R2150">
        <v>1.4360919375190557E-3</v>
      </c>
      <c r="S2150">
        <v>0.15561852071403626</v>
      </c>
      <c r="T2150">
        <v>1.074201539042301</v>
      </c>
      <c r="U2150">
        <v>2.3214282785792618E-2</v>
      </c>
      <c r="V2150">
        <v>0.20399676665512348</v>
      </c>
      <c r="W2150">
        <v>8.0558573393542457E-2</v>
      </c>
      <c r="X2150">
        <v>1.5004841053876259E-2</v>
      </c>
      <c r="Y2150">
        <v>3.9085688463468965E-3</v>
      </c>
    </row>
    <row r="2151" spans="1:25" x14ac:dyDescent="0.25">
      <c r="A2151" s="827"/>
      <c r="B2151" s="1066">
        <v>1901</v>
      </c>
      <c r="C2151" s="831">
        <v>0.98007309892995675</v>
      </c>
      <c r="D2151" s="831">
        <v>1.0006134264061908</v>
      </c>
      <c r="E2151" s="831">
        <v>0.98729121094128669</v>
      </c>
      <c r="F2151" s="831">
        <v>1.0060875959717051</v>
      </c>
      <c r="G2151" s="831">
        <v>0.9880621153914847</v>
      </c>
      <c r="H2151" s="831">
        <v>1.0022872457201499</v>
      </c>
      <c r="I2151" s="831">
        <v>1.0257897478689093</v>
      </c>
      <c r="K2151">
        <v>1.7506221225919001</v>
      </c>
      <c r="L2151">
        <v>0</v>
      </c>
      <c r="M2151">
        <v>1.4549398916705945E-3</v>
      </c>
      <c r="N2151">
        <v>0.14087910231954043</v>
      </c>
      <c r="O2151">
        <v>1.8193764159830761E-2</v>
      </c>
      <c r="P2151">
        <v>1.9784784374013868E-2</v>
      </c>
      <c r="Q2151">
        <v>2.1774771344665739E-3</v>
      </c>
      <c r="R2151">
        <v>1.4459999374872501E-3</v>
      </c>
      <c r="S2151">
        <v>0.15999261733725192</v>
      </c>
      <c r="T2151">
        <v>1.0724928738816455</v>
      </c>
      <c r="U2151">
        <v>2.3796722840129701E-2</v>
      </c>
      <c r="V2151">
        <v>0.20831222157347198</v>
      </c>
      <c r="W2151">
        <v>8.4948549314779423E-2</v>
      </c>
      <c r="X2151">
        <v>1.611741445486202E-2</v>
      </c>
      <c r="Y2151">
        <v>3.9355351560890111E-3</v>
      </c>
    </row>
    <row r="2152" spans="1:25" x14ac:dyDescent="0.25">
      <c r="A2152" s="827"/>
      <c r="B2152" s="1066">
        <v>1902</v>
      </c>
      <c r="C2152" s="831">
        <v>1.0039080206335349</v>
      </c>
      <c r="D2152" s="831">
        <v>0.95047685464985365</v>
      </c>
      <c r="E2152" s="831">
        <v>0.99808294213973514</v>
      </c>
      <c r="F2152" s="831">
        <v>1.0044535385413531</v>
      </c>
      <c r="G2152" s="831">
        <v>0.98934443284542684</v>
      </c>
      <c r="H2152" s="831">
        <v>1.0040913670974079</v>
      </c>
      <c r="I2152" s="831">
        <v>1.0322170429077047</v>
      </c>
      <c r="K2152">
        <v>1.7546601507907136</v>
      </c>
      <c r="L2152">
        <v>0</v>
      </c>
      <c r="M2152">
        <v>1.4238454142764701E-3</v>
      </c>
      <c r="N2152">
        <v>0.14258359680702715</v>
      </c>
      <c r="O2152">
        <v>1.8181493092680707E-2</v>
      </c>
      <c r="P2152">
        <v>1.9965124023596115E-2</v>
      </c>
      <c r="Q2152">
        <v>2.1904643865456198E-3</v>
      </c>
      <c r="R2152">
        <v>1.4151492274672402E-3</v>
      </c>
      <c r="S2152">
        <v>0.16070977296451289</v>
      </c>
      <c r="T2152">
        <v>1.0715322585546905</v>
      </c>
      <c r="U2152">
        <v>2.3231737787676069E-2</v>
      </c>
      <c r="V2152">
        <v>0.21053545418735298</v>
      </c>
      <c r="W2152">
        <v>8.534058574894772E-2</v>
      </c>
      <c r="X2152">
        <v>1.6546789731143596E-2</v>
      </c>
      <c r="Y2152">
        <v>3.8515696933483683E-3</v>
      </c>
    </row>
    <row r="2153" spans="1:25" x14ac:dyDescent="0.25">
      <c r="A2153" s="827"/>
      <c r="B2153" s="1066">
        <v>1903</v>
      </c>
      <c r="C2153" s="831">
        <v>0.99578132855219548</v>
      </c>
      <c r="D2153" s="831">
        <v>0.9824647227592489</v>
      </c>
      <c r="E2153" s="831">
        <v>1.0197254105102669</v>
      </c>
      <c r="F2153" s="831">
        <v>1.0198095548694333</v>
      </c>
      <c r="G2153" s="831">
        <v>0.9951575344977649</v>
      </c>
      <c r="H2153" s="831">
        <v>1.0238991756392031</v>
      </c>
      <c r="I2153" s="831">
        <v>1.0052302144846907</v>
      </c>
      <c r="K2153">
        <v>1.7546148661101022</v>
      </c>
      <c r="L2153">
        <v>0</v>
      </c>
      <c r="M2153">
        <v>1.3776058076363843E-3</v>
      </c>
      <c r="N2153">
        <v>0.14757025280025818</v>
      </c>
      <c r="O2153">
        <v>1.8055996549522047E-2</v>
      </c>
      <c r="P2153">
        <v>2.0182213954669782E-2</v>
      </c>
      <c r="Q2153">
        <v>2.2291007127574827E-3</v>
      </c>
      <c r="R2153">
        <v>1.369332109857425E-3</v>
      </c>
      <c r="S2153">
        <v>0.15706986022224378</v>
      </c>
      <c r="T2153">
        <v>1.0696190266813623</v>
      </c>
      <c r="U2153">
        <v>2.3421334814755682E-2</v>
      </c>
      <c r="V2153">
        <v>0.20828602578753111</v>
      </c>
      <c r="W2153">
        <v>8.7034869369521026E-2</v>
      </c>
      <c r="X2153">
        <v>1.7427588312434648E-2</v>
      </c>
      <c r="Y2153">
        <v>3.7268706028232134E-3</v>
      </c>
    </row>
    <row r="2154" spans="1:25" x14ac:dyDescent="0.25">
      <c r="A2154" s="827"/>
      <c r="B2154" s="1066">
        <v>1904</v>
      </c>
      <c r="C2154" s="831">
        <v>0.99114307540905477</v>
      </c>
      <c r="D2154" s="831">
        <v>0.96954697149339553</v>
      </c>
      <c r="E2154" s="831">
        <v>0.96486322806668368</v>
      </c>
      <c r="F2154" s="831">
        <v>1.0045946119504743</v>
      </c>
      <c r="G2154" s="831">
        <v>1.0159098611122968</v>
      </c>
      <c r="H2154" s="831">
        <v>0.98799122665407291</v>
      </c>
      <c r="I2154" s="831">
        <v>0.97725968628182813</v>
      </c>
      <c r="K2154">
        <v>1.7383181152771374</v>
      </c>
      <c r="L2154">
        <v>0</v>
      </c>
      <c r="M2154">
        <v>1.507898092154344E-3</v>
      </c>
      <c r="N2154">
        <v>0.13613964034108206</v>
      </c>
      <c r="O2154">
        <v>1.8249891135682452E-2</v>
      </c>
      <c r="P2154">
        <v>1.9385161366525717E-2</v>
      </c>
      <c r="Q2154">
        <v>2.1293037212203507E-3</v>
      </c>
      <c r="R2154">
        <v>1.498522981268623E-3</v>
      </c>
      <c r="S2154">
        <v>0.1516850789706769</v>
      </c>
      <c r="T2154">
        <v>1.0745032868114317</v>
      </c>
      <c r="U2154">
        <v>2.3530939656393923E-2</v>
      </c>
      <c r="V2154">
        <v>0.210054825401775</v>
      </c>
      <c r="W2154">
        <v>8.338183942811439E-2</v>
      </c>
      <c r="X2154">
        <v>1.5189037988075922E-2</v>
      </c>
      <c r="Y2154">
        <v>4.0784855670451797E-3</v>
      </c>
    </row>
    <row r="2155" spans="1:25" x14ac:dyDescent="0.25">
      <c r="A2155" s="827"/>
      <c r="B2155" s="1066">
        <v>1905</v>
      </c>
      <c r="C2155" s="831">
        <v>0.99846225080044548</v>
      </c>
      <c r="D2155" s="831">
        <v>0.99992566535519578</v>
      </c>
      <c r="E2155" s="831">
        <v>0.99528865998607741</v>
      </c>
      <c r="F2155" s="831">
        <v>1.0445735027165051</v>
      </c>
      <c r="G2155" s="831">
        <v>1.0108479807071029</v>
      </c>
      <c r="H2155" s="831">
        <v>0.99358075374812216</v>
      </c>
      <c r="I2155" s="831">
        <v>1.0050112598978358</v>
      </c>
      <c r="K2155">
        <v>1.7356047625478381</v>
      </c>
      <c r="L2155">
        <v>0</v>
      </c>
      <c r="M2155">
        <v>1.3925584617732821E-3</v>
      </c>
      <c r="N2155">
        <v>0.13823060866123421</v>
      </c>
      <c r="O2155">
        <v>1.7864243726657757E-2</v>
      </c>
      <c r="P2155">
        <v>1.9770548516912279E-2</v>
      </c>
      <c r="Q2155">
        <v>2.1552583440572919E-3</v>
      </c>
      <c r="R2155">
        <v>1.3839273172619895E-3</v>
      </c>
      <c r="S2155">
        <v>0.15327961943696147</v>
      </c>
      <c r="T2155">
        <v>1.0717805676727521</v>
      </c>
      <c r="U2155">
        <v>2.3358447331990773E-2</v>
      </c>
      <c r="V2155">
        <v>0.20635101633907663</v>
      </c>
      <c r="W2155">
        <v>8.2893896255522195E-2</v>
      </c>
      <c r="X2155">
        <v>1.6162593461113772E-2</v>
      </c>
      <c r="Y2155">
        <v>3.7665939460696097E-3</v>
      </c>
    </row>
    <row r="2156" spans="1:25" x14ac:dyDescent="0.25">
      <c r="A2156" s="827"/>
      <c r="B2156" s="1066">
        <v>1906</v>
      </c>
      <c r="C2156" s="831">
        <v>1.0081188837039599</v>
      </c>
      <c r="D2156" s="831">
        <v>0.96312330576257565</v>
      </c>
      <c r="E2156" s="831">
        <v>0.99459266769203514</v>
      </c>
      <c r="F2156" s="831">
        <v>0.99711531099822848</v>
      </c>
      <c r="G2156" s="831">
        <v>1.0310619302517794</v>
      </c>
      <c r="H2156" s="831">
        <v>1.018457002560849</v>
      </c>
      <c r="I2156" s="831">
        <v>0.99414161108664967</v>
      </c>
      <c r="K2156">
        <v>1.7465753938945034</v>
      </c>
      <c r="L2156">
        <v>0</v>
      </c>
      <c r="M2156">
        <v>1.4401043924897584E-3</v>
      </c>
      <c r="N2156">
        <v>0.14266528787817023</v>
      </c>
      <c r="O2156">
        <v>1.7996907555379697E-2</v>
      </c>
      <c r="P2156">
        <v>1.9805593626050041E-2</v>
      </c>
      <c r="Q2156">
        <v>2.1630147878762183E-3</v>
      </c>
      <c r="R2156">
        <v>1.4314234020891368E-3</v>
      </c>
      <c r="S2156">
        <v>0.15432155595438846</v>
      </c>
      <c r="T2156">
        <v>1.0718424616462461</v>
      </c>
      <c r="U2156">
        <v>2.3134699959803523E-2</v>
      </c>
      <c r="V2156">
        <v>0.20880790535960062</v>
      </c>
      <c r="W2156">
        <v>8.5594173936111947E-2</v>
      </c>
      <c r="X2156">
        <v>1.6356611549388025E-2</v>
      </c>
      <c r="Y2156">
        <v>3.8958626318889495E-3</v>
      </c>
    </row>
    <row r="2157" spans="1:25" x14ac:dyDescent="0.25">
      <c r="A2157" s="827"/>
      <c r="B2157" s="1066">
        <v>1907</v>
      </c>
      <c r="C2157" s="831">
        <v>1.0087708583684232</v>
      </c>
      <c r="D2157" s="831">
        <v>0.99140715707698857</v>
      </c>
      <c r="E2157" s="831">
        <v>0.98606085300534818</v>
      </c>
      <c r="F2157" s="831">
        <v>0.995568933297026</v>
      </c>
      <c r="G2157" s="831">
        <v>1.0034385321058004</v>
      </c>
      <c r="H2157" s="831">
        <v>1.0358801231243386</v>
      </c>
      <c r="I2157" s="831">
        <v>0.98966244330769337</v>
      </c>
      <c r="K2157">
        <v>1.7416657388508043</v>
      </c>
      <c r="L2157">
        <v>0</v>
      </c>
      <c r="M2157">
        <v>1.4708499918925887E-3</v>
      </c>
      <c r="N2157">
        <v>0.14190408741993299</v>
      </c>
      <c r="O2157">
        <v>1.7750381334481768E-2</v>
      </c>
      <c r="P2157">
        <v>1.9632438914515171E-2</v>
      </c>
      <c r="Q2157">
        <v>2.1201563089616481E-3</v>
      </c>
      <c r="R2157">
        <v>1.4621119605814493E-3</v>
      </c>
      <c r="S2157">
        <v>0.15291864737880687</v>
      </c>
      <c r="T2157">
        <v>1.0726026715535095</v>
      </c>
      <c r="U2157">
        <v>2.3119747864272028E-2</v>
      </c>
      <c r="V2157">
        <v>0.20603433793741452</v>
      </c>
      <c r="W2157">
        <v>8.5639344729114414E-2</v>
      </c>
      <c r="X2157">
        <v>1.5973276669478377E-2</v>
      </c>
      <c r="Y2157">
        <v>3.9793867716244368E-3</v>
      </c>
    </row>
    <row r="2158" spans="1:25" x14ac:dyDescent="0.25">
      <c r="A2158" s="827"/>
      <c r="B2158" s="1066">
        <v>1908</v>
      </c>
      <c r="C2158" s="831">
        <v>0.96009074546262152</v>
      </c>
      <c r="D2158" s="831">
        <v>1.0270068259112271</v>
      </c>
      <c r="E2158" s="831">
        <v>0.98456791735747373</v>
      </c>
      <c r="F2158" s="831">
        <v>1.0044685533240862</v>
      </c>
      <c r="G2158" s="831">
        <v>1.0042176965322609</v>
      </c>
      <c r="H2158" s="831">
        <v>1.0242282861278822</v>
      </c>
      <c r="I2158" s="831">
        <v>1.0043211711422588</v>
      </c>
      <c r="K2158">
        <v>1.7579325994756649</v>
      </c>
      <c r="L2158">
        <v>0</v>
      </c>
      <c r="M2158">
        <v>1.5085969687007881E-3</v>
      </c>
      <c r="N2158">
        <v>0.14485828745519808</v>
      </c>
      <c r="O2158">
        <v>1.8355037188326682E-2</v>
      </c>
      <c r="P2158">
        <v>1.974925341663859E-2</v>
      </c>
      <c r="Q2158">
        <v>2.1953730844571149E-3</v>
      </c>
      <c r="R2158">
        <v>1.4995067692815519E-3</v>
      </c>
      <c r="S2158">
        <v>0.15981581976681664</v>
      </c>
      <c r="T2158">
        <v>1.0727359782653072</v>
      </c>
      <c r="U2158">
        <v>2.4292003655409837E-2</v>
      </c>
      <c r="V2158">
        <v>0.20813265016701274</v>
      </c>
      <c r="W2158">
        <v>8.7512482331354557E-2</v>
      </c>
      <c r="X2158">
        <v>1.6213641230852536E-2</v>
      </c>
      <c r="Y2158">
        <v>4.0811631137107401E-3</v>
      </c>
    </row>
    <row r="2159" spans="1:25" x14ac:dyDescent="0.25">
      <c r="A2159" s="827"/>
      <c r="B2159" s="1066">
        <v>1909</v>
      </c>
      <c r="C2159" s="831">
        <v>1.0225967396613032</v>
      </c>
      <c r="D2159" s="831">
        <v>1.0276445351181425</v>
      </c>
      <c r="E2159" s="831">
        <v>0.98367520916864826</v>
      </c>
      <c r="F2159" s="831">
        <v>1.0124794887665638</v>
      </c>
      <c r="G2159" s="831">
        <v>0.98259759564185867</v>
      </c>
      <c r="H2159" s="831">
        <v>0.97420294756576697</v>
      </c>
      <c r="I2159" s="831">
        <v>0.98881401665616908</v>
      </c>
      <c r="K2159">
        <v>1.7060983010058544</v>
      </c>
      <c r="L2159">
        <v>0</v>
      </c>
      <c r="M2159">
        <v>1.3493562660442627E-3</v>
      </c>
      <c r="N2159">
        <v>0.12916766316090175</v>
      </c>
      <c r="O2159">
        <v>1.7228260142961187E-2</v>
      </c>
      <c r="P2159">
        <v>1.9416182574059374E-2</v>
      </c>
      <c r="Q2159">
        <v>2.0588424680317362E-3</v>
      </c>
      <c r="R2159">
        <v>1.3408076505014529E-3</v>
      </c>
      <c r="S2159">
        <v>0.14426233175635927</v>
      </c>
      <c r="T2159">
        <v>1.0728157297234506</v>
      </c>
      <c r="U2159">
        <v>2.2807160431616333E-2</v>
      </c>
      <c r="V2159">
        <v>0.20137559690476253</v>
      </c>
      <c r="W2159">
        <v>7.8081599654267364E-2</v>
      </c>
      <c r="X2159">
        <v>1.5244246377446568E-2</v>
      </c>
      <c r="Y2159">
        <v>3.6492364275417556E-3</v>
      </c>
    </row>
    <row r="2160" spans="1:25" x14ac:dyDescent="0.25">
      <c r="A2160" s="827"/>
      <c r="B2160" s="1066">
        <v>1910</v>
      </c>
      <c r="C2160" s="831">
        <v>0.99216187749557072</v>
      </c>
      <c r="D2160" s="831">
        <v>1.0061096182715263</v>
      </c>
      <c r="E2160" s="831">
        <v>0.97612513440249926</v>
      </c>
      <c r="F2160" s="831">
        <v>0.98283585740128676</v>
      </c>
      <c r="G2160" s="831">
        <v>1.0023867756775853</v>
      </c>
      <c r="H2160" s="831">
        <v>1.0076979769625802</v>
      </c>
      <c r="I2160" s="831">
        <v>0.99017071245319888</v>
      </c>
      <c r="K2160">
        <v>1.7369955968061845</v>
      </c>
      <c r="L2160">
        <v>0</v>
      </c>
      <c r="M2160">
        <v>1.4755922656292375E-3</v>
      </c>
      <c r="N2160">
        <v>0.13799829985948603</v>
      </c>
      <c r="O2160">
        <v>1.7927565887005444E-2</v>
      </c>
      <c r="P2160">
        <v>1.9503469515155008E-2</v>
      </c>
      <c r="Q2160">
        <v>2.1223784037617149E-3</v>
      </c>
      <c r="R2160">
        <v>1.4665700772033539E-3</v>
      </c>
      <c r="S2160">
        <v>0.15259554050503443</v>
      </c>
      <c r="T2160">
        <v>1.0734914252261165</v>
      </c>
      <c r="U2160">
        <v>2.3506776895292788E-2</v>
      </c>
      <c r="V2160">
        <v>0.20646692083575557</v>
      </c>
      <c r="W2160">
        <v>8.3857909985205453E-2</v>
      </c>
      <c r="X2160">
        <v>1.5542811586344508E-2</v>
      </c>
      <c r="Y2160">
        <v>3.9915202954515124E-3</v>
      </c>
    </row>
    <row r="2161" spans="1:25" x14ac:dyDescent="0.25">
      <c r="A2161" s="827"/>
      <c r="B2161" s="1066">
        <v>1911</v>
      </c>
      <c r="C2161" s="831">
        <v>0.97063875358313945</v>
      </c>
      <c r="D2161" s="831">
        <v>0.99221913761334624</v>
      </c>
      <c r="E2161" s="831">
        <v>0.98716718545352322</v>
      </c>
      <c r="F2161" s="831">
        <v>0.9985275206552009</v>
      </c>
      <c r="G2161" s="831">
        <v>1.0260734975725185</v>
      </c>
      <c r="H2161" s="831">
        <v>0.9876209485155405</v>
      </c>
      <c r="I2161" s="831">
        <v>1.0051637391075885</v>
      </c>
      <c r="K2161">
        <v>1.7504776762539977</v>
      </c>
      <c r="L2161">
        <v>0</v>
      </c>
      <c r="M2161">
        <v>1.4534942491475956E-3</v>
      </c>
      <c r="N2161">
        <v>0.14067246764513566</v>
      </c>
      <c r="O2161">
        <v>1.8440868912948973E-2</v>
      </c>
      <c r="P2161">
        <v>1.9781213639005365E-2</v>
      </c>
      <c r="Q2161">
        <v>2.2052478481574805E-3</v>
      </c>
      <c r="R2161">
        <v>1.4444367806729149E-3</v>
      </c>
      <c r="S2161">
        <v>0.15776014742772357</v>
      </c>
      <c r="T2161">
        <v>1.0725039393875184</v>
      </c>
      <c r="U2161">
        <v>2.4028020529993737E-2</v>
      </c>
      <c r="V2161">
        <v>0.21017521553915305</v>
      </c>
      <c r="W2161">
        <v>8.4831214223550694E-2</v>
      </c>
      <c r="X2161">
        <v>1.6157117810747832E-2</v>
      </c>
      <c r="Y2161">
        <v>3.9312807585348952E-3</v>
      </c>
    </row>
    <row r="2162" spans="1:25" x14ac:dyDescent="0.25">
      <c r="A2162" s="827"/>
      <c r="B2162" s="1066">
        <v>1912</v>
      </c>
      <c r="C2162" s="831">
        <v>1.033307096268792</v>
      </c>
      <c r="D2162" s="831">
        <v>1.0204423885183032</v>
      </c>
      <c r="E2162" s="831">
        <v>0.98622567115019322</v>
      </c>
      <c r="F2162" s="831">
        <v>0.99476901673207796</v>
      </c>
      <c r="G2162" s="831">
        <v>0.9960156553737517</v>
      </c>
      <c r="H2162" s="831">
        <v>1.0074644541903861</v>
      </c>
      <c r="I2162" s="831">
        <v>1.0116031638731509</v>
      </c>
      <c r="K2162">
        <v>1.7159463122411824</v>
      </c>
      <c r="L2162">
        <v>0</v>
      </c>
      <c r="M2162">
        <v>1.3779483214093793E-3</v>
      </c>
      <c r="N2162">
        <v>0.13298507322180075</v>
      </c>
      <c r="O2162">
        <v>1.7103937716261772E-2</v>
      </c>
      <c r="P2162">
        <v>1.9502594602523415E-2</v>
      </c>
      <c r="Q2162">
        <v>2.0481100536750159E-3</v>
      </c>
      <c r="R2162">
        <v>1.3695115538411332E-3</v>
      </c>
      <c r="S2162">
        <v>0.1487991080124593</v>
      </c>
      <c r="T2162">
        <v>1.0725879598067707</v>
      </c>
      <c r="U2162">
        <v>2.2570761376283385E-2</v>
      </c>
      <c r="V2162">
        <v>0.20092390866807169</v>
      </c>
      <c r="W2162">
        <v>8.0247566708731843E-2</v>
      </c>
      <c r="X2162">
        <v>1.5458369851979802E-2</v>
      </c>
      <c r="Y2162">
        <v>3.7273589901931736E-3</v>
      </c>
    </row>
    <row r="2163" spans="1:25" x14ac:dyDescent="0.25">
      <c r="A2163" s="827"/>
      <c r="B2163" s="1066">
        <v>1913</v>
      </c>
      <c r="C2163" s="831">
        <v>1.0209691836356976</v>
      </c>
      <c r="D2163" s="831">
        <v>0.98625607696468587</v>
      </c>
      <c r="E2163" s="831">
        <v>0.99562415745808763</v>
      </c>
      <c r="F2163" s="831">
        <v>0.99585817804465426</v>
      </c>
      <c r="G2163" s="831">
        <v>0.96454466285933971</v>
      </c>
      <c r="H2163" s="831">
        <v>0.9921644918040714</v>
      </c>
      <c r="I2163" s="831">
        <v>0.97402082618789587</v>
      </c>
      <c r="K2163">
        <v>1.7221997801148763</v>
      </c>
      <c r="L2163">
        <v>0</v>
      </c>
      <c r="M2163">
        <v>1.3674560141540223E-3</v>
      </c>
      <c r="N2163">
        <v>0.13588039179274355</v>
      </c>
      <c r="O2163">
        <v>1.7579791079694186E-2</v>
      </c>
      <c r="P2163">
        <v>1.9653965819222269E-2</v>
      </c>
      <c r="Q2163">
        <v>2.1192558449327063E-3</v>
      </c>
      <c r="R2163">
        <v>1.3589779053378088E-3</v>
      </c>
      <c r="S2163">
        <v>0.14601374025574124</v>
      </c>
      <c r="T2163">
        <v>1.0717507387062557</v>
      </c>
      <c r="U2163">
        <v>2.2843517975000008E-2</v>
      </c>
      <c r="V2163">
        <v>0.20522608459735281</v>
      </c>
      <c r="W2163">
        <v>8.1465759208046787E-2</v>
      </c>
      <c r="X2163">
        <v>1.5976323073320989E-2</v>
      </c>
      <c r="Y2163">
        <v>3.6986898713834196E-3</v>
      </c>
    </row>
    <row r="2164" spans="1:25" x14ac:dyDescent="0.25">
      <c r="A2164" s="827"/>
      <c r="B2164" s="1066">
        <v>1914</v>
      </c>
      <c r="C2164" s="831">
        <v>0.99709898926285978</v>
      </c>
      <c r="D2164" s="831">
        <v>1.0084691295694668</v>
      </c>
      <c r="E2164" s="831">
        <v>0.96367719734194712</v>
      </c>
      <c r="F2164" s="831">
        <v>1.010611407445027</v>
      </c>
      <c r="G2164" s="831">
        <v>0.97622529824282245</v>
      </c>
      <c r="H2164" s="831">
        <v>0.99359802349084536</v>
      </c>
      <c r="I2164" s="831">
        <v>0.99969960078968911</v>
      </c>
      <c r="K2164">
        <v>1.7294206967341599</v>
      </c>
      <c r="L2164">
        <v>0</v>
      </c>
      <c r="M2164">
        <v>1.4844370758687368E-3</v>
      </c>
      <c r="N2164">
        <v>0.13352858865388531</v>
      </c>
      <c r="O2164">
        <v>1.781989646019258E-2</v>
      </c>
      <c r="P2164">
        <v>1.9315488553524621E-2</v>
      </c>
      <c r="Q2164">
        <v>2.0833584441134383E-3</v>
      </c>
      <c r="R2164">
        <v>1.4752302582232734E-3</v>
      </c>
      <c r="S2164">
        <v>0.15214129781044139</v>
      </c>
      <c r="T2164">
        <v>1.0746101260012757</v>
      </c>
      <c r="U2164">
        <v>2.3390383652424709E-2</v>
      </c>
      <c r="V2164">
        <v>0.20571936611133057</v>
      </c>
      <c r="W2164">
        <v>8.1850723502207873E-2</v>
      </c>
      <c r="X2164">
        <v>1.495558390904842E-2</v>
      </c>
      <c r="Y2164">
        <v>4.0150904533598252E-3</v>
      </c>
    </row>
    <row r="2165" spans="1:25" x14ac:dyDescent="0.25">
      <c r="A2165" s="827"/>
      <c r="B2165" s="1066">
        <v>1915</v>
      </c>
      <c r="C2165" s="831">
        <v>1.0260031351873384</v>
      </c>
      <c r="D2165" s="831">
        <v>0.97209920164029906</v>
      </c>
      <c r="E2165" s="831">
        <v>1.0018169417302414</v>
      </c>
      <c r="F2165" s="831">
        <v>1.0186764185630477</v>
      </c>
      <c r="G2165" s="831">
        <v>0.96487317461183297</v>
      </c>
      <c r="H2165" s="831">
        <v>1.0030195486431941</v>
      </c>
      <c r="I2165" s="831">
        <v>1.0372720705176177</v>
      </c>
      <c r="K2165">
        <v>1.7372075667675722</v>
      </c>
      <c r="L2165">
        <v>0</v>
      </c>
      <c r="M2165">
        <v>1.3667477637651052E-3</v>
      </c>
      <c r="N2165">
        <v>0.1384625768506336</v>
      </c>
      <c r="O2165">
        <v>1.7608767593224859E-2</v>
      </c>
      <c r="P2165">
        <v>1.988986233937895E-2</v>
      </c>
      <c r="Q2165">
        <v>2.1334549538285542E-3</v>
      </c>
      <c r="R2165">
        <v>1.3583757299746285E-3</v>
      </c>
      <c r="S2165">
        <v>0.15646425995857097</v>
      </c>
      <c r="T2165">
        <v>1.0712009029282745</v>
      </c>
      <c r="U2165">
        <v>2.2731439211484197E-2</v>
      </c>
      <c r="V2165">
        <v>0.20602842890419815</v>
      </c>
      <c r="W2165">
        <v>8.2662554278024006E-2</v>
      </c>
      <c r="X2165">
        <v>1.6336640835192651E-2</v>
      </c>
      <c r="Y2165">
        <v>3.6970509485518988E-3</v>
      </c>
    </row>
    <row r="2166" spans="1:25" x14ac:dyDescent="0.25">
      <c r="A2166" s="827"/>
      <c r="B2166" s="1066">
        <v>1916</v>
      </c>
      <c r="C2166" s="831">
        <v>0.99405513289222447</v>
      </c>
      <c r="D2166" s="831">
        <v>1.0000919932470576</v>
      </c>
      <c r="E2166" s="831">
        <v>1.0013950440874058</v>
      </c>
      <c r="F2166" s="831">
        <v>0.97736011224848929</v>
      </c>
      <c r="G2166" s="831">
        <v>0.9959280609814648</v>
      </c>
      <c r="H2166" s="831">
        <v>0.97918427093839955</v>
      </c>
      <c r="I2166" s="831">
        <v>0.9891702604905126</v>
      </c>
      <c r="K2166">
        <v>1.7318199797719429</v>
      </c>
      <c r="L2166">
        <v>0</v>
      </c>
      <c r="M2166">
        <v>1.3607544389980253E-3</v>
      </c>
      <c r="N2166">
        <v>0.13765191741440058</v>
      </c>
      <c r="O2166">
        <v>1.7942092585532182E-2</v>
      </c>
      <c r="P2166">
        <v>1.9823265562974885E-2</v>
      </c>
      <c r="Q2166">
        <v>2.1780200251327944E-3</v>
      </c>
      <c r="R2166">
        <v>1.3521962999628434E-3</v>
      </c>
      <c r="S2166">
        <v>0.15049365821089775</v>
      </c>
      <c r="T2166">
        <v>1.0712383158086862</v>
      </c>
      <c r="U2166">
        <v>2.3462006408483407E-2</v>
      </c>
      <c r="V2166">
        <v>0.20681417131719587</v>
      </c>
      <c r="W2166">
        <v>8.2202288396970413E-2</v>
      </c>
      <c r="X2166">
        <v>1.634256960359403E-2</v>
      </c>
      <c r="Y2166">
        <v>3.6802325771083761E-3</v>
      </c>
    </row>
    <row r="2167" spans="1:25" x14ac:dyDescent="0.25">
      <c r="A2167" s="827"/>
      <c r="B2167" s="1066">
        <v>1917</v>
      </c>
      <c r="C2167" s="831">
        <v>0.97224919671402943</v>
      </c>
      <c r="D2167" s="831">
        <v>0.98926496129131725</v>
      </c>
      <c r="E2167" s="831">
        <v>0.98440264811228828</v>
      </c>
      <c r="F2167" s="831">
        <v>0.99822769502390984</v>
      </c>
      <c r="G2167" s="831">
        <v>0.98039021707284979</v>
      </c>
      <c r="H2167" s="831">
        <v>1.0087392282460956</v>
      </c>
      <c r="I2167" s="831">
        <v>1.0112888626566063</v>
      </c>
      <c r="K2167">
        <v>1.757677120275027</v>
      </c>
      <c r="L2167">
        <v>0</v>
      </c>
      <c r="M2167">
        <v>1.4927646793031163E-3</v>
      </c>
      <c r="N2167">
        <v>0.14325361446347606</v>
      </c>
      <c r="O2167">
        <v>1.8435233195813056E-2</v>
      </c>
      <c r="P2167">
        <v>1.9777556789106192E-2</v>
      </c>
      <c r="Q2167">
        <v>2.1978679278290389E-3</v>
      </c>
      <c r="R2167">
        <v>1.483659463874708E-3</v>
      </c>
      <c r="S2167">
        <v>0.16023957893448779</v>
      </c>
      <c r="T2167">
        <v>1.0727507405864107</v>
      </c>
      <c r="U2167">
        <v>2.3988220280487506E-2</v>
      </c>
      <c r="V2167">
        <v>0.21027927684157857</v>
      </c>
      <c r="W2167">
        <v>8.6552953625841728E-2</v>
      </c>
      <c r="X2167">
        <v>1.6173150872968042E-2</v>
      </c>
      <c r="Y2167">
        <v>4.0380319724561348E-3</v>
      </c>
    </row>
    <row r="2168" spans="1:25" x14ac:dyDescent="0.25">
      <c r="A2168" s="827"/>
      <c r="B2168" s="1066">
        <v>1918</v>
      </c>
      <c r="C2168" s="831">
        <v>1.0254784716210883</v>
      </c>
      <c r="D2168" s="831">
        <v>1.0118638684012762</v>
      </c>
      <c r="E2168" s="831">
        <v>0.99168417243070239</v>
      </c>
      <c r="F2168" s="831">
        <v>1.0104371050098115</v>
      </c>
      <c r="G2168" s="831">
        <v>0.96428084236489342</v>
      </c>
      <c r="H2168" s="831">
        <v>1.0221163645211251</v>
      </c>
      <c r="I2168" s="831">
        <v>1.0326673057104072</v>
      </c>
      <c r="K2168">
        <v>1.7303894206181019</v>
      </c>
      <c r="L2168">
        <v>0</v>
      </c>
      <c r="M2168">
        <v>1.3979076236381126E-3</v>
      </c>
      <c r="N2168">
        <v>0.13723655816738115</v>
      </c>
      <c r="O2168">
        <v>1.7300418070748894E-2</v>
      </c>
      <c r="P2168">
        <v>1.9678804011645606E-2</v>
      </c>
      <c r="Q2168">
        <v>2.0816767698257563E-3</v>
      </c>
      <c r="R2168">
        <v>1.3894770939677605E-3</v>
      </c>
      <c r="S2168">
        <v>0.15464717950017234</v>
      </c>
      <c r="T2168">
        <v>1.0721013091235112</v>
      </c>
      <c r="U2168">
        <v>2.2743069253745175E-2</v>
      </c>
      <c r="V2168">
        <v>0.20245302282030656</v>
      </c>
      <c r="W2168">
        <v>8.2501938870661318E-2</v>
      </c>
      <c r="X2168">
        <v>1.5872175950994105E-2</v>
      </c>
      <c r="Y2168">
        <v>3.7816986087793191E-3</v>
      </c>
    </row>
    <row r="2169" spans="1:25" x14ac:dyDescent="0.25">
      <c r="A2169" s="827"/>
      <c r="B2169" s="1066">
        <v>1919</v>
      </c>
      <c r="C2169" s="831">
        <v>0.99225827597827043</v>
      </c>
      <c r="D2169" s="831">
        <v>0.99127387166257319</v>
      </c>
      <c r="E2169" s="831">
        <v>0.98451682896924853</v>
      </c>
      <c r="F2169" s="831">
        <v>1.0067414527557539</v>
      </c>
      <c r="G2169" s="831">
        <v>0.99280029488697741</v>
      </c>
      <c r="H2169" s="831">
        <v>1.0038386603192375</v>
      </c>
      <c r="I2169" s="831">
        <v>0.9736283504776867</v>
      </c>
      <c r="K2169">
        <v>1.738284122130447</v>
      </c>
      <c r="L2169">
        <v>0</v>
      </c>
      <c r="M2169">
        <v>1.4538712714508202E-3</v>
      </c>
      <c r="N2169">
        <v>0.13956650025078496</v>
      </c>
      <c r="O2169">
        <v>1.804687297489117E-2</v>
      </c>
      <c r="P2169">
        <v>1.9610777773163512E-2</v>
      </c>
      <c r="Q2169">
        <v>2.1521760314893467E-3</v>
      </c>
      <c r="R2169">
        <v>1.444958516370365E-3</v>
      </c>
      <c r="S2169">
        <v>0.15068729636985598</v>
      </c>
      <c r="T2169">
        <v>1.072740541516378</v>
      </c>
      <c r="U2169">
        <v>2.3504493197912004E-2</v>
      </c>
      <c r="V2169">
        <v>0.20783587893312805</v>
      </c>
      <c r="W2169">
        <v>8.4318562009795622E-2</v>
      </c>
      <c r="X2169">
        <v>1.5897235077015733E-2</v>
      </c>
      <c r="Y2169">
        <v>3.9327007511132297E-3</v>
      </c>
    </row>
    <row r="2170" spans="1:25" x14ac:dyDescent="0.25">
      <c r="A2170" s="827"/>
      <c r="B2170" s="1066">
        <v>1920</v>
      </c>
      <c r="C2170" s="831">
        <v>1.002457301602512</v>
      </c>
      <c r="D2170" s="831">
        <v>0.98918135524618633</v>
      </c>
      <c r="E2170" s="831">
        <v>1.0149526283995134</v>
      </c>
      <c r="F2170" s="831">
        <v>0.98385616203648785</v>
      </c>
      <c r="G2170" s="831">
        <v>0.99417030462065326</v>
      </c>
      <c r="H2170" s="831">
        <v>0.99144967155946417</v>
      </c>
      <c r="I2170" s="831">
        <v>0.98965945451654735</v>
      </c>
      <c r="K2170">
        <v>1.7357957937278616</v>
      </c>
      <c r="L2170">
        <v>0</v>
      </c>
      <c r="M2170">
        <v>1.3343575520811245E-3</v>
      </c>
      <c r="N2170">
        <v>0.14080505546493538</v>
      </c>
      <c r="O2170">
        <v>1.7880390219225249E-2</v>
      </c>
      <c r="P2170">
        <v>2.0010688006329092E-2</v>
      </c>
      <c r="Q2170">
        <v>2.1981936189211493E-3</v>
      </c>
      <c r="R2170">
        <v>1.326076675300894E-3</v>
      </c>
      <c r="S2170">
        <v>0.15086096742122809</v>
      </c>
      <c r="T2170">
        <v>1.0700394262906172</v>
      </c>
      <c r="U2170">
        <v>2.3265357897059746E-2</v>
      </c>
      <c r="V2170">
        <v>0.2069215845936232</v>
      </c>
      <c r="W2170">
        <v>8.3313230072491112E-2</v>
      </c>
      <c r="X2170">
        <v>1.6900037451098478E-2</v>
      </c>
      <c r="Y2170">
        <v>3.6091435691105057E-3</v>
      </c>
    </row>
    <row r="2171" spans="1:25" x14ac:dyDescent="0.25">
      <c r="A2171" s="827"/>
      <c r="B2171" s="1066">
        <v>1921</v>
      </c>
      <c r="C2171" s="831">
        <v>0.98339048139617091</v>
      </c>
      <c r="D2171" s="831">
        <v>1.0399498314152829</v>
      </c>
      <c r="E2171" s="831">
        <v>0.97660725993650455</v>
      </c>
      <c r="F2171" s="831">
        <v>1.0051079412869504</v>
      </c>
      <c r="G2171" s="831">
        <v>1.025613001578582</v>
      </c>
      <c r="H2171" s="831">
        <v>1.0075015178755637</v>
      </c>
      <c r="I2171" s="831">
        <v>1.0086107439049032</v>
      </c>
      <c r="K2171">
        <v>1.7357069571820849</v>
      </c>
      <c r="L2171">
        <v>0</v>
      </c>
      <c r="M2171">
        <v>1.4649256152691064E-3</v>
      </c>
      <c r="N2171">
        <v>0.13720434133187046</v>
      </c>
      <c r="O2171">
        <v>1.7819164639853929E-2</v>
      </c>
      <c r="P2171">
        <v>1.9513088135660189E-2</v>
      </c>
      <c r="Q2171">
        <v>2.1162438030564758E-3</v>
      </c>
      <c r="R2171">
        <v>1.4559430121034687E-3</v>
      </c>
      <c r="S2171">
        <v>0.15467541218928096</v>
      </c>
      <c r="T2171">
        <v>1.0734482133021097</v>
      </c>
      <c r="U2171">
        <v>2.371644666032454E-2</v>
      </c>
      <c r="V2171">
        <v>0.20440310690243818</v>
      </c>
      <c r="W2171">
        <v>8.3347483221225968E-2</v>
      </c>
      <c r="X2171">
        <v>1.5509842671968666E-2</v>
      </c>
      <c r="Y2171">
        <v>3.9625969274606921E-3</v>
      </c>
    </row>
    <row r="2172" spans="1:25" x14ac:dyDescent="0.25">
      <c r="A2172" s="827"/>
      <c r="B2172" s="1066">
        <v>1922</v>
      </c>
      <c r="C2172" s="831">
        <v>1.0110022379581358</v>
      </c>
      <c r="D2172" s="831">
        <v>1.0250110498605114</v>
      </c>
      <c r="E2172" s="831">
        <v>1.0179172249210977</v>
      </c>
      <c r="F2172" s="831">
        <v>1.0319305065507547</v>
      </c>
      <c r="G2172" s="831">
        <v>0.97621655640363825</v>
      </c>
      <c r="H2172" s="831">
        <v>0.9599694024432962</v>
      </c>
      <c r="I2172" s="831">
        <v>1.0124279889435892</v>
      </c>
      <c r="K2172">
        <v>1.715824554910294</v>
      </c>
      <c r="L2172">
        <v>0</v>
      </c>
      <c r="M2172">
        <v>1.2527616032002287E-3</v>
      </c>
      <c r="N2172">
        <v>0.13338841949464467</v>
      </c>
      <c r="O2172">
        <v>1.7446043071623802E-2</v>
      </c>
      <c r="P2172">
        <v>1.9958835005975548E-2</v>
      </c>
      <c r="Q2172">
        <v>2.157398792960479E-3</v>
      </c>
      <c r="R2172">
        <v>1.244708929505537E-3</v>
      </c>
      <c r="S2172">
        <v>0.14854814525304411</v>
      </c>
      <c r="T2172">
        <v>1.0697781950854808</v>
      </c>
      <c r="U2172">
        <v>2.3068720347648668E-2</v>
      </c>
      <c r="V2172">
        <v>0.20278459181158115</v>
      </c>
      <c r="W2172">
        <v>7.8766747824135078E-2</v>
      </c>
      <c r="X2172">
        <v>1.6547823508967899E-2</v>
      </c>
      <c r="Y2172">
        <v>3.3876873879257361E-3</v>
      </c>
    </row>
    <row r="2173" spans="1:25" x14ac:dyDescent="0.25">
      <c r="A2173" s="827"/>
      <c r="B2173" s="1066">
        <v>1923</v>
      </c>
      <c r="C2173" s="831">
        <v>1.0076642102116589</v>
      </c>
      <c r="D2173" s="831">
        <v>0.96804497411240442</v>
      </c>
      <c r="E2173" s="831">
        <v>0.98495595476942865</v>
      </c>
      <c r="F2173" s="831">
        <v>0.98077698707719774</v>
      </c>
      <c r="G2173" s="831">
        <v>0.96451125924123271</v>
      </c>
      <c r="H2173" s="831">
        <v>0.96324125644905345</v>
      </c>
      <c r="I2173" s="831">
        <v>0.99009517887741072</v>
      </c>
      <c r="K2173">
        <v>1.7266590346787076</v>
      </c>
      <c r="L2173">
        <v>0</v>
      </c>
      <c r="M2173">
        <v>1.3873184842975986E-3</v>
      </c>
      <c r="N2173">
        <v>0.1333269451902947</v>
      </c>
      <c r="O2173">
        <v>1.7963333470395769E-2</v>
      </c>
      <c r="P2173">
        <v>1.9602973509697433E-2</v>
      </c>
      <c r="Q2173">
        <v>2.1389598425049254E-3</v>
      </c>
      <c r="R2173">
        <v>1.3784725680789165E-3</v>
      </c>
      <c r="S2173">
        <v>0.14948372772340623</v>
      </c>
      <c r="T2173">
        <v>1.0727013216933279</v>
      </c>
      <c r="U2173">
        <v>2.3145138690005011E-2</v>
      </c>
      <c r="V2173">
        <v>0.20837673622814132</v>
      </c>
      <c r="W2173">
        <v>8.0524500386896403E-2</v>
      </c>
      <c r="X2173">
        <v>1.5652495943303257E-2</v>
      </c>
      <c r="Y2173">
        <v>3.7517479169508696E-3</v>
      </c>
    </row>
    <row r="2174" spans="1:25" x14ac:dyDescent="0.25">
      <c r="A2174" s="827"/>
      <c r="B2174" s="1066">
        <v>1924</v>
      </c>
      <c r="C2174" s="831">
        <v>0.99529013571474123</v>
      </c>
      <c r="D2174" s="831">
        <v>1.0152794795653914</v>
      </c>
      <c r="E2174" s="831">
        <v>1.0265309098296209</v>
      </c>
      <c r="F2174" s="831">
        <v>1.024657066162852</v>
      </c>
      <c r="G2174" s="831">
        <v>0.97567038131449224</v>
      </c>
      <c r="H2174" s="831">
        <v>0.97093368250425005</v>
      </c>
      <c r="I2174" s="831">
        <v>0.96503946204733548</v>
      </c>
      <c r="K2174">
        <v>1.7238785078268977</v>
      </c>
      <c r="L2174">
        <v>0</v>
      </c>
      <c r="M2174">
        <v>1.2693121673412477E-3</v>
      </c>
      <c r="N2174">
        <v>0.13882610889371608</v>
      </c>
      <c r="O2174">
        <v>1.7798015177507016E-2</v>
      </c>
      <c r="P2174">
        <v>2.0067316006680141E-2</v>
      </c>
      <c r="Q2174">
        <v>2.2181119689468776E-3</v>
      </c>
      <c r="R2174">
        <v>1.2612514446214084E-3</v>
      </c>
      <c r="S2174">
        <v>0.1451567517982161</v>
      </c>
      <c r="T2174">
        <v>1.0690210723884133</v>
      </c>
      <c r="U2174">
        <v>2.3432893647192362E-2</v>
      </c>
      <c r="V2174">
        <v>0.205296010350837</v>
      </c>
      <c r="W2174">
        <v>8.1503369985521226E-2</v>
      </c>
      <c r="X2174">
        <v>1.7134207671753287E-2</v>
      </c>
      <c r="Y2174">
        <v>3.4327106608324949E-3</v>
      </c>
    </row>
    <row r="2175" spans="1:25" x14ac:dyDescent="0.25">
      <c r="A2175" s="827"/>
      <c r="B2175" s="1066">
        <v>1925</v>
      </c>
      <c r="C2175" s="831">
        <v>1.0036068286469542</v>
      </c>
      <c r="D2175" s="831">
        <v>1.0233917807244182</v>
      </c>
      <c r="E2175" s="831">
        <v>0.99892166305058383</v>
      </c>
      <c r="F2175" s="831">
        <v>0.9903624003457735</v>
      </c>
      <c r="G2175" s="831">
        <v>1.0104628460606675</v>
      </c>
      <c r="H2175" s="831">
        <v>0.98734709854649461</v>
      </c>
      <c r="I2175" s="831">
        <v>1.006201270560501</v>
      </c>
      <c r="K2175">
        <v>1.7252843723748441</v>
      </c>
      <c r="L2175">
        <v>0</v>
      </c>
      <c r="M2175">
        <v>1.3519944361212815E-3</v>
      </c>
      <c r="N2175">
        <v>0.13572292334521513</v>
      </c>
      <c r="O2175">
        <v>1.7587155087576058E-2</v>
      </c>
      <c r="P2175">
        <v>1.9747885233945037E-2</v>
      </c>
      <c r="Q2175">
        <v>2.1336322566485096E-3</v>
      </c>
      <c r="R2175">
        <v>1.3435459503173171E-3</v>
      </c>
      <c r="S2175">
        <v>0.15076959066890822</v>
      </c>
      <c r="T2175">
        <v>1.0714577845247464</v>
      </c>
      <c r="U2175">
        <v>2.3238709853883946E-2</v>
      </c>
      <c r="V2175">
        <v>0.2036949990787566</v>
      </c>
      <c r="W2175">
        <v>8.118761094063609E-2</v>
      </c>
      <c r="X2175">
        <v>1.6095840693369671E-2</v>
      </c>
      <c r="Y2175">
        <v>3.6566891769602475E-3</v>
      </c>
    </row>
    <row r="2176" spans="1:25" x14ac:dyDescent="0.25">
      <c r="A2176" s="827"/>
      <c r="B2176" s="1066">
        <v>1926</v>
      </c>
      <c r="C2176" s="831">
        <v>1.0042585094779997</v>
      </c>
      <c r="D2176" s="831">
        <v>0.97178854507054802</v>
      </c>
      <c r="E2176" s="831">
        <v>1.0228951138688187</v>
      </c>
      <c r="F2176" s="831">
        <v>1.0346275256193833</v>
      </c>
      <c r="G2176" s="831">
        <v>1.0364545675044505</v>
      </c>
      <c r="H2176" s="831">
        <v>0.99300693710689403</v>
      </c>
      <c r="I2176" s="831">
        <v>1.0110867252551567</v>
      </c>
      <c r="K2176">
        <v>1.7445636108982125</v>
      </c>
      <c r="L2176">
        <v>0</v>
      </c>
      <c r="M2176">
        <v>1.3224612856401019E-3</v>
      </c>
      <c r="N2176">
        <v>0.1430387075291141</v>
      </c>
      <c r="O2176">
        <v>1.799265354476183E-2</v>
      </c>
      <c r="P2176">
        <v>2.0196560787934883E-2</v>
      </c>
      <c r="Q2176">
        <v>2.2262667382759787E-3</v>
      </c>
      <c r="R2176">
        <v>1.3142790647095062E-3</v>
      </c>
      <c r="S2176">
        <v>0.15510435672239983</v>
      </c>
      <c r="T2176">
        <v>1.0693403073848384</v>
      </c>
      <c r="U2176">
        <v>2.3223629850471422E-2</v>
      </c>
      <c r="V2176">
        <v>0.20838256729511453</v>
      </c>
      <c r="W2176">
        <v>8.4182146019829165E-2</v>
      </c>
      <c r="X2176">
        <v>1.7307562884238476E-2</v>
      </c>
      <c r="Y2176">
        <v>3.5770343621620328E-3</v>
      </c>
    </row>
    <row r="2177" spans="1:25" x14ac:dyDescent="0.25">
      <c r="A2177" s="827"/>
      <c r="B2177" s="1066">
        <v>1927</v>
      </c>
      <c r="C2177" s="831">
        <v>1.016727574531344</v>
      </c>
      <c r="D2177" s="831">
        <v>0.9694406163803283</v>
      </c>
      <c r="E2177" s="831">
        <v>0.99970972948796066</v>
      </c>
      <c r="F2177" s="831">
        <v>0.98150143926402322</v>
      </c>
      <c r="G2177" s="831">
        <v>0.96901198182169279</v>
      </c>
      <c r="H2177" s="831">
        <v>1.0072877752061338</v>
      </c>
      <c r="I2177" s="831">
        <v>0.98211597954129171</v>
      </c>
      <c r="K2177">
        <v>1.7354285520498607</v>
      </c>
      <c r="L2177">
        <v>0</v>
      </c>
      <c r="M2177">
        <v>1.3929775821465379E-3</v>
      </c>
      <c r="N2177">
        <v>0.14020165376635238</v>
      </c>
      <c r="O2177">
        <v>1.7791545962795381E-2</v>
      </c>
      <c r="P2177">
        <v>1.9792207717590618E-2</v>
      </c>
      <c r="Q2177">
        <v>2.1505505644429899E-3</v>
      </c>
      <c r="R2177">
        <v>1.3844829587851357E-3</v>
      </c>
      <c r="S2177">
        <v>0.14996676841464029</v>
      </c>
      <c r="T2177">
        <v>1.071387832535684</v>
      </c>
      <c r="U2177">
        <v>2.2938817125180866E-2</v>
      </c>
      <c r="V2177">
        <v>0.20726391277502071</v>
      </c>
      <c r="W2177">
        <v>8.3821494055762155E-2</v>
      </c>
      <c r="X2177">
        <v>1.6354157536623268E-2</v>
      </c>
      <c r="Y2177">
        <v>3.7681062191284365E-3</v>
      </c>
    </row>
    <row r="2178" spans="1:25" x14ac:dyDescent="0.25">
      <c r="A2178" s="827"/>
      <c r="B2178" s="1066">
        <v>1928</v>
      </c>
      <c r="C2178" s="831">
        <v>0.9725033419745972</v>
      </c>
      <c r="D2178" s="831">
        <v>1.0045325120524402</v>
      </c>
      <c r="E2178" s="831">
        <v>1.0316716072251082</v>
      </c>
      <c r="F2178" s="831">
        <v>1.0092949431193505</v>
      </c>
      <c r="G2178" s="831">
        <v>1.0321669240627254</v>
      </c>
      <c r="H2178" s="831">
        <v>0.98932221775874707</v>
      </c>
      <c r="I2178" s="831">
        <v>1.016663180864894</v>
      </c>
      <c r="K2178">
        <v>1.7540595978974662</v>
      </c>
      <c r="L2178">
        <v>0</v>
      </c>
      <c r="M2178">
        <v>1.315653393838696E-3</v>
      </c>
      <c r="N2178">
        <v>0.14622747691591828</v>
      </c>
      <c r="O2178">
        <v>1.8302953415895263E-2</v>
      </c>
      <c r="P2178">
        <v>2.0380155002434616E-2</v>
      </c>
      <c r="Q2178">
        <v>2.290681066167722E-3</v>
      </c>
      <c r="R2178">
        <v>1.3074607459487935E-3</v>
      </c>
      <c r="S2178">
        <v>0.15857334491982297</v>
      </c>
      <c r="T2178">
        <v>1.0685705575334739</v>
      </c>
      <c r="U2178">
        <v>2.3981951415147293E-2</v>
      </c>
      <c r="V2178">
        <v>0.20879466861720231</v>
      </c>
      <c r="W2178">
        <v>8.5553224881064663E-2</v>
      </c>
      <c r="X2178">
        <v>1.7834299632075563E-2</v>
      </c>
      <c r="Y2178">
        <v>3.5584771461535485E-3</v>
      </c>
    </row>
    <row r="2179" spans="1:25" x14ac:dyDescent="0.25">
      <c r="A2179" s="827"/>
      <c r="B2179" s="1066">
        <v>1929</v>
      </c>
      <c r="C2179" s="831">
        <v>1.0200685055868934</v>
      </c>
      <c r="D2179" s="831">
        <v>1.0117610270714437</v>
      </c>
      <c r="E2179" s="831">
        <v>1.0251659593124756</v>
      </c>
      <c r="F2179" s="831">
        <v>1.0136216634734523</v>
      </c>
      <c r="G2179" s="831">
        <v>0.96807185914656257</v>
      </c>
      <c r="H2179" s="831">
        <v>1.0080067101347769</v>
      </c>
      <c r="I2179" s="831">
        <v>0.99137641018291156</v>
      </c>
      <c r="K2179">
        <v>1.7268384957110372</v>
      </c>
      <c r="L2179">
        <v>0</v>
      </c>
      <c r="M2179">
        <v>1.2915077879971186E-3</v>
      </c>
      <c r="N2179">
        <v>0.14068955167879607</v>
      </c>
      <c r="O2179">
        <v>1.7392971035439461E-2</v>
      </c>
      <c r="P2179">
        <v>2.0052721025112019E-2</v>
      </c>
      <c r="Q2179">
        <v>2.164091067359002E-3</v>
      </c>
      <c r="R2179">
        <v>1.2836099765362165E-3</v>
      </c>
      <c r="S2179">
        <v>0.14827812893694822</v>
      </c>
      <c r="T2179">
        <v>1.0691408608360613</v>
      </c>
      <c r="U2179">
        <v>2.2863687850929806E-2</v>
      </c>
      <c r="V2179">
        <v>0.20301056993329625</v>
      </c>
      <c r="W2179">
        <v>8.2673180038850255E-2</v>
      </c>
      <c r="X2179">
        <v>1.7087067905488237E-2</v>
      </c>
      <c r="Y2179">
        <v>3.493563214216538E-3</v>
      </c>
    </row>
    <row r="2180" spans="1:25" x14ac:dyDescent="0.25">
      <c r="A2180" s="827"/>
      <c r="B2180" s="1066">
        <v>1930</v>
      </c>
      <c r="C2180" s="831">
        <v>1.0036671684676683</v>
      </c>
      <c r="D2180" s="831">
        <v>1.0189989774726356</v>
      </c>
      <c r="E2180" s="831">
        <v>0.97954620486681887</v>
      </c>
      <c r="F2180" s="831">
        <v>0.96532340942422623</v>
      </c>
      <c r="G2180" s="831">
        <v>0.97648291078298388</v>
      </c>
      <c r="H2180" s="831">
        <v>0.98716584513617056</v>
      </c>
      <c r="I2180" s="831">
        <v>1.0156323550566528</v>
      </c>
      <c r="K2180">
        <v>1.725506155864919</v>
      </c>
      <c r="L2180">
        <v>0</v>
      </c>
      <c r="M2180">
        <v>1.4105976817979774E-3</v>
      </c>
      <c r="N2180">
        <v>0.13331594268698241</v>
      </c>
      <c r="O2180">
        <v>1.7620313000770028E-2</v>
      </c>
      <c r="P2180">
        <v>1.9512277935462174E-2</v>
      </c>
      <c r="Q2180">
        <v>2.0954496694169746E-3</v>
      </c>
      <c r="R2180">
        <v>1.4017844261492807E-3</v>
      </c>
      <c r="S2180">
        <v>0.15243173125169499</v>
      </c>
      <c r="T2180">
        <v>1.0731849904560902</v>
      </c>
      <c r="U2180">
        <v>2.3237312757684859E-2</v>
      </c>
      <c r="V2180">
        <v>0.20407666712705005</v>
      </c>
      <c r="W2180">
        <v>8.0820190296675615E-2</v>
      </c>
      <c r="X2180">
        <v>1.5404898828871817E-2</v>
      </c>
      <c r="Y2180">
        <v>3.8151951098664544E-3</v>
      </c>
    </row>
    <row r="2181" spans="1:25" x14ac:dyDescent="0.25">
      <c r="A2181" s="827"/>
      <c r="B2181" s="1066">
        <v>1931</v>
      </c>
      <c r="C2181" s="831">
        <v>0.98261888648615092</v>
      </c>
      <c r="D2181" s="831">
        <v>1.0235129268066883</v>
      </c>
      <c r="E2181" s="831">
        <v>0.98595931860415198</v>
      </c>
      <c r="F2181" s="831">
        <v>0.99981073566285461</v>
      </c>
      <c r="G2181" s="831">
        <v>1.0025974100383852</v>
      </c>
      <c r="H2181" s="831">
        <v>1.0011273328658679</v>
      </c>
      <c r="I2181" s="831">
        <v>1.0098956242756736</v>
      </c>
      <c r="K2181">
        <v>1.7398780660185524</v>
      </c>
      <c r="L2181">
        <v>0</v>
      </c>
      <c r="M2181">
        <v>1.4387687929599425E-3</v>
      </c>
      <c r="N2181">
        <v>0.13873407356869502</v>
      </c>
      <c r="O2181">
        <v>1.7961841975416764E-2</v>
      </c>
      <c r="P2181">
        <v>1.9673549983400599E-2</v>
      </c>
      <c r="Q2181">
        <v>2.1507830764015256E-3</v>
      </c>
      <c r="R2181">
        <v>1.4299017327816478E-3</v>
      </c>
      <c r="S2181">
        <v>0.15555380193672722</v>
      </c>
      <c r="T2181">
        <v>1.0726117350717195</v>
      </c>
      <c r="U2181">
        <v>2.3735069841476997E-2</v>
      </c>
      <c r="V2181">
        <v>0.2059304971553429</v>
      </c>
      <c r="W2181">
        <v>8.3732110490469414E-2</v>
      </c>
      <c r="X2181">
        <v>1.591174882942957E-2</v>
      </c>
      <c r="Y2181">
        <v>3.8917211496521161E-3</v>
      </c>
    </row>
    <row r="2182" spans="1:25" x14ac:dyDescent="0.25">
      <c r="A2182" s="827"/>
      <c r="B2182" s="1066">
        <v>1932</v>
      </c>
      <c r="C2182" s="831">
        <v>1.0057531822973229</v>
      </c>
      <c r="D2182" s="831">
        <v>0.99528205763540822</v>
      </c>
      <c r="E2182" s="831">
        <v>1.0046496125823552</v>
      </c>
      <c r="F2182" s="831">
        <v>0.9716054067014902</v>
      </c>
      <c r="G2182" s="831">
        <v>1.0134995261907018</v>
      </c>
      <c r="H2182" s="831">
        <v>1.020547356449091</v>
      </c>
      <c r="I2182" s="831">
        <v>0.97560336271742554</v>
      </c>
      <c r="K2182">
        <v>1.7377585520005316</v>
      </c>
      <c r="L2182">
        <v>0</v>
      </c>
      <c r="M2182">
        <v>1.3952022174324565E-3</v>
      </c>
      <c r="N2182">
        <v>0.14260950703475264</v>
      </c>
      <c r="O2182">
        <v>1.7772184615258955E-2</v>
      </c>
      <c r="P2182">
        <v>1.9844153198950529E-2</v>
      </c>
      <c r="Q2182">
        <v>2.1635958308413284E-3</v>
      </c>
      <c r="R2182">
        <v>1.3867863823384782E-3</v>
      </c>
      <c r="S2182">
        <v>0.14988339254511598</v>
      </c>
      <c r="T2182">
        <v>1.0709498824819297</v>
      </c>
      <c r="U2182">
        <v>2.3189116682713649E-2</v>
      </c>
      <c r="V2182">
        <v>0.20600024305486345</v>
      </c>
      <c r="W2182">
        <v>8.497379695731748E-2</v>
      </c>
      <c r="X2182">
        <v>1.6606720055164531E-2</v>
      </c>
      <c r="Y2182">
        <v>3.7743753787172628E-3</v>
      </c>
    </row>
    <row r="2183" spans="1:25" x14ac:dyDescent="0.25">
      <c r="A2183" s="827"/>
      <c r="B2183" s="1066">
        <v>1933</v>
      </c>
      <c r="C2183" s="831">
        <v>0.98555660598962413</v>
      </c>
      <c r="D2183" s="831">
        <v>0.97767166845705489</v>
      </c>
      <c r="E2183" s="831">
        <v>0.96549174649565139</v>
      </c>
      <c r="F2183" s="831">
        <v>0.99757034123706856</v>
      </c>
      <c r="G2183" s="831">
        <v>1.0070226324756426</v>
      </c>
      <c r="H2183" s="831">
        <v>1.014588191108359</v>
      </c>
      <c r="I2183" s="831">
        <v>1.0061850849977374</v>
      </c>
      <c r="K2183">
        <v>1.751951471983586</v>
      </c>
      <c r="L2183">
        <v>0</v>
      </c>
      <c r="M2183">
        <v>1.5493403712343206E-3</v>
      </c>
      <c r="N2183">
        <v>0.14017812663974791</v>
      </c>
      <c r="O2183">
        <v>1.828387436394412E-2</v>
      </c>
      <c r="P2183">
        <v>1.9483769205151973E-2</v>
      </c>
      <c r="Q2183">
        <v>2.136124857966811E-3</v>
      </c>
      <c r="R2183">
        <v>1.5399536477959978E-3</v>
      </c>
      <c r="S2183">
        <v>0.15848466880874712</v>
      </c>
      <c r="T2183">
        <v>1.0744466903932939</v>
      </c>
      <c r="U2183">
        <v>2.366432101064796E-2</v>
      </c>
      <c r="V2183">
        <v>0.20988866151937574</v>
      </c>
      <c r="W2183">
        <v>8.5817475191535431E-2</v>
      </c>
      <c r="X2183">
        <v>1.5385900532896712E-2</v>
      </c>
      <c r="Y2183">
        <v>4.191246183717144E-3</v>
      </c>
    </row>
    <row r="2184" spans="1:25" x14ac:dyDescent="0.25">
      <c r="A2184" s="827"/>
      <c r="B2184" s="1066">
        <v>1934</v>
      </c>
      <c r="C2184" s="831">
        <v>0.98588174273840323</v>
      </c>
      <c r="D2184" s="831">
        <v>0.99647213477132734</v>
      </c>
      <c r="E2184" s="831">
        <v>0.98428110314918738</v>
      </c>
      <c r="F2184" s="831">
        <v>1.0013541202621228</v>
      </c>
      <c r="G2184" s="831">
        <v>0.99510931899051025</v>
      </c>
      <c r="H2184" s="831">
        <v>1.0279795291468283</v>
      </c>
      <c r="I2184" s="831">
        <v>1.0114548750271399</v>
      </c>
      <c r="K2184">
        <v>1.753799295359769</v>
      </c>
      <c r="L2184">
        <v>0</v>
      </c>
      <c r="M2184">
        <v>1.4956603180690366E-3</v>
      </c>
      <c r="N2184">
        <v>0.14349313486168699</v>
      </c>
      <c r="O2184">
        <v>1.8120584881710696E-2</v>
      </c>
      <c r="P2184">
        <v>1.9724563477684646E-2</v>
      </c>
      <c r="Q2184">
        <v>2.1613796141339904E-3</v>
      </c>
      <c r="R2184">
        <v>1.4867028741119377E-3</v>
      </c>
      <c r="S2184">
        <v>0.15899289690739893</v>
      </c>
      <c r="T2184">
        <v>1.0727615979853606</v>
      </c>
      <c r="U2184">
        <v>2.3656516686800692E-2</v>
      </c>
      <c r="V2184">
        <v>0.20805274989170466</v>
      </c>
      <c r="W2184">
        <v>8.6704960425231639E-2</v>
      </c>
      <c r="X2184">
        <v>1.6093552940150704E-2</v>
      </c>
      <c r="Y2184">
        <v>4.0463151318619597E-3</v>
      </c>
    </row>
    <row r="2185" spans="1:25" x14ac:dyDescent="0.25">
      <c r="A2185" s="827"/>
      <c r="B2185" s="1066">
        <v>1935</v>
      </c>
      <c r="C2185" s="831">
        <v>0.96971014045022119</v>
      </c>
      <c r="D2185" s="831">
        <v>1.0129060316075857</v>
      </c>
      <c r="E2185" s="831">
        <v>0.97293721938397404</v>
      </c>
      <c r="F2185" s="831">
        <v>1.0054700664985077</v>
      </c>
      <c r="G2185" s="831">
        <v>0.95472243126758349</v>
      </c>
      <c r="H2185" s="831">
        <v>1.0233365741582157</v>
      </c>
      <c r="I2185" s="831">
        <v>0.98585813141769352</v>
      </c>
      <c r="K2185">
        <v>1.7514344199847196</v>
      </c>
      <c r="L2185">
        <v>0</v>
      </c>
      <c r="M2185">
        <v>1.5387837244694711E-3</v>
      </c>
      <c r="N2185">
        <v>0.14249803825476606</v>
      </c>
      <c r="O2185">
        <v>1.8286853892240974E-2</v>
      </c>
      <c r="P2185">
        <v>1.9539608237330919E-2</v>
      </c>
      <c r="Q2185">
        <v>2.1590737149840005E-3</v>
      </c>
      <c r="R2185">
        <v>1.5295138895271071E-3</v>
      </c>
      <c r="S2185">
        <v>0.15614979627369813</v>
      </c>
      <c r="T2185">
        <v>1.0737773710556913</v>
      </c>
      <c r="U2185">
        <v>2.4051030225872363E-2</v>
      </c>
      <c r="V2185">
        <v>0.20833195183807768</v>
      </c>
      <c r="W2185">
        <v>8.6784780528078115E-2</v>
      </c>
      <c r="X2185">
        <v>1.5702353195745776E-2</v>
      </c>
      <c r="Y2185">
        <v>4.1628326031746109E-3</v>
      </c>
    </row>
    <row r="2186" spans="1:25" x14ac:dyDescent="0.25">
      <c r="A2186" s="827"/>
      <c r="B2186" s="1066">
        <v>1936</v>
      </c>
      <c r="C2186" s="831">
        <v>1.0200491207801883</v>
      </c>
      <c r="D2186" s="831">
        <v>0.96598923346087062</v>
      </c>
      <c r="E2186" s="831">
        <v>1.0204663348687251</v>
      </c>
      <c r="F2186" s="831">
        <v>1.0046365578883618</v>
      </c>
      <c r="G2186" s="831">
        <v>0.95514248043064365</v>
      </c>
      <c r="H2186" s="831">
        <v>0.99272946995191214</v>
      </c>
      <c r="I2186" s="831">
        <v>1.0002843407883302</v>
      </c>
      <c r="K2186">
        <v>1.7355765656197053</v>
      </c>
      <c r="L2186">
        <v>0</v>
      </c>
      <c r="M2186">
        <v>1.3118835595139174E-3</v>
      </c>
      <c r="N2186">
        <v>0.14082836264444301</v>
      </c>
      <c r="O2186">
        <v>1.7762395797070299E-2</v>
      </c>
      <c r="P2186">
        <v>2.0091948304708399E-2</v>
      </c>
      <c r="Q2186">
        <v>2.1913874719347859E-3</v>
      </c>
      <c r="R2186">
        <v>1.3037685406564992E-3</v>
      </c>
      <c r="S2186">
        <v>0.15142915700915466</v>
      </c>
      <c r="T2186">
        <v>1.0695538414099004</v>
      </c>
      <c r="U2186">
        <v>2.2864122347818743E-2</v>
      </c>
      <c r="V2186">
        <v>0.20724303676413067</v>
      </c>
      <c r="W2186">
        <v>8.3017084131036062E-2</v>
      </c>
      <c r="X2186">
        <v>1.7054916577883439E-2</v>
      </c>
      <c r="Y2186">
        <v>3.5484281804830718E-3</v>
      </c>
    </row>
    <row r="2187" spans="1:25" x14ac:dyDescent="0.25">
      <c r="A2187" s="827"/>
      <c r="B2187" s="1066">
        <v>1937</v>
      </c>
      <c r="C2187" s="831">
        <v>0.97905883137398031</v>
      </c>
      <c r="D2187" s="831">
        <v>1.0073396250552162</v>
      </c>
      <c r="E2187" s="831">
        <v>0.97993995645963783</v>
      </c>
      <c r="F2187" s="831">
        <v>0.97321982062903867</v>
      </c>
      <c r="G2187" s="831">
        <v>0.97391092855046024</v>
      </c>
      <c r="H2187" s="831">
        <v>1.0212776932187446</v>
      </c>
      <c r="I2187" s="831">
        <v>0.99911235599114878</v>
      </c>
      <c r="K2187">
        <v>1.7500276174136926</v>
      </c>
      <c r="L2187">
        <v>0</v>
      </c>
      <c r="M2187">
        <v>1.5025768640301335E-3</v>
      </c>
      <c r="N2187">
        <v>0.14221391075909129</v>
      </c>
      <c r="O2187">
        <v>1.8157452328888952E-2</v>
      </c>
      <c r="P2187">
        <v>1.9636226234378638E-2</v>
      </c>
      <c r="Q2187">
        <v>2.1581693147689962E-3</v>
      </c>
      <c r="R2187">
        <v>1.4935109450195164E-3</v>
      </c>
      <c r="S2187">
        <v>0.15694665246400963</v>
      </c>
      <c r="T2187">
        <v>1.0731497492431508</v>
      </c>
      <c r="U2187">
        <v>2.3821375336120571E-2</v>
      </c>
      <c r="V2187">
        <v>0.20779829844375941</v>
      </c>
      <c r="W2187">
        <v>8.6190853343781834E-2</v>
      </c>
      <c r="X2187">
        <v>1.5899151408160915E-2</v>
      </c>
      <c r="Y2187">
        <v>4.0648444565924164E-3</v>
      </c>
    </row>
    <row r="2188" spans="1:25" x14ac:dyDescent="0.25">
      <c r="A2188" s="827"/>
      <c r="B2188" s="1066">
        <v>1938</v>
      </c>
      <c r="C2188" s="831">
        <v>1.0330794868293163</v>
      </c>
      <c r="D2188" s="831">
        <v>0.9916438238545966</v>
      </c>
      <c r="E2188" s="831">
        <v>1.0280706983510284</v>
      </c>
      <c r="F2188" s="831">
        <v>1.0086392357177922</v>
      </c>
      <c r="G2188" s="831">
        <v>0.96050222039037803</v>
      </c>
      <c r="H2188" s="831">
        <v>0.97453995612011046</v>
      </c>
      <c r="I2188" s="831">
        <v>0.98984901450434137</v>
      </c>
      <c r="K2188">
        <v>1.7154493382787181</v>
      </c>
      <c r="L2188">
        <v>0</v>
      </c>
      <c r="M2188">
        <v>1.2365370825790287E-3</v>
      </c>
      <c r="N2188">
        <v>0.13589443877364837</v>
      </c>
      <c r="O2188">
        <v>1.7330834496167662E-2</v>
      </c>
      <c r="P2188">
        <v>2.0049981211584224E-2</v>
      </c>
      <c r="Q2188">
        <v>2.1590188995219009E-3</v>
      </c>
      <c r="R2188">
        <v>1.228728527242582E-3</v>
      </c>
      <c r="S2188">
        <v>0.14509854222651719</v>
      </c>
      <c r="T2188">
        <v>1.0688860249118346</v>
      </c>
      <c r="U2188">
        <v>2.257573419629472E-2</v>
      </c>
      <c r="V2188">
        <v>0.2034857872071065</v>
      </c>
      <c r="W2188">
        <v>7.9699783200862795E-2</v>
      </c>
      <c r="X2188">
        <v>1.6932807709610288E-2</v>
      </c>
      <c r="Y2188">
        <v>3.344194000904163E-3</v>
      </c>
    </row>
    <row r="2189" spans="1:25" x14ac:dyDescent="0.25">
      <c r="A2189" s="827"/>
      <c r="B2189" s="1066">
        <v>1939</v>
      </c>
      <c r="C2189" s="831">
        <v>0.9574915119722287</v>
      </c>
      <c r="D2189" s="831">
        <v>1.0127797149278088</v>
      </c>
      <c r="E2189" s="831">
        <v>0.99789709382556879</v>
      </c>
      <c r="F2189" s="831">
        <v>1.0339940162060373</v>
      </c>
      <c r="G2189" s="831">
        <v>0.98462370572492663</v>
      </c>
      <c r="H2189" s="831">
        <v>1.0398702106222</v>
      </c>
      <c r="I2189" s="831">
        <v>0.97894517752304278</v>
      </c>
      <c r="K2189">
        <v>1.7660489195155336</v>
      </c>
      <c r="L2189">
        <v>0</v>
      </c>
      <c r="M2189">
        <v>1.502773950002497E-3</v>
      </c>
      <c r="N2189">
        <v>0.15042761022583098</v>
      </c>
      <c r="O2189">
        <v>1.8521258643970546E-2</v>
      </c>
      <c r="P2189">
        <v>1.9933581103850368E-2</v>
      </c>
      <c r="Q2189">
        <v>2.2427416243748785E-3</v>
      </c>
      <c r="R2189">
        <v>1.4938650711834741E-3</v>
      </c>
      <c r="S2189">
        <v>0.15824819284726316</v>
      </c>
      <c r="T2189">
        <v>1.0715487645051216</v>
      </c>
      <c r="U2189">
        <v>2.4357947414346996E-2</v>
      </c>
      <c r="V2189">
        <v>0.20974308091743665</v>
      </c>
      <c r="W2189">
        <v>9.0046930683213816E-2</v>
      </c>
      <c r="X2189">
        <v>1.6921912157672223E-2</v>
      </c>
      <c r="Y2189">
        <v>4.0658082712730498E-3</v>
      </c>
    </row>
    <row r="2190" spans="1:25" x14ac:dyDescent="0.25">
      <c r="A2190" s="827"/>
      <c r="B2190" s="1066">
        <v>1940</v>
      </c>
      <c r="C2190" s="831">
        <v>1.0207430134291646</v>
      </c>
      <c r="D2190" s="831">
        <v>1.0204894097839929</v>
      </c>
      <c r="E2190" s="831">
        <v>1.0250377487395237</v>
      </c>
      <c r="F2190" s="831">
        <v>1.0015544208591332</v>
      </c>
      <c r="G2190" s="831">
        <v>0.97626617835893403</v>
      </c>
      <c r="H2190" s="831">
        <v>1.0000943680713026</v>
      </c>
      <c r="I2190" s="831">
        <v>0.96232985168379825</v>
      </c>
      <c r="K2190">
        <v>1.7173816718035366</v>
      </c>
      <c r="L2190">
        <v>0</v>
      </c>
      <c r="M2190">
        <v>1.2759112064451893E-3</v>
      </c>
      <c r="N2190">
        <v>0.13892786083496828</v>
      </c>
      <c r="O2190">
        <v>1.7314105493892774E-2</v>
      </c>
      <c r="P2190">
        <v>1.9963027389840932E-2</v>
      </c>
      <c r="Q2190">
        <v>2.1555089548300887E-3</v>
      </c>
      <c r="R2190">
        <v>1.2680415826846377E-3</v>
      </c>
      <c r="S2190">
        <v>0.14279671974358185</v>
      </c>
      <c r="T2190">
        <v>1.0691521162618314</v>
      </c>
      <c r="U2190">
        <v>2.2848579506757189E-2</v>
      </c>
      <c r="V2190">
        <v>0.2021789659930418</v>
      </c>
      <c r="W2190">
        <v>8.1644998565612095E-2</v>
      </c>
      <c r="X2190">
        <v>1.6956467504666839E-2</v>
      </c>
      <c r="Y2190">
        <v>3.451191178272194E-3</v>
      </c>
    </row>
    <row r="2191" spans="1:25" x14ac:dyDescent="0.25">
      <c r="A2191" s="827"/>
      <c r="B2191" s="1066">
        <v>1941</v>
      </c>
      <c r="C2191" s="831">
        <v>0.96266057423808205</v>
      </c>
      <c r="D2191" s="831">
        <v>1.0388076988470347</v>
      </c>
      <c r="E2191" s="831">
        <v>1.0116144275690211</v>
      </c>
      <c r="F2191" s="831">
        <v>1.0304010381330799</v>
      </c>
      <c r="G2191" s="831">
        <v>0.98233809659258409</v>
      </c>
      <c r="H2191" s="831">
        <v>0.98532679313933047</v>
      </c>
      <c r="I2191" s="831">
        <v>0.97540345726218491</v>
      </c>
      <c r="K2191">
        <v>1.7399572403340093</v>
      </c>
      <c r="L2191">
        <v>0</v>
      </c>
      <c r="M2191">
        <v>1.3602858476022414E-3</v>
      </c>
      <c r="N2191">
        <v>0.14205044314085205</v>
      </c>
      <c r="O2191">
        <v>1.8211903773358181E-2</v>
      </c>
      <c r="P2191">
        <v>1.9982787030901221E-2</v>
      </c>
      <c r="Q2191">
        <v>2.2404117083555772E-3</v>
      </c>
      <c r="R2191">
        <v>1.3517579073144196E-3</v>
      </c>
      <c r="S2191">
        <v>0.15128802095400826</v>
      </c>
      <c r="T2191">
        <v>1.0703339765419111</v>
      </c>
      <c r="U2191">
        <v>2.4227155990845746E-2</v>
      </c>
      <c r="V2191">
        <v>0.20678594395549182</v>
      </c>
      <c r="W2191">
        <v>8.424054401416381E-2</v>
      </c>
      <c r="X2191">
        <v>1.692554174757372E-2</v>
      </c>
      <c r="Y2191">
        <v>3.6790394168354631E-3</v>
      </c>
    </row>
    <row r="2192" spans="1:25" x14ac:dyDescent="0.25">
      <c r="A2192" s="827"/>
      <c r="B2192" s="1066">
        <v>1942</v>
      </c>
      <c r="C2192" s="831">
        <v>1.0185951486527489</v>
      </c>
      <c r="D2192" s="831">
        <v>0.99192708556684439</v>
      </c>
      <c r="E2192" s="831">
        <v>0.96704994081696949</v>
      </c>
      <c r="F2192" s="831">
        <v>0.96754290712641056</v>
      </c>
      <c r="G2192" s="831">
        <v>0.98232000214131787</v>
      </c>
      <c r="H2192" s="831">
        <v>1.0322106924682182</v>
      </c>
      <c r="I2192" s="831">
        <v>1.0471182713592706</v>
      </c>
      <c r="K2192">
        <v>1.7417058017683555</v>
      </c>
      <c r="L2192">
        <v>0</v>
      </c>
      <c r="M2192">
        <v>1.5102130251969702E-3</v>
      </c>
      <c r="N2192">
        <v>0.13731700820832274</v>
      </c>
      <c r="O2192">
        <v>1.7575001475026029E-2</v>
      </c>
      <c r="P2192">
        <v>1.9448572713965682E-2</v>
      </c>
      <c r="Q2192">
        <v>2.0590477860016037E-3</v>
      </c>
      <c r="R2192">
        <v>1.5012088651719607E-3</v>
      </c>
      <c r="S2192">
        <v>0.15992922347618715</v>
      </c>
      <c r="T2192">
        <v>1.0743064428996303</v>
      </c>
      <c r="U2192">
        <v>2.2896759256266698E-2</v>
      </c>
      <c r="V2192">
        <v>0.20495178938074762</v>
      </c>
      <c r="W2192">
        <v>8.397416444496901E-2</v>
      </c>
      <c r="X2192">
        <v>1.5171000629633146E-2</v>
      </c>
      <c r="Y2192">
        <v>4.0857956576286734E-3</v>
      </c>
    </row>
    <row r="2193" spans="1:25" x14ac:dyDescent="0.25">
      <c r="A2193" s="827"/>
      <c r="B2193" s="1066">
        <v>1943</v>
      </c>
      <c r="C2193" s="831">
        <v>1.0464841901882798</v>
      </c>
      <c r="D2193" s="831">
        <v>1.0250556954197489</v>
      </c>
      <c r="E2193" s="831">
        <v>1.0209838109822902</v>
      </c>
      <c r="F2193" s="831">
        <v>1.0343302102062941</v>
      </c>
      <c r="G2193" s="831">
        <v>0.96675416457456842</v>
      </c>
      <c r="H2193" s="831">
        <v>1.001024670683212</v>
      </c>
      <c r="I2193" s="831">
        <v>0.9799901483336475</v>
      </c>
      <c r="K2193">
        <v>1.7056428105252879</v>
      </c>
      <c r="L2193">
        <v>0</v>
      </c>
      <c r="M2193">
        <v>1.253873481900733E-3</v>
      </c>
      <c r="N2193">
        <v>0.1348205333046229</v>
      </c>
      <c r="O2193">
        <v>1.6854188325972786E-2</v>
      </c>
      <c r="P2193">
        <v>1.984436369549732E-2</v>
      </c>
      <c r="Q2193">
        <v>2.0905822890581313E-3</v>
      </c>
      <c r="R2193">
        <v>1.2461441934412826E-3</v>
      </c>
      <c r="S2193">
        <v>0.14164020400709984</v>
      </c>
      <c r="T2193">
        <v>1.0695083270720145</v>
      </c>
      <c r="U2193">
        <v>2.2286555417628449E-2</v>
      </c>
      <c r="V2193">
        <v>0.19924334321375506</v>
      </c>
      <c r="W2193">
        <v>7.9447788866872274E-2</v>
      </c>
      <c r="X2193">
        <v>1.6523059918004211E-2</v>
      </c>
      <c r="Y2193">
        <v>3.3915937032242068E-3</v>
      </c>
    </row>
    <row r="2194" spans="1:25" x14ac:dyDescent="0.25">
      <c r="A2194" s="827"/>
      <c r="B2194" s="1066">
        <v>1944</v>
      </c>
      <c r="C2194" s="831">
        <v>0.99418588399495633</v>
      </c>
      <c r="D2194" s="831">
        <v>0.99448956854690951</v>
      </c>
      <c r="E2194" s="831">
        <v>1.0050700228433418</v>
      </c>
      <c r="F2194" s="831">
        <v>1.0176751928913721</v>
      </c>
      <c r="G2194" s="831">
        <v>1.0139240065499409</v>
      </c>
      <c r="H2194" s="831">
        <v>0.9722806373111621</v>
      </c>
      <c r="I2194" s="831">
        <v>0.97016875199736696</v>
      </c>
      <c r="K2194">
        <v>1.7286544195388929</v>
      </c>
      <c r="L2194">
        <v>0</v>
      </c>
      <c r="M2194">
        <v>1.3439752842769666E-3</v>
      </c>
      <c r="N2194">
        <v>0.13751173291156848</v>
      </c>
      <c r="O2194">
        <v>1.7985455183705958E-2</v>
      </c>
      <c r="P2194">
        <v>1.9838234052275215E-2</v>
      </c>
      <c r="Q2194">
        <v>2.1903390866934293E-3</v>
      </c>
      <c r="R2194">
        <v>1.3354665569510074E-3</v>
      </c>
      <c r="S2194">
        <v>0.14744290611120398</v>
      </c>
      <c r="T2194">
        <v>1.0709126531636131</v>
      </c>
      <c r="U2194">
        <v>2.3458920785100871E-2</v>
      </c>
      <c r="V2194">
        <v>0.20732347332956066</v>
      </c>
      <c r="W2194">
        <v>8.1912804236339537E-2</v>
      </c>
      <c r="X2194">
        <v>1.6451709674567494E-2</v>
      </c>
      <c r="Y2194">
        <v>3.6346997315884594E-3</v>
      </c>
    </row>
    <row r="2195" spans="1:25" x14ac:dyDescent="0.25">
      <c r="A2195" s="827"/>
      <c r="B2195" s="1066">
        <v>1945</v>
      </c>
      <c r="C2195" s="831">
        <v>0.97466766542131034</v>
      </c>
      <c r="D2195" s="831">
        <v>0.96648528455261062</v>
      </c>
      <c r="E2195" s="831">
        <v>1.0046045046593071</v>
      </c>
      <c r="F2195" s="831">
        <v>0.97941801290783492</v>
      </c>
      <c r="G2195" s="831">
        <v>0.95664309528477232</v>
      </c>
      <c r="H2195" s="831">
        <v>1.0155153929551928</v>
      </c>
      <c r="I2195" s="831">
        <v>0.98212838245921552</v>
      </c>
      <c r="K2195">
        <v>1.7630620525005574</v>
      </c>
      <c r="L2195">
        <v>0</v>
      </c>
      <c r="M2195">
        <v>1.4519415984342195E-3</v>
      </c>
      <c r="N2195">
        <v>0.14838598244967777</v>
      </c>
      <c r="O2195">
        <v>1.8585089883259544E-2</v>
      </c>
      <c r="P2195">
        <v>2.0039985423961109E-2</v>
      </c>
      <c r="Q2195">
        <v>2.2569622057455642E-3</v>
      </c>
      <c r="R2195">
        <v>1.4431613603193751E-3</v>
      </c>
      <c r="S2195">
        <v>0.15724394220637081</v>
      </c>
      <c r="T2195">
        <v>1.0709538773986593</v>
      </c>
      <c r="U2195">
        <v>2.3928697673808414E-2</v>
      </c>
      <c r="V2195">
        <v>0.2122445392335863</v>
      </c>
      <c r="W2195">
        <v>8.8418426849737927E-2</v>
      </c>
      <c r="X2195">
        <v>1.7085519929089684E-2</v>
      </c>
      <c r="Y2195">
        <v>3.9278094847747663E-3</v>
      </c>
    </row>
    <row r="2196" spans="1:25" x14ac:dyDescent="0.25">
      <c r="A2196" s="827"/>
      <c r="B2196" s="1066">
        <v>1946</v>
      </c>
      <c r="C2196" s="831">
        <v>0.99168101533539887</v>
      </c>
      <c r="D2196" s="831">
        <v>1.0155330208691109</v>
      </c>
      <c r="E2196" s="831">
        <v>0.99262899690306783</v>
      </c>
      <c r="F2196" s="831">
        <v>0.9845063109968315</v>
      </c>
      <c r="G2196" s="831">
        <v>0.99343531915683869</v>
      </c>
      <c r="H2196" s="831">
        <v>1.030062448287743</v>
      </c>
      <c r="I2196" s="831">
        <v>1.0045180621666305</v>
      </c>
      <c r="K2196">
        <v>1.7458535176639087</v>
      </c>
      <c r="L2196">
        <v>0</v>
      </c>
      <c r="M2196">
        <v>1.4515200586907712E-3</v>
      </c>
      <c r="N2196">
        <v>0.1429260126473719</v>
      </c>
      <c r="O2196">
        <v>1.7860772622114589E-2</v>
      </c>
      <c r="P2196">
        <v>1.9762724913748777E-2</v>
      </c>
      <c r="Q2196">
        <v>2.1517862171920575E-3</v>
      </c>
      <c r="R2196">
        <v>1.4428311875591476E-3</v>
      </c>
      <c r="S2196">
        <v>0.15589891734211808</v>
      </c>
      <c r="T2196">
        <v>1.0720171875781439</v>
      </c>
      <c r="U2196">
        <v>2.351817523744288E-2</v>
      </c>
      <c r="V2196">
        <v>0.20566325947177386</v>
      </c>
      <c r="W2196">
        <v>8.5866409985914077E-2</v>
      </c>
      <c r="X2196">
        <v>1.6270049655855216E-2</v>
      </c>
      <c r="Y2196">
        <v>3.9269108633628478E-3</v>
      </c>
    </row>
    <row r="2197" spans="1:25" x14ac:dyDescent="0.25">
      <c r="A2197" s="827"/>
      <c r="B2197" s="1066">
        <v>1947</v>
      </c>
      <c r="C2197" s="831">
        <v>0.99984425741514393</v>
      </c>
      <c r="D2197" s="831">
        <v>1.0137691165649596</v>
      </c>
      <c r="E2197" s="831">
        <v>0.99030267188000531</v>
      </c>
      <c r="F2197" s="831">
        <v>0.96183677522937305</v>
      </c>
      <c r="G2197" s="831">
        <v>0.98639291888157565</v>
      </c>
      <c r="H2197" s="831">
        <v>0.98902936455296719</v>
      </c>
      <c r="I2197" s="831">
        <v>1.0070911729505132</v>
      </c>
      <c r="K2197">
        <v>1.7294537903198379</v>
      </c>
      <c r="L2197">
        <v>0</v>
      </c>
      <c r="M2197">
        <v>1.3901899879095857E-3</v>
      </c>
      <c r="N2197">
        <v>0.13586546507361058</v>
      </c>
      <c r="O2197">
        <v>1.7728879368885363E-2</v>
      </c>
      <c r="P2197">
        <v>1.9668378964571992E-2</v>
      </c>
      <c r="Q2197">
        <v>2.1305827011983713E-3</v>
      </c>
      <c r="R2197">
        <v>1.3815242049725993E-3</v>
      </c>
      <c r="S2197">
        <v>0.15218533553794292</v>
      </c>
      <c r="T2197">
        <v>1.0722243702483283</v>
      </c>
      <c r="U2197">
        <v>2.3326160774877043E-2</v>
      </c>
      <c r="V2197">
        <v>0.2049482492951295</v>
      </c>
      <c r="W2197">
        <v>8.175541734174524E-2</v>
      </c>
      <c r="X2197">
        <v>1.586956332987972E-2</v>
      </c>
      <c r="Y2197">
        <v>3.7600534666036431E-3</v>
      </c>
    </row>
    <row r="2198" spans="1:25" x14ac:dyDescent="0.25">
      <c r="A2198" s="827"/>
      <c r="B2198" s="1066">
        <v>1948</v>
      </c>
      <c r="C2198" s="831">
        <v>1.0009146138597509</v>
      </c>
      <c r="D2198" s="831">
        <v>1.0241895794336142</v>
      </c>
      <c r="E2198" s="831">
        <v>0.95918154356685548</v>
      </c>
      <c r="F2198" s="831">
        <v>0.97762946896663072</v>
      </c>
      <c r="G2198" s="831">
        <v>0.99683397161798359</v>
      </c>
      <c r="H2198" s="831">
        <v>0.99141192188757488</v>
      </c>
      <c r="I2198" s="831">
        <v>1.0136863985264741</v>
      </c>
      <c r="K2198">
        <v>1.7242338448819026</v>
      </c>
      <c r="L2198">
        <v>0</v>
      </c>
      <c r="M2198">
        <v>1.4791057887813283E-3</v>
      </c>
      <c r="N2198">
        <v>0.13119300362892405</v>
      </c>
      <c r="O2198">
        <v>1.7628253915516687E-2</v>
      </c>
      <c r="P2198">
        <v>1.9234054641814366E-2</v>
      </c>
      <c r="Q2198">
        <v>2.0540402856190436E-3</v>
      </c>
      <c r="R2198">
        <v>1.4699003147731929E-3</v>
      </c>
      <c r="S2198">
        <v>0.15254296361733055</v>
      </c>
      <c r="T2198">
        <v>1.0750155779781332</v>
      </c>
      <c r="U2198">
        <v>2.3301216282941767E-2</v>
      </c>
      <c r="V2198">
        <v>0.2039113379285141</v>
      </c>
      <c r="W2198">
        <v>8.0673619542675365E-2</v>
      </c>
      <c r="X2198">
        <v>1.4688398430135504E-2</v>
      </c>
      <c r="Y2198">
        <v>4.0005841043040937E-3</v>
      </c>
    </row>
    <row r="2199" spans="1:25" x14ac:dyDescent="0.25">
      <c r="A2199" s="827"/>
      <c r="B2199" s="1066">
        <v>1949</v>
      </c>
      <c r="C2199" s="831">
        <v>0.9871352439893637</v>
      </c>
      <c r="D2199" s="831">
        <v>0.99612295879834123</v>
      </c>
      <c r="E2199" s="831">
        <v>1.0162295561059183</v>
      </c>
      <c r="F2199" s="831">
        <v>1.0026180520033505</v>
      </c>
      <c r="G2199" s="831">
        <v>1.0124531260919094</v>
      </c>
      <c r="H2199" s="831">
        <v>0.98278997224483222</v>
      </c>
      <c r="I2199" s="831">
        <v>0.9807289090087572</v>
      </c>
      <c r="K2199">
        <v>1.7383592203913762</v>
      </c>
      <c r="L2199">
        <v>0</v>
      </c>
      <c r="M2199">
        <v>1.3353819435565923E-3</v>
      </c>
      <c r="N2199">
        <v>0.14146512347146303</v>
      </c>
      <c r="O2199">
        <v>1.810044920001766E-2</v>
      </c>
      <c r="P2199">
        <v>2.0045690886212941E-2</v>
      </c>
      <c r="Q2199">
        <v>2.2293635150122467E-3</v>
      </c>
      <c r="R2199">
        <v>1.3270169048842852E-3</v>
      </c>
      <c r="S2199">
        <v>0.15076106003679876</v>
      </c>
      <c r="T2199">
        <v>1.0699268665211195</v>
      </c>
      <c r="U2199">
        <v>2.3626476757175215E-2</v>
      </c>
      <c r="V2199">
        <v>0.20794480006991972</v>
      </c>
      <c r="W2199">
        <v>8.3631474262480521E-2</v>
      </c>
      <c r="X2199">
        <v>1.7024578145757682E-2</v>
      </c>
      <c r="Y2199">
        <v>3.6117025640898985E-3</v>
      </c>
    </row>
    <row r="2200" spans="1:25" x14ac:dyDescent="0.25">
      <c r="A2200" s="827"/>
      <c r="B2200" s="1066">
        <v>1950</v>
      </c>
      <c r="C2200" s="831">
        <v>1.024058062456751</v>
      </c>
      <c r="D2200" s="831">
        <v>1.0366929994091056</v>
      </c>
      <c r="E2200" s="831">
        <v>0.9939835758892257</v>
      </c>
      <c r="F2200" s="831">
        <v>1.0112426933914462</v>
      </c>
      <c r="G2200" s="831">
        <v>1.0044308116199421</v>
      </c>
      <c r="H2200" s="831">
        <v>1.0218298021211176</v>
      </c>
      <c r="I2200" s="831">
        <v>0.99828653238961063</v>
      </c>
      <c r="K2200">
        <v>1.7196403117103223</v>
      </c>
      <c r="L2200">
        <v>0</v>
      </c>
      <c r="M2200">
        <v>1.377551241134456E-3</v>
      </c>
      <c r="N2200">
        <v>0.13620770810194016</v>
      </c>
      <c r="O2200">
        <v>1.7135748724008713E-2</v>
      </c>
      <c r="P2200">
        <v>1.9595727277553397E-2</v>
      </c>
      <c r="Q2200">
        <v>2.0707118535103213E-3</v>
      </c>
      <c r="R2200">
        <v>1.3692249273692951E-3</v>
      </c>
      <c r="S2200">
        <v>0.14818981411795748</v>
      </c>
      <c r="T2200">
        <v>1.0718966426212451</v>
      </c>
      <c r="U2200">
        <v>2.2774614793180426E-2</v>
      </c>
      <c r="V2200">
        <v>0.20046502981242192</v>
      </c>
      <c r="W2200">
        <v>8.1754053723975206E-2</v>
      </c>
      <c r="X2200">
        <v>1.583200811086884E-2</v>
      </c>
      <c r="Y2200">
        <v>3.7265788874232203E-3</v>
      </c>
    </row>
    <row r="2201" spans="1:25" x14ac:dyDescent="0.25">
      <c r="A2201" s="827"/>
      <c r="B2201" s="1066">
        <v>1951</v>
      </c>
      <c r="C2201" s="831">
        <v>1.013958825311829</v>
      </c>
      <c r="D2201" s="831">
        <v>1.0050228854020196</v>
      </c>
      <c r="E2201" s="831">
        <v>0.97286154564635252</v>
      </c>
      <c r="F2201" s="831">
        <v>1.0155131169522693</v>
      </c>
      <c r="G2201" s="831">
        <v>0.97918872247897237</v>
      </c>
      <c r="H2201" s="831">
        <v>1.0287386499049904</v>
      </c>
      <c r="I2201" s="831">
        <v>1.0178602064814743</v>
      </c>
      <c r="K2201">
        <v>1.7357332933713592</v>
      </c>
      <c r="L2201">
        <v>0</v>
      </c>
      <c r="M2201">
        <v>1.4848697592536487E-3</v>
      </c>
      <c r="N2201">
        <v>0.13747783745969788</v>
      </c>
      <c r="O2201">
        <v>1.7550763072390438E-2</v>
      </c>
      <c r="P2201">
        <v>1.9455465466343459E-2</v>
      </c>
      <c r="Q2201">
        <v>2.0706853409045486E-3</v>
      </c>
      <c r="R2201">
        <v>1.4759773162280822E-3</v>
      </c>
      <c r="S2201">
        <v>0.15507239861078456</v>
      </c>
      <c r="T2201">
        <v>1.0737841633817242</v>
      </c>
      <c r="U2201">
        <v>2.3001454611463811E-2</v>
      </c>
      <c r="V2201">
        <v>0.20424396386552437</v>
      </c>
      <c r="W2201">
        <v>8.3731774384771321E-2</v>
      </c>
      <c r="X2201">
        <v>1.5336555921797597E-2</v>
      </c>
      <c r="Y2201">
        <v>4.0171236989813095E-3</v>
      </c>
    </row>
    <row r="2202" spans="1:25" x14ac:dyDescent="0.25">
      <c r="A2202" s="827"/>
      <c r="B2202" s="1066">
        <v>1952</v>
      </c>
      <c r="C2202" s="831">
        <v>1.0172933274745279</v>
      </c>
      <c r="D2202" s="831">
        <v>0.95190950421670129</v>
      </c>
      <c r="E2202" s="831">
        <v>1.0026839004280461</v>
      </c>
      <c r="F2202" s="831">
        <v>1.0179883867576069</v>
      </c>
      <c r="G2202" s="831">
        <v>0.99010265113542395</v>
      </c>
      <c r="H2202" s="831">
        <v>0.98553592533886547</v>
      </c>
      <c r="I2202" s="831">
        <v>1.0128220177498393</v>
      </c>
      <c r="K2202">
        <v>1.7386251418276211</v>
      </c>
      <c r="L2202">
        <v>0</v>
      </c>
      <c r="M2202">
        <v>1.3649093734393895E-3</v>
      </c>
      <c r="N2202">
        <v>0.13863609077345251</v>
      </c>
      <c r="O2202">
        <v>1.7929955702240871E-2</v>
      </c>
      <c r="P2202">
        <v>1.991238537921626E-2</v>
      </c>
      <c r="Q2202">
        <v>2.1704461879009738E-3</v>
      </c>
      <c r="R2202">
        <v>1.3564151177083846E-3</v>
      </c>
      <c r="S2202">
        <v>0.15416119616791074</v>
      </c>
      <c r="T2202">
        <v>1.0711240441866006</v>
      </c>
      <c r="U2202">
        <v>2.2926060034427126E-2</v>
      </c>
      <c r="V2202">
        <v>0.20892122071596089</v>
      </c>
      <c r="W2202">
        <v>8.271713657372283E-2</v>
      </c>
      <c r="X2202">
        <v>1.6443385553641318E-2</v>
      </c>
      <c r="Y2202">
        <v>3.6917148082788423E-3</v>
      </c>
    </row>
    <row r="2203" spans="1:25" x14ac:dyDescent="0.25">
      <c r="A2203" s="827"/>
      <c r="B2203" s="1066">
        <v>1953</v>
      </c>
      <c r="C2203" s="831">
        <v>1.0192334081964287</v>
      </c>
      <c r="D2203" s="831">
        <v>0.97861178237731439</v>
      </c>
      <c r="E2203" s="831">
        <v>0.99151531448625463</v>
      </c>
      <c r="F2203" s="831">
        <v>1.0138683307078833</v>
      </c>
      <c r="G2203" s="831">
        <v>1.0006742623749429</v>
      </c>
      <c r="H2203" s="831">
        <v>0.99897444165567428</v>
      </c>
      <c r="I2203" s="831">
        <v>1.0204663291972709</v>
      </c>
      <c r="K2203">
        <v>1.733899875175442</v>
      </c>
      <c r="L2203">
        <v>0</v>
      </c>
      <c r="M2203">
        <v>1.3960770511115962E-3</v>
      </c>
      <c r="N2203">
        <v>0.13696788275178506</v>
      </c>
      <c r="O2203">
        <v>1.7672035877083957E-2</v>
      </c>
      <c r="P2203">
        <v>1.9722483824945493E-2</v>
      </c>
      <c r="Q2203">
        <v>2.1201986241629789E-3</v>
      </c>
      <c r="R2203">
        <v>1.3874859979542977E-3</v>
      </c>
      <c r="S2203">
        <v>0.15422778249915425</v>
      </c>
      <c r="T2203">
        <v>1.0721163467723305</v>
      </c>
      <c r="U2203">
        <v>2.2882420955542694E-2</v>
      </c>
      <c r="V2203">
        <v>0.20612313305624572</v>
      </c>
      <c r="W2203">
        <v>8.23499905330045E-2</v>
      </c>
      <c r="X2203">
        <v>1.5949911832548951E-2</v>
      </c>
      <c r="Y2203">
        <v>3.7762795017952967E-3</v>
      </c>
    </row>
    <row r="2204" spans="1:25" x14ac:dyDescent="0.25">
      <c r="A2204" s="827"/>
      <c r="B2204" s="1066">
        <v>1954</v>
      </c>
      <c r="C2204" s="831">
        <v>0.96896153712669419</v>
      </c>
      <c r="D2204" s="831">
        <v>0.97708246971463508</v>
      </c>
      <c r="E2204" s="831">
        <v>1.0209161863032252</v>
      </c>
      <c r="F2204" s="831">
        <v>1.0018832819102239</v>
      </c>
      <c r="G2204" s="831">
        <v>0.97871339193441809</v>
      </c>
      <c r="H2204" s="831">
        <v>1.0185978598616621</v>
      </c>
      <c r="I2204" s="831">
        <v>0.98456164138356073</v>
      </c>
      <c r="K2204">
        <v>1.7669146667623141</v>
      </c>
      <c r="L2204">
        <v>0</v>
      </c>
      <c r="M2204">
        <v>1.4083726116880509E-3</v>
      </c>
      <c r="N2204">
        <v>0.15142076910348648</v>
      </c>
      <c r="O2204">
        <v>1.8602108576594677E-2</v>
      </c>
      <c r="P2204">
        <v>2.0270652259559638E-2</v>
      </c>
      <c r="Q2204">
        <v>2.298194242770855E-3</v>
      </c>
      <c r="R2204">
        <v>1.399873956486522E-3</v>
      </c>
      <c r="S2204">
        <v>0.15806990691905903</v>
      </c>
      <c r="T2204">
        <v>1.0695142743886161</v>
      </c>
      <c r="U2204">
        <v>2.4069611645744494E-2</v>
      </c>
      <c r="V2204">
        <v>0.21185173532383872</v>
      </c>
      <c r="W2204">
        <v>8.9234136673180212E-2</v>
      </c>
      <c r="X2204">
        <v>1.778178084343562E-2</v>
      </c>
      <c r="Y2204">
        <v>3.8099954412305795E-3</v>
      </c>
    </row>
    <row r="2205" spans="1:25" x14ac:dyDescent="0.25">
      <c r="A2205" s="827"/>
      <c r="B2205" s="1066">
        <v>1955</v>
      </c>
      <c r="C2205" s="831">
        <v>0.971366933816738</v>
      </c>
      <c r="D2205" s="831">
        <v>0.99031045650949201</v>
      </c>
      <c r="E2205" s="831">
        <v>1.0025833813343759</v>
      </c>
      <c r="F2205" s="831">
        <v>1.0052115721613644</v>
      </c>
      <c r="G2205" s="831">
        <v>0.99030730053809457</v>
      </c>
      <c r="H2205" s="831">
        <v>1.0059866049480999</v>
      </c>
      <c r="I2205" s="831">
        <v>0.99967557348036307</v>
      </c>
      <c r="K2205">
        <v>1.75753332732333</v>
      </c>
      <c r="L2205">
        <v>0</v>
      </c>
      <c r="M2205">
        <v>1.4334414691344918E-3</v>
      </c>
      <c r="N2205">
        <v>0.14556709475176602</v>
      </c>
      <c r="O2205">
        <v>1.8443140261037917E-2</v>
      </c>
      <c r="P2205">
        <v>2.000053172001116E-2</v>
      </c>
      <c r="Q2205">
        <v>2.2397060882456115E-3</v>
      </c>
      <c r="R2205">
        <v>1.4246734169011583E-3</v>
      </c>
      <c r="S2205">
        <v>0.15826943403810026</v>
      </c>
      <c r="T2205">
        <v>1.0711329540804433</v>
      </c>
      <c r="U2205">
        <v>2.401000804779636E-2</v>
      </c>
      <c r="V2205">
        <v>0.21027530228052055</v>
      </c>
      <c r="W2205">
        <v>8.685847863559662E-2</v>
      </c>
      <c r="X2205">
        <v>1.6867954074706541E-2</v>
      </c>
      <c r="Y2205">
        <v>3.8774913973392919E-3</v>
      </c>
    </row>
    <row r="2206" spans="1:25" x14ac:dyDescent="0.25">
      <c r="A2206" s="827"/>
      <c r="B2206" s="1066">
        <v>1956</v>
      </c>
      <c r="C2206" s="831">
        <v>1.0037115943815555</v>
      </c>
      <c r="D2206" s="831">
        <v>0.99995876179369358</v>
      </c>
      <c r="E2206" s="831">
        <v>0.99981923974776465</v>
      </c>
      <c r="F2206" s="831">
        <v>0.98015624202076557</v>
      </c>
      <c r="G2206" s="831">
        <v>0.99949567899503766</v>
      </c>
      <c r="H2206" s="831">
        <v>1.024323244132509</v>
      </c>
      <c r="I2206" s="831">
        <v>0.99811910504830137</v>
      </c>
      <c r="K2206">
        <v>1.7416390134932325</v>
      </c>
      <c r="L2206">
        <v>0</v>
      </c>
      <c r="M2206">
        <v>1.4145601755214698E-3</v>
      </c>
      <c r="N2206">
        <v>0.14243477589444753</v>
      </c>
      <c r="O2206">
        <v>1.7770548516505686E-2</v>
      </c>
      <c r="P2206">
        <v>1.982752429109385E-2</v>
      </c>
      <c r="Q2206">
        <v>2.153759414423001E-3</v>
      </c>
      <c r="R2206">
        <v>1.4060557752606357E-3</v>
      </c>
      <c r="S2206">
        <v>0.15362488410538419</v>
      </c>
      <c r="T2206">
        <v>1.0713781138134624</v>
      </c>
      <c r="U2206">
        <v>2.3236284236283551E-2</v>
      </c>
      <c r="V2206">
        <v>0.20578751309749038</v>
      </c>
      <c r="W2206">
        <v>8.5150215232506071E-2</v>
      </c>
      <c r="X2206">
        <v>1.6457078977798502E-2</v>
      </c>
      <c r="Y2206">
        <v>3.8268203140977043E-3</v>
      </c>
    </row>
    <row r="2207" spans="1:25" x14ac:dyDescent="0.25">
      <c r="A2207" s="827"/>
      <c r="B2207" s="1066">
        <v>1957</v>
      </c>
      <c r="C2207" s="831">
        <v>0.98432791219507842</v>
      </c>
      <c r="D2207" s="831">
        <v>1.0166692340477448</v>
      </c>
      <c r="E2207" s="831">
        <v>1.0173151969180891</v>
      </c>
      <c r="F2207" s="831">
        <v>1.0119056178481276</v>
      </c>
      <c r="G2207" s="831">
        <v>1.0061382665130538</v>
      </c>
      <c r="H2207" s="831">
        <v>1.0058373398396137</v>
      </c>
      <c r="I2207" s="831">
        <v>1.0121880015660785</v>
      </c>
      <c r="K2207">
        <v>1.7465739884144815</v>
      </c>
      <c r="L2207">
        <v>0</v>
      </c>
      <c r="M2207">
        <v>1.3548931784411503E-3</v>
      </c>
      <c r="N2207">
        <v>0.14403639985609082</v>
      </c>
      <c r="O2207">
        <v>1.798510091662146E-2</v>
      </c>
      <c r="P2207">
        <v>2.0117556097598899E-2</v>
      </c>
      <c r="Q2207">
        <v>2.2212547360667919E-3</v>
      </c>
      <c r="R2207">
        <v>1.346586633870479E-3</v>
      </c>
      <c r="S2207">
        <v>0.15641440100268098</v>
      </c>
      <c r="T2207">
        <v>1.0698312170313988</v>
      </c>
      <c r="U2207">
        <v>2.3693860155091305E-2</v>
      </c>
      <c r="V2207">
        <v>0.20636043045035088</v>
      </c>
      <c r="W2207">
        <v>8.5089067387179668E-2</v>
      </c>
      <c r="X2207">
        <v>1.7168042410741359E-2</v>
      </c>
      <c r="Y2207">
        <v>3.6649649152308908E-3</v>
      </c>
    </row>
    <row r="2208" spans="1:25" x14ac:dyDescent="0.25">
      <c r="A2208" s="827"/>
      <c r="B2208" s="1066">
        <v>1958</v>
      </c>
      <c r="C2208" s="831">
        <v>0.97121700671261257</v>
      </c>
      <c r="D2208" s="831">
        <v>0.99511528904452806</v>
      </c>
      <c r="E2208" s="831">
        <v>0.98310407845534864</v>
      </c>
      <c r="F2208" s="831">
        <v>0.98218706084523988</v>
      </c>
      <c r="G2208" s="831">
        <v>0.99934265286801871</v>
      </c>
      <c r="H2208" s="831">
        <v>0.99181809780162355</v>
      </c>
      <c r="I2208" s="831">
        <v>1.033163277323035</v>
      </c>
      <c r="K2208">
        <v>1.7546083127901582</v>
      </c>
      <c r="L2208">
        <v>0</v>
      </c>
      <c r="M2208">
        <v>1.469368463367617E-3</v>
      </c>
      <c r="N2208">
        <v>0.14042405480931197</v>
      </c>
      <c r="O2208">
        <v>1.8405555798026267E-2</v>
      </c>
      <c r="P2208">
        <v>1.9780192980544297E-2</v>
      </c>
      <c r="Q2208">
        <v>2.1925053798326254E-3</v>
      </c>
      <c r="R2208">
        <v>1.460248649743651E-3</v>
      </c>
      <c r="S2208">
        <v>0.16218333005000246</v>
      </c>
      <c r="T2208">
        <v>1.0728667682846722</v>
      </c>
      <c r="U2208">
        <v>2.4013714481015472E-2</v>
      </c>
      <c r="V2208">
        <v>0.20983232552243897</v>
      </c>
      <c r="W2208">
        <v>8.4919633609957801E-2</v>
      </c>
      <c r="X2208">
        <v>1.6025036234214921E-2</v>
      </c>
      <c r="Y2208">
        <v>3.9743154537642015E-3</v>
      </c>
    </row>
    <row r="2209" spans="1:25" x14ac:dyDescent="0.25">
      <c r="A2209" s="827"/>
      <c r="B2209" s="1066">
        <v>1959</v>
      </c>
      <c r="C2209" s="831">
        <v>0.96213442934454119</v>
      </c>
      <c r="D2209" s="831">
        <v>0.97156530814286701</v>
      </c>
      <c r="E2209" s="831">
        <v>1.0033880590844588</v>
      </c>
      <c r="F2209" s="831">
        <v>0.96815451735320701</v>
      </c>
      <c r="G2209" s="831">
        <v>0.9794055952280365</v>
      </c>
      <c r="H2209" s="831">
        <v>1.0088307335472981</v>
      </c>
      <c r="I2209" s="831">
        <v>1.013251153062263</v>
      </c>
      <c r="K2209">
        <v>1.7717640168338191</v>
      </c>
      <c r="L2209">
        <v>0</v>
      </c>
      <c r="M2209">
        <v>1.4614400792026892E-3</v>
      </c>
      <c r="N2209">
        <v>0.14878631174383622</v>
      </c>
      <c r="O2209">
        <v>1.8782367387615424E-2</v>
      </c>
      <c r="P2209">
        <v>2.0125923732295034E-2</v>
      </c>
      <c r="Q2209">
        <v>2.2791340293272394E-3</v>
      </c>
      <c r="R2209">
        <v>1.4525399774319749E-3</v>
      </c>
      <c r="S2209">
        <v>0.16346924583124189</v>
      </c>
      <c r="T2209">
        <v>1.0710616390936394</v>
      </c>
      <c r="U2209">
        <v>2.4240404653424336E-2</v>
      </c>
      <c r="V2209">
        <v>0.21320511141213658</v>
      </c>
      <c r="W2209">
        <v>8.8730588127530319E-2</v>
      </c>
      <c r="X2209">
        <v>1.7138855935647304E-2</v>
      </c>
      <c r="Y2209">
        <v>3.9533349888949635E-3</v>
      </c>
    </row>
    <row r="2210" spans="1:25" x14ac:dyDescent="0.25">
      <c r="A2210" s="827"/>
      <c r="B2210" s="1066">
        <v>1960</v>
      </c>
      <c r="C2210" s="831">
        <v>1.0089319796547478</v>
      </c>
      <c r="D2210" s="831">
        <v>1.0255602750460298</v>
      </c>
      <c r="E2210" s="831">
        <v>1.0295310145886662</v>
      </c>
      <c r="F2210" s="831">
        <v>1.0010203556672574</v>
      </c>
      <c r="G2210" s="831">
        <v>0.99657882154207444</v>
      </c>
      <c r="H2210" s="831">
        <v>1.0119324618979031</v>
      </c>
      <c r="I2210" s="831">
        <v>1.0228758487334733</v>
      </c>
      <c r="K2210">
        <v>1.7356830127013116</v>
      </c>
      <c r="L2210">
        <v>0</v>
      </c>
      <c r="M2210">
        <v>1.2908849971326282E-3</v>
      </c>
      <c r="N2210">
        <v>0.14254293467253307</v>
      </c>
      <c r="O2210">
        <v>1.7477612202201651E-2</v>
      </c>
      <c r="P2210">
        <v>2.0195049562435414E-2</v>
      </c>
      <c r="Q2210">
        <v>2.1864443430807574E-3</v>
      </c>
      <c r="R2210">
        <v>1.2830130206853323E-3</v>
      </c>
      <c r="S2210">
        <v>0.15409470944236831</v>
      </c>
      <c r="T2210">
        <v>1.0687580306543627</v>
      </c>
      <c r="U2210">
        <v>2.3116055758569641E-2</v>
      </c>
      <c r="V2210">
        <v>0.20295027418410636</v>
      </c>
      <c r="W2210">
        <v>8.3517176998056705E-2</v>
      </c>
      <c r="X2210">
        <v>1.7360658362866186E-2</v>
      </c>
      <c r="Y2210">
        <v>3.4919384971768747E-3</v>
      </c>
    </row>
    <row r="2211" spans="1:25" x14ac:dyDescent="0.25">
      <c r="A2211" s="827"/>
      <c r="B2211" s="1066">
        <v>1961</v>
      </c>
      <c r="C2211" s="831">
        <v>0.99981987336626432</v>
      </c>
      <c r="D2211" s="831">
        <v>0.9960717872675191</v>
      </c>
      <c r="E2211" s="831">
        <v>1.0040431300884654</v>
      </c>
      <c r="F2211" s="831">
        <v>1.0321019054999794</v>
      </c>
      <c r="G2211" s="831">
        <v>0.96901686050104019</v>
      </c>
      <c r="H2211" s="831">
        <v>1.0230175992186001</v>
      </c>
      <c r="I2211" s="831">
        <v>0.96496232669030579</v>
      </c>
      <c r="K2211">
        <v>1.7397854823422279</v>
      </c>
      <c r="L2211">
        <v>0</v>
      </c>
      <c r="M2211">
        <v>1.4081725464822898E-3</v>
      </c>
      <c r="N2211">
        <v>0.14366606926726078</v>
      </c>
      <c r="O2211">
        <v>1.7871226391547829E-2</v>
      </c>
      <c r="P2211">
        <v>1.9836882931513523E-2</v>
      </c>
      <c r="Q2211">
        <v>2.1744721894992997E-3</v>
      </c>
      <c r="R2211">
        <v>1.3996984360997676E-3</v>
      </c>
      <c r="S2211">
        <v>0.14925064583108341</v>
      </c>
      <c r="T2211">
        <v>1.0710036011410933</v>
      </c>
      <c r="U2211">
        <v>2.3326729663593553E-2</v>
      </c>
      <c r="V2211">
        <v>0.20656403693414299</v>
      </c>
      <c r="W2211">
        <v>8.5638772424335E-2</v>
      </c>
      <c r="X2211">
        <v>1.6652001945941824E-2</v>
      </c>
      <c r="Y2211">
        <v>3.8095177325981138E-3</v>
      </c>
    </row>
    <row r="2212" spans="1:25" x14ac:dyDescent="0.25">
      <c r="A2212" s="827"/>
      <c r="B2212" s="1066">
        <v>1962</v>
      </c>
      <c r="C2212" s="831">
        <v>0.99987495803547544</v>
      </c>
      <c r="D2212" s="831">
        <v>0.99169526843662692</v>
      </c>
      <c r="E2212" s="831">
        <v>0.99880965867576599</v>
      </c>
      <c r="F2212" s="831">
        <v>0.97317703194664207</v>
      </c>
      <c r="G2212" s="831">
        <v>0.97564335307270977</v>
      </c>
      <c r="H2212" s="831">
        <v>0.98789502250547157</v>
      </c>
      <c r="I2212" s="831">
        <v>0.98896632024219566</v>
      </c>
      <c r="K2212">
        <v>1.7332946417406578</v>
      </c>
      <c r="L2212">
        <v>0</v>
      </c>
      <c r="M2212">
        <v>1.3775681912402513E-3</v>
      </c>
      <c r="N2212">
        <v>0.13824471424793242</v>
      </c>
      <c r="O2212">
        <v>1.7905947474755025E-2</v>
      </c>
      <c r="P2212">
        <v>1.9791624122209053E-2</v>
      </c>
      <c r="Q2212">
        <v>2.1664900233172813E-3</v>
      </c>
      <c r="R2212">
        <v>1.368986609376801E-3</v>
      </c>
      <c r="S2212">
        <v>0.15073200399085149</v>
      </c>
      <c r="T2212">
        <v>1.0714677283917462</v>
      </c>
      <c r="U2212">
        <v>2.3325444557714074E-2</v>
      </c>
      <c r="V2212">
        <v>0.20696474103622464</v>
      </c>
      <c r="W2212">
        <v>8.2702454965870767E-2</v>
      </c>
      <c r="X2212">
        <v>1.6276144247491173E-2</v>
      </c>
      <c r="Y2212">
        <v>3.7259302644091579E-3</v>
      </c>
    </row>
    <row r="2213" spans="1:25" x14ac:dyDescent="0.25">
      <c r="A2213" s="827"/>
      <c r="B2213" s="1066">
        <v>1963</v>
      </c>
      <c r="C2213" s="831">
        <v>0.99917398987915418</v>
      </c>
      <c r="D2213" s="831">
        <v>1.0137761501437106</v>
      </c>
      <c r="E2213" s="831">
        <v>1.0152082558923767</v>
      </c>
      <c r="F2213" s="831">
        <v>0.99837258668777884</v>
      </c>
      <c r="G2213" s="831">
        <v>1.0022676982278134</v>
      </c>
      <c r="H2213" s="831">
        <v>1.016509404782254</v>
      </c>
      <c r="I2213" s="831">
        <v>0.97727456993194661</v>
      </c>
      <c r="K2213">
        <v>1.7366727996922464</v>
      </c>
      <c r="L2213">
        <v>0</v>
      </c>
      <c r="M2213">
        <v>1.3566822947006809E-3</v>
      </c>
      <c r="N2213">
        <v>0.14329490550789403</v>
      </c>
      <c r="O2213">
        <v>1.774071662097294E-2</v>
      </c>
      <c r="P2213">
        <v>1.9972836258443004E-2</v>
      </c>
      <c r="Q2213">
        <v>2.1859713179054655E-3</v>
      </c>
      <c r="R2213">
        <v>1.3484540000320397E-3</v>
      </c>
      <c r="S2213">
        <v>0.14969584691437296</v>
      </c>
      <c r="T2213">
        <v>1.070016888067711</v>
      </c>
      <c r="U2213">
        <v>2.3341808468336892E-2</v>
      </c>
      <c r="V2213">
        <v>0.20501745416972744</v>
      </c>
      <c r="W2213">
        <v>8.4771780735837951E-2</v>
      </c>
      <c r="X2213">
        <v>1.6972772655366487E-2</v>
      </c>
      <c r="Y2213">
        <v>3.6700472703455689E-3</v>
      </c>
    </row>
    <row r="2214" spans="1:25" x14ac:dyDescent="0.25">
      <c r="A2214" s="827"/>
      <c r="B2214" s="1066">
        <v>1964</v>
      </c>
      <c r="C2214" s="831">
        <v>0.97769074023186875</v>
      </c>
      <c r="D2214" s="831">
        <v>0.996772992653011</v>
      </c>
      <c r="E2214" s="831">
        <v>0.99563207245547025</v>
      </c>
      <c r="F2214" s="831">
        <v>1.0060630598541715</v>
      </c>
      <c r="G2214" s="831">
        <v>1.0055672043466246</v>
      </c>
      <c r="H2214" s="831">
        <v>0.9885421950596972</v>
      </c>
      <c r="I2214" s="831">
        <v>0.97939773488812976</v>
      </c>
      <c r="K2214">
        <v>1.7424474905642042</v>
      </c>
      <c r="L2214">
        <v>0</v>
      </c>
      <c r="M2214">
        <v>1.4159320497392049E-3</v>
      </c>
      <c r="N2214">
        <v>0.14069680810560301</v>
      </c>
      <c r="O2214">
        <v>1.8269898073407034E-2</v>
      </c>
      <c r="P2214">
        <v>1.9805008944396921E-2</v>
      </c>
      <c r="Q2214">
        <v>2.2043908318601013E-3</v>
      </c>
      <c r="R2214">
        <v>1.4071135745940041E-3</v>
      </c>
      <c r="S2214">
        <v>0.15238391362225026</v>
      </c>
      <c r="T2214">
        <v>1.0717500350377704</v>
      </c>
      <c r="U2214">
        <v>2.385470879346982E-2</v>
      </c>
      <c r="V2214">
        <v>0.20894012812644644</v>
      </c>
      <c r="W2214">
        <v>8.4352936241678528E-2</v>
      </c>
      <c r="X2214">
        <v>1.6368781967286458E-2</v>
      </c>
      <c r="Y2214">
        <v>3.8296992951796782E-3</v>
      </c>
    </row>
    <row r="2215" spans="1:25" x14ac:dyDescent="0.25">
      <c r="A2215" s="827"/>
      <c r="B2215" s="1066">
        <v>1965</v>
      </c>
      <c r="C2215" s="831">
        <v>0.95798547340665985</v>
      </c>
      <c r="D2215" s="831">
        <v>1.0427185324858621</v>
      </c>
      <c r="E2215" s="831">
        <v>0.98782912921101163</v>
      </c>
      <c r="F2215" s="831">
        <v>1.0131480541870759</v>
      </c>
      <c r="G2215" s="831">
        <v>1.0435020141050511</v>
      </c>
      <c r="H2215" s="831">
        <v>1.0394044132331437</v>
      </c>
      <c r="I2215" s="831">
        <v>1.0035570261960149</v>
      </c>
      <c r="K2215">
        <v>1.7599469423591743</v>
      </c>
      <c r="L2215">
        <v>0</v>
      </c>
      <c r="M2215">
        <v>1.5134449358939724E-3</v>
      </c>
      <c r="N2215">
        <v>0.1468192104550077</v>
      </c>
      <c r="O2215">
        <v>1.8269802522952659E-2</v>
      </c>
      <c r="P2215">
        <v>1.9783671265145172E-2</v>
      </c>
      <c r="Q2215">
        <v>2.1950896495489137E-3</v>
      </c>
      <c r="R2215">
        <v>1.5044477544384383E-3</v>
      </c>
      <c r="S2215">
        <v>0.16016247764685068</v>
      </c>
      <c r="T2215">
        <v>1.0724448877238237</v>
      </c>
      <c r="U2215">
        <v>2.4345387843269395E-2</v>
      </c>
      <c r="V2215">
        <v>0.20696530433302218</v>
      </c>
      <c r="W2215">
        <v>8.8497505535932386E-2</v>
      </c>
      <c r="X2215">
        <v>1.6377991718563249E-2</v>
      </c>
      <c r="Y2215">
        <v>4.0946108465124663E-3</v>
      </c>
    </row>
    <row r="2216" spans="1:25" x14ac:dyDescent="0.25">
      <c r="A2216" s="827"/>
      <c r="B2216" s="1066">
        <v>1966</v>
      </c>
      <c r="C2216" s="831">
        <v>1.0055984714263497</v>
      </c>
      <c r="D2216" s="831">
        <v>0.9913897983264307</v>
      </c>
      <c r="E2216" s="831">
        <v>1.0284273111604108</v>
      </c>
      <c r="F2216" s="831">
        <v>1.0010356247301209</v>
      </c>
      <c r="G2216" s="831">
        <v>1.0059128162472331</v>
      </c>
      <c r="H2216" s="831">
        <v>1.0001811844886264</v>
      </c>
      <c r="I2216" s="831">
        <v>1.0235270841160076</v>
      </c>
      <c r="K2216">
        <v>1.7431500444698902</v>
      </c>
      <c r="L2216">
        <v>0</v>
      </c>
      <c r="M2216">
        <v>1.3029211891136547E-3</v>
      </c>
      <c r="N2216">
        <v>0.14337199204292098</v>
      </c>
      <c r="O2216">
        <v>1.7806520280752879E-2</v>
      </c>
      <c r="P2216">
        <v>2.025601113285715E-2</v>
      </c>
      <c r="Q2216">
        <v>2.2190144843982698E-3</v>
      </c>
      <c r="R2216">
        <v>1.2949045273898485E-3</v>
      </c>
      <c r="S2216">
        <v>0.15603272236374799</v>
      </c>
      <c r="T2216">
        <v>1.0688547609349675</v>
      </c>
      <c r="U2216">
        <v>2.3192684317849346E-2</v>
      </c>
      <c r="V2216">
        <v>0.20637607493983839</v>
      </c>
      <c r="W2216">
        <v>8.406512537491885E-2</v>
      </c>
      <c r="X2216">
        <v>1.7458852000970214E-2</v>
      </c>
      <c r="Y2216">
        <v>3.524303258392435E-3</v>
      </c>
    </row>
    <row r="2217" spans="1:25" x14ac:dyDescent="0.25">
      <c r="A2217" s="827"/>
      <c r="B2217" s="1066">
        <v>1967</v>
      </c>
      <c r="C2217" s="831">
        <v>1.0163178274020892</v>
      </c>
      <c r="D2217" s="831">
        <v>0.99440735502533451</v>
      </c>
      <c r="E2217" s="831">
        <v>0.99617586720797224</v>
      </c>
      <c r="F2217" s="831">
        <v>0.98742550770918081</v>
      </c>
      <c r="G2217" s="831">
        <v>1.0096469958600061</v>
      </c>
      <c r="H2217" s="831">
        <v>1.0424855945534799</v>
      </c>
      <c r="I2217" s="831">
        <v>0.99089846515155078</v>
      </c>
      <c r="K2217">
        <v>1.7402290261889231</v>
      </c>
      <c r="L2217">
        <v>0</v>
      </c>
      <c r="M2217">
        <v>1.4363468868291895E-3</v>
      </c>
      <c r="N2217">
        <v>0.14301363654564958</v>
      </c>
      <c r="O2217">
        <v>1.7594452472928093E-2</v>
      </c>
      <c r="P2217">
        <v>1.9744041740702118E-2</v>
      </c>
      <c r="Q2217">
        <v>2.1236423051344262E-3</v>
      </c>
      <c r="R2217">
        <v>1.4278658040436224E-3</v>
      </c>
      <c r="S2217">
        <v>0.15224520463531305</v>
      </c>
      <c r="T2217">
        <v>1.0717016956085597</v>
      </c>
      <c r="U2217">
        <v>2.2948065329051845E-2</v>
      </c>
      <c r="V2217">
        <v>0.20496096374882844</v>
      </c>
      <c r="W2217">
        <v>8.5709971617422595E-2</v>
      </c>
      <c r="X2217">
        <v>1.6309653245347076E-2</v>
      </c>
      <c r="Y2217">
        <v>3.8861800227709396E-3</v>
      </c>
    </row>
    <row r="2218" spans="1:25" x14ac:dyDescent="0.25">
      <c r="A2218" s="827"/>
      <c r="B2218" s="1066">
        <v>1968</v>
      </c>
      <c r="C2218" s="831">
        <v>1.0254365297706036</v>
      </c>
      <c r="D2218" s="831">
        <v>0.98143373808854739</v>
      </c>
      <c r="E2218" s="831">
        <v>1.0235515369486501</v>
      </c>
      <c r="F2218" s="831">
        <v>0.98179196661887869</v>
      </c>
      <c r="G2218" s="831">
        <v>0.9961763093590088</v>
      </c>
      <c r="H2218" s="831">
        <v>0.98063048810598652</v>
      </c>
      <c r="I2218" s="831">
        <v>1.0012201259155193</v>
      </c>
      <c r="K2218">
        <v>1.7251878520803401</v>
      </c>
      <c r="L2218">
        <v>0</v>
      </c>
      <c r="M2218">
        <v>1.2715229608400347E-3</v>
      </c>
      <c r="N2218">
        <v>0.13779829858240242</v>
      </c>
      <c r="O2218">
        <v>1.7542183352602492E-2</v>
      </c>
      <c r="P2218">
        <v>2.0068927559544286E-2</v>
      </c>
      <c r="Q2218">
        <v>2.1737248936541729E-3</v>
      </c>
      <c r="R2218">
        <v>1.2635501182875295E-3</v>
      </c>
      <c r="S2218">
        <v>0.14892682123367773</v>
      </c>
      <c r="T2218">
        <v>1.0692826341829578</v>
      </c>
      <c r="U2218">
        <v>2.2743999478466545E-2</v>
      </c>
      <c r="V2218">
        <v>0.20520843825154114</v>
      </c>
      <c r="W2218">
        <v>8.1062190329087735E-2</v>
      </c>
      <c r="X2218">
        <v>1.6949640166164803E-2</v>
      </c>
      <c r="Y2218">
        <v>3.4389668927941076E-3</v>
      </c>
    </row>
    <row r="2219" spans="1:25" x14ac:dyDescent="0.25">
      <c r="A2219" s="827"/>
      <c r="B2219" s="1066">
        <v>1969</v>
      </c>
      <c r="C2219" s="831">
        <v>1.0233194004878903</v>
      </c>
      <c r="D2219" s="831">
        <v>0.96615928776161586</v>
      </c>
      <c r="E2219" s="831">
        <v>1.0097460021425062</v>
      </c>
      <c r="F2219" s="831">
        <v>1.0040189714214991</v>
      </c>
      <c r="G2219" s="831">
        <v>1.0074889704086174</v>
      </c>
      <c r="H2219" s="831">
        <v>1.014085512786119</v>
      </c>
      <c r="I2219" s="831">
        <v>0.9627959499157519</v>
      </c>
      <c r="K2219">
        <v>1.7331810924139497</v>
      </c>
      <c r="L2219">
        <v>0</v>
      </c>
      <c r="M2219">
        <v>1.3662857689155079E-3</v>
      </c>
      <c r="N2219">
        <v>0.14188118465462096</v>
      </c>
      <c r="O2219">
        <v>1.7704214044680793E-2</v>
      </c>
      <c r="P2219">
        <v>1.987648773091202E-2</v>
      </c>
      <c r="Q2219">
        <v>2.1610242726341927E-3</v>
      </c>
      <c r="R2219">
        <v>1.358012093715533E-3</v>
      </c>
      <c r="S2219">
        <v>0.14674258266127205</v>
      </c>
      <c r="T2219">
        <v>1.0704990233689879</v>
      </c>
      <c r="U2219">
        <v>2.2791054178376444E-2</v>
      </c>
      <c r="V2219">
        <v>0.20687627300442749</v>
      </c>
      <c r="W2219">
        <v>8.4247007232505722E-2</v>
      </c>
      <c r="X2219">
        <v>1.6714453690203062E-2</v>
      </c>
      <c r="Y2219">
        <v>3.6960612505273008E-3</v>
      </c>
    </row>
    <row r="2220" spans="1:25" x14ac:dyDescent="0.25">
      <c r="A2220" s="827"/>
      <c r="B2220" s="1066">
        <v>1970</v>
      </c>
      <c r="C2220" s="831">
        <v>1.0395190754801977</v>
      </c>
      <c r="D2220" s="831">
        <v>0.99462653147672142</v>
      </c>
      <c r="E2220" s="831">
        <v>0.96688200753345155</v>
      </c>
      <c r="F2220" s="831">
        <v>0.99158731145594303</v>
      </c>
      <c r="G2220" s="831">
        <v>0.95243952743854188</v>
      </c>
      <c r="H2220" s="831">
        <v>0.97819163955287736</v>
      </c>
      <c r="I2220" s="831">
        <v>1.0180675516049003</v>
      </c>
      <c r="K2220">
        <v>1.7097733602177319</v>
      </c>
      <c r="L2220">
        <v>0</v>
      </c>
      <c r="M2220">
        <v>1.4011391744918849E-3</v>
      </c>
      <c r="N2220">
        <v>0.12729034229218469</v>
      </c>
      <c r="O2220">
        <v>1.7200039913080136E-2</v>
      </c>
      <c r="P2220">
        <v>1.9254667053400266E-2</v>
      </c>
      <c r="Q2220">
        <v>2.0152222057936765E-3</v>
      </c>
      <c r="R2220">
        <v>1.3923220458585451E-3</v>
      </c>
      <c r="S2220">
        <v>0.1483831265456077</v>
      </c>
      <c r="T2220">
        <v>1.0743215536027801</v>
      </c>
      <c r="U2220">
        <v>2.2435882561875582E-2</v>
      </c>
      <c r="V2220">
        <v>0.20256426376099573</v>
      </c>
      <c r="W2220">
        <v>7.7851661584420223E-2</v>
      </c>
      <c r="X2220">
        <v>1.4675976196237355E-2</v>
      </c>
      <c r="Y2220">
        <v>3.7894416299878958E-3</v>
      </c>
    </row>
    <row r="2221" spans="1:25" x14ac:dyDescent="0.25">
      <c r="A2221" s="827"/>
      <c r="B2221" s="1066">
        <v>1971</v>
      </c>
      <c r="C2221" s="831">
        <v>0.96505944216940287</v>
      </c>
      <c r="D2221" s="831">
        <v>0.98323948610440237</v>
      </c>
      <c r="E2221" s="831">
        <v>1.0171563263701304</v>
      </c>
      <c r="F2221" s="831">
        <v>0.98740841987074379</v>
      </c>
      <c r="G2221" s="831">
        <v>1.033200515844042</v>
      </c>
      <c r="H2221" s="831">
        <v>0.9747256059753171</v>
      </c>
      <c r="I2221" s="831">
        <v>1.0007567315117583</v>
      </c>
      <c r="K2221">
        <v>1.7553251315150922</v>
      </c>
      <c r="L2221">
        <v>0</v>
      </c>
      <c r="M2221">
        <v>1.360069629061235E-3</v>
      </c>
      <c r="N2221">
        <v>0.14448939292919924</v>
      </c>
      <c r="O2221">
        <v>1.8624129799320828E-2</v>
      </c>
      <c r="P2221">
        <v>2.021220265377251E-2</v>
      </c>
      <c r="Q2221">
        <v>2.2935192061154619E-3</v>
      </c>
      <c r="R2221">
        <v>1.3514886113845236E-3</v>
      </c>
      <c r="S2221">
        <v>0.15760713484729466</v>
      </c>
      <c r="T2221">
        <v>1.0698452114028125</v>
      </c>
      <c r="U2221">
        <v>2.4166934055248848E-2</v>
      </c>
      <c r="V2221">
        <v>0.21169802380078148</v>
      </c>
      <c r="W2221">
        <v>8.5365840191473197E-2</v>
      </c>
      <c r="X2221">
        <v>1.7353017164660308E-2</v>
      </c>
      <c r="Y2221">
        <v>3.6783064820876663E-3</v>
      </c>
    </row>
    <row r="2222" spans="1:25" x14ac:dyDescent="0.25">
      <c r="A2222" s="827"/>
      <c r="B2222" s="1066">
        <v>1972</v>
      </c>
      <c r="C2222" s="831">
        <v>1.0142255485283758</v>
      </c>
      <c r="D2222" s="831">
        <v>1.019490922410438</v>
      </c>
      <c r="E2222" s="831">
        <v>0.98529583569748835</v>
      </c>
      <c r="F2222" s="831">
        <v>1.0278930869866325</v>
      </c>
      <c r="G2222" s="831">
        <v>1.0335204433889844</v>
      </c>
      <c r="H2222" s="831">
        <v>1.0176767462656424</v>
      </c>
      <c r="I2222" s="831">
        <v>1.0136439494541112</v>
      </c>
      <c r="K2222">
        <v>1.7292940430728418</v>
      </c>
      <c r="L2222">
        <v>0</v>
      </c>
      <c r="M2222">
        <v>1.4214753268560524E-3</v>
      </c>
      <c r="N2222">
        <v>0.13679766223536516</v>
      </c>
      <c r="O2222">
        <v>1.7433077252358108E-2</v>
      </c>
      <c r="P2222">
        <v>1.9575411313290905E-2</v>
      </c>
      <c r="Q2222">
        <v>2.0853993997699276E-3</v>
      </c>
      <c r="R2222">
        <v>1.4128600407966546E-3</v>
      </c>
      <c r="S2222">
        <v>0.15268947770898778</v>
      </c>
      <c r="T2222">
        <v>1.0726709707484519</v>
      </c>
      <c r="U2222">
        <v>2.2995405639449504E-2</v>
      </c>
      <c r="V2222">
        <v>0.20293573305853924</v>
      </c>
      <c r="W2222">
        <v>8.260127095210755E-2</v>
      </c>
      <c r="X2222">
        <v>1.5672910768719177E-2</v>
      </c>
      <c r="Y2222">
        <v>3.8453392818612181E-3</v>
      </c>
    </row>
    <row r="2223" spans="1:25" x14ac:dyDescent="0.25">
      <c r="A2223" s="827"/>
      <c r="B2223" s="1066">
        <v>1973</v>
      </c>
      <c r="C2223" s="831">
        <v>1.0245583733718855</v>
      </c>
      <c r="D2223" s="831">
        <v>1.0363050937447569</v>
      </c>
      <c r="E2223" s="831">
        <v>1.0038649600368297</v>
      </c>
      <c r="F2223" s="831">
        <v>1.0230245180661097</v>
      </c>
      <c r="G2223" s="831">
        <v>0.95726632487391794</v>
      </c>
      <c r="H2223" s="831">
        <v>0.95448760230457974</v>
      </c>
      <c r="I2223" s="831">
        <v>0.98632606569057235</v>
      </c>
      <c r="K2223">
        <v>1.6990299176686892</v>
      </c>
      <c r="L2223">
        <v>0</v>
      </c>
      <c r="M2223">
        <v>1.2598668471768023E-3</v>
      </c>
      <c r="N2223">
        <v>0.12840574912738495</v>
      </c>
      <c r="O2223">
        <v>1.7130272524644972E-2</v>
      </c>
      <c r="P2223">
        <v>1.9640907371262232E-2</v>
      </c>
      <c r="Q2223">
        <v>2.0906629339676797E-3</v>
      </c>
      <c r="R2223">
        <v>1.2517148327304986E-3</v>
      </c>
      <c r="S2223">
        <v>0.14178597212147467</v>
      </c>
      <c r="T2223">
        <v>1.0710193850389014</v>
      </c>
      <c r="U2223">
        <v>2.2763493525066125E-2</v>
      </c>
      <c r="V2223">
        <v>0.2004500286007197</v>
      </c>
      <c r="W2223">
        <v>7.6551462492221181E-2</v>
      </c>
      <c r="X2223">
        <v>1.5793380800482464E-2</v>
      </c>
      <c r="Y2223">
        <v>3.4067551470087038E-3</v>
      </c>
    </row>
    <row r="2224" spans="1:25" x14ac:dyDescent="0.25">
      <c r="A2224" s="827"/>
      <c r="B2224" s="1066">
        <v>1974</v>
      </c>
      <c r="C2224" s="831">
        <v>0.97517967819112739</v>
      </c>
      <c r="D2224" s="831">
        <v>0.98312560913125646</v>
      </c>
      <c r="E2224" s="831">
        <v>0.9958335405028822</v>
      </c>
      <c r="F2224" s="831">
        <v>0.96202937051863446</v>
      </c>
      <c r="G2224" s="831">
        <v>0.99822206577280148</v>
      </c>
      <c r="H2224" s="831">
        <v>0.98562775729679308</v>
      </c>
      <c r="I2224" s="831">
        <v>0.98917319975558471</v>
      </c>
      <c r="K2224">
        <v>1.74838839793204</v>
      </c>
      <c r="L2224">
        <v>0</v>
      </c>
      <c r="M2224">
        <v>1.4236560181770475E-3</v>
      </c>
      <c r="N2224">
        <v>0.141551420219515</v>
      </c>
      <c r="O2224">
        <v>1.8431820924209821E-2</v>
      </c>
      <c r="P2224">
        <v>1.986555606829388E-2</v>
      </c>
      <c r="Q2224">
        <v>2.2218535760577581E-3</v>
      </c>
      <c r="R2224">
        <v>1.4147732559604853E-3</v>
      </c>
      <c r="S2224">
        <v>0.15497360556862885</v>
      </c>
      <c r="T2224">
        <v>1.0717321246818132</v>
      </c>
      <c r="U2224">
        <v>2.3916134041640863E-2</v>
      </c>
      <c r="V2224">
        <v>0.2105373684892107</v>
      </c>
      <c r="W2224">
        <v>8.4853574757951786E-2</v>
      </c>
      <c r="X2224">
        <v>1.6463275944086631E-2</v>
      </c>
      <c r="Y2224">
        <v>3.8505464228459556E-3</v>
      </c>
    </row>
    <row r="2225" spans="1:25" x14ac:dyDescent="0.25">
      <c r="A2225" s="827"/>
      <c r="B2225" s="1066">
        <v>1975</v>
      </c>
      <c r="C2225" s="831">
        <v>0.96605472152518213</v>
      </c>
      <c r="D2225" s="831">
        <v>1.0128399419925469</v>
      </c>
      <c r="E2225" s="831">
        <v>0.97089777966737423</v>
      </c>
      <c r="F2225" s="831">
        <v>1.0069520361595354</v>
      </c>
      <c r="G2225" s="831">
        <v>1.0206734053121687</v>
      </c>
      <c r="H2225" s="831">
        <v>1.007926074195403</v>
      </c>
      <c r="I2225" s="831">
        <v>1.0024386711398083</v>
      </c>
      <c r="K2225">
        <v>1.7512014279664003</v>
      </c>
      <c r="L2225">
        <v>0</v>
      </c>
      <c r="M2225">
        <v>1.5279100450463563E-3</v>
      </c>
      <c r="N2225">
        <v>0.14058129749822745</v>
      </c>
      <c r="O2225">
        <v>1.8356590566039374E-2</v>
      </c>
      <c r="P2225">
        <v>1.9546344152213093E-2</v>
      </c>
      <c r="Q2225">
        <v>2.1627876743617585E-3</v>
      </c>
      <c r="R2225">
        <v>1.5185650359988577E-3</v>
      </c>
      <c r="S2225">
        <v>0.15823975274059901</v>
      </c>
      <c r="T2225">
        <v>1.0739605022497332</v>
      </c>
      <c r="U2225">
        <v>2.4142036034441362E-2</v>
      </c>
      <c r="V2225">
        <v>0.20875568656953225</v>
      </c>
      <c r="W2225">
        <v>8.5739377003523853E-2</v>
      </c>
      <c r="X2225">
        <v>1.5593365053616673E-2</v>
      </c>
      <c r="Y2225">
        <v>4.1330334331593126E-3</v>
      </c>
    </row>
    <row r="2226" spans="1:25" x14ac:dyDescent="0.25">
      <c r="A2226" s="827"/>
      <c r="B2226" s="1066">
        <v>1976</v>
      </c>
      <c r="C2226" s="831">
        <v>0.99747119974798693</v>
      </c>
      <c r="D2226" s="831">
        <v>0.9923101857985045</v>
      </c>
      <c r="E2226" s="831">
        <v>1.0263559050167792</v>
      </c>
      <c r="F2226" s="831">
        <v>1.0248179696373605</v>
      </c>
      <c r="G2226" s="831">
        <v>0.98418065291512002</v>
      </c>
      <c r="H2226" s="831">
        <v>0.96802828855496126</v>
      </c>
      <c r="I2226" s="831">
        <v>1.0112253718983204</v>
      </c>
      <c r="K2226">
        <v>1.7350873019751458</v>
      </c>
      <c r="L2226">
        <v>0</v>
      </c>
      <c r="M2226">
        <v>1.2763554019837621E-3</v>
      </c>
      <c r="N2226">
        <v>0.13951958626324573</v>
      </c>
      <c r="O2226">
        <v>1.7944054323471612E-2</v>
      </c>
      <c r="P2226">
        <v>2.0199523198184618E-2</v>
      </c>
      <c r="Q2226">
        <v>2.2317427268645058E-3</v>
      </c>
      <c r="R2226">
        <v>1.268240736180372E-3</v>
      </c>
      <c r="S2226">
        <v>0.15300533923427534</v>
      </c>
      <c r="T2226">
        <v>1.0690364269127108</v>
      </c>
      <c r="U2226">
        <v>2.3381655434458332E-2</v>
      </c>
      <c r="V2226">
        <v>0.2071680774006284</v>
      </c>
      <c r="W2226">
        <v>8.1920133553595467E-2</v>
      </c>
      <c r="X2226">
        <v>1.7237144385075922E-2</v>
      </c>
      <c r="Y2226">
        <v>3.451733208436651E-3</v>
      </c>
    </row>
    <row r="2227" spans="1:25" x14ac:dyDescent="0.25">
      <c r="A2227" s="827"/>
      <c r="B2227" s="1066">
        <v>1977</v>
      </c>
      <c r="C2227" s="831">
        <v>1.000841535766404</v>
      </c>
      <c r="D2227" s="831">
        <v>0.97105186594618853</v>
      </c>
      <c r="E2227" s="831">
        <v>1.021681711918289</v>
      </c>
      <c r="F2227" s="831">
        <v>1.0238043714805651</v>
      </c>
      <c r="G2227" s="831">
        <v>1.0159716703788355</v>
      </c>
      <c r="H2227" s="831">
        <v>1.0352567723660897</v>
      </c>
      <c r="I2227" s="831">
        <v>0.96056064506365268</v>
      </c>
      <c r="K2227">
        <v>1.7517786431910092</v>
      </c>
      <c r="L2227">
        <v>0</v>
      </c>
      <c r="M2227">
        <v>1.3874649960437689E-3</v>
      </c>
      <c r="N2227">
        <v>0.14954309522162121</v>
      </c>
      <c r="O2227">
        <v>1.8060306366034014E-2</v>
      </c>
      <c r="P2227">
        <v>2.012847835580478E-2</v>
      </c>
      <c r="Q2227">
        <v>2.2318060411905321E-3</v>
      </c>
      <c r="R2227">
        <v>1.3792314441975987E-3</v>
      </c>
      <c r="S2227">
        <v>0.1508531834147866</v>
      </c>
      <c r="T2227">
        <v>1.0694469596330478</v>
      </c>
      <c r="U2227">
        <v>2.3302917659631075E-2</v>
      </c>
      <c r="V2227">
        <v>0.20883088594519736</v>
      </c>
      <c r="W2227">
        <v>8.8082129750038859E-2</v>
      </c>
      <c r="X2227">
        <v>1.7553301027918189E-2</v>
      </c>
      <c r="Y2227">
        <v>3.7538133275824767E-3</v>
      </c>
    </row>
    <row r="2228" spans="1:25" x14ac:dyDescent="0.25">
      <c r="A2228" s="827"/>
      <c r="B2228" s="1066">
        <v>1978</v>
      </c>
      <c r="C2228" s="831">
        <v>1.0248135490436787</v>
      </c>
      <c r="D2228" s="831">
        <v>0.99579546551638265</v>
      </c>
      <c r="E2228" s="831">
        <v>0.99509188733433951</v>
      </c>
      <c r="F2228" s="831">
        <v>0.987072462599212</v>
      </c>
      <c r="G2228" s="831">
        <v>0.98914468619174867</v>
      </c>
      <c r="H2228" s="831">
        <v>1.0115936236296319</v>
      </c>
      <c r="I2228" s="831">
        <v>0.99133905624660013</v>
      </c>
      <c r="K2228">
        <v>1.7260104303198387</v>
      </c>
      <c r="L2228">
        <v>0</v>
      </c>
      <c r="M2228">
        <v>1.3845113096156187E-3</v>
      </c>
      <c r="N2228">
        <v>0.13736321742494409</v>
      </c>
      <c r="O2228">
        <v>1.7437566187231766E-2</v>
      </c>
      <c r="P2228">
        <v>1.9666388014412117E-2</v>
      </c>
      <c r="Q2228">
        <v>2.1026496764673199E-3</v>
      </c>
      <c r="R2228">
        <v>1.3760856883130201E-3</v>
      </c>
      <c r="S2228">
        <v>0.14881327359449362</v>
      </c>
      <c r="T2228">
        <v>1.0717980646371499</v>
      </c>
      <c r="U2228">
        <v>2.2757825479636753E-2</v>
      </c>
      <c r="V2228">
        <v>0.20395492549177921</v>
      </c>
      <c r="W2228">
        <v>8.2384869433850788E-2</v>
      </c>
      <c r="X2228">
        <v>1.5994824384110547E-2</v>
      </c>
      <c r="Y2228">
        <v>3.7452516170628034E-3</v>
      </c>
    </row>
    <row r="2229" spans="1:25" x14ac:dyDescent="0.25">
      <c r="A2229" s="827"/>
      <c r="B2229" s="1066">
        <v>1979</v>
      </c>
      <c r="C2229" s="831">
        <v>0.97800493335496574</v>
      </c>
      <c r="D2229" s="831">
        <v>0.983501361816707</v>
      </c>
      <c r="E2229" s="831">
        <v>0.98132066152558872</v>
      </c>
      <c r="F2229" s="831">
        <v>0.98095569654269965</v>
      </c>
      <c r="G2229" s="831">
        <v>0.97262945504940967</v>
      </c>
      <c r="H2229" s="831">
        <v>0.97490112767111603</v>
      </c>
      <c r="I2229" s="831">
        <v>0.9993106625401792</v>
      </c>
      <c r="K2229">
        <v>1.7431091029038619</v>
      </c>
      <c r="L2229">
        <v>0</v>
      </c>
      <c r="M2229">
        <v>1.447340832672147E-3</v>
      </c>
      <c r="N2229">
        <v>0.13753852806120886</v>
      </c>
      <c r="O2229">
        <v>1.8375387964124655E-2</v>
      </c>
      <c r="P2229">
        <v>1.9665274784567466E-2</v>
      </c>
      <c r="Q2229">
        <v>2.1828387750351674E-3</v>
      </c>
      <c r="R2229">
        <v>1.4382106434706488E-3</v>
      </c>
      <c r="S2229">
        <v>0.15529201151801611</v>
      </c>
      <c r="T2229">
        <v>1.0730262206089556</v>
      </c>
      <c r="U2229">
        <v>2.3847045247816032E-2</v>
      </c>
      <c r="V2229">
        <v>0.21017835613497338</v>
      </c>
      <c r="W2229">
        <v>8.3277480656968939E-2</v>
      </c>
      <c r="X2229">
        <v>1.5820754075880839E-2</v>
      </c>
      <c r="Y2229">
        <v>3.914335265515905E-3</v>
      </c>
    </row>
    <row r="2230" spans="1:25" x14ac:dyDescent="0.25">
      <c r="A2230" s="827"/>
      <c r="B2230" s="1066">
        <v>1980</v>
      </c>
      <c r="C2230" s="831">
        <v>0.98819397697726719</v>
      </c>
      <c r="D2230" s="831">
        <v>0.97691806764995348</v>
      </c>
      <c r="E2230" s="831">
        <v>1.0100082838117872</v>
      </c>
      <c r="F2230" s="831">
        <v>0.97421425881462831</v>
      </c>
      <c r="G2230" s="831">
        <v>0.99830972330651369</v>
      </c>
      <c r="H2230" s="831">
        <v>0.99446979246659828</v>
      </c>
      <c r="I2230" s="831">
        <v>0.98015598264827319</v>
      </c>
      <c r="K2230">
        <v>1.7459686367897183</v>
      </c>
      <c r="L2230">
        <v>0</v>
      </c>
      <c r="M2230">
        <v>1.3797608838000861E-3</v>
      </c>
      <c r="N2230">
        <v>0.14337932865590269</v>
      </c>
      <c r="O2230">
        <v>1.8241464578543438E-2</v>
      </c>
      <c r="P2230">
        <v>2.0009682720804181E-2</v>
      </c>
      <c r="Q2230">
        <v>2.2292403758388114E-3</v>
      </c>
      <c r="R2230">
        <v>1.3712329935316107E-3</v>
      </c>
      <c r="S2230">
        <v>0.15257451765862357</v>
      </c>
      <c r="T2230">
        <v>1.0704758468265014</v>
      </c>
      <c r="U2230">
        <v>2.3601163781268131E-2</v>
      </c>
      <c r="V2230">
        <v>0.20966407085689132</v>
      </c>
      <c r="W2230">
        <v>8.5121410878682455E-2</v>
      </c>
      <c r="X2230">
        <v>1.6948394165370903E-2</v>
      </c>
      <c r="Y2230">
        <v>3.7320441815582124E-3</v>
      </c>
    </row>
    <row r="2231" spans="1:25" x14ac:dyDescent="0.25">
      <c r="A2231" s="827"/>
      <c r="B2231" s="1066">
        <v>1981</v>
      </c>
      <c r="C2231" s="831">
        <v>1.0225999789411768</v>
      </c>
      <c r="D2231" s="831">
        <v>0.98269571153587354</v>
      </c>
      <c r="E2231" s="831">
        <v>1.0304690317777132</v>
      </c>
      <c r="F2231" s="831">
        <v>0.97834777892251212</v>
      </c>
      <c r="G2231" s="831">
        <v>1.0205295363758584</v>
      </c>
      <c r="H2231" s="831">
        <v>0.99200817217145998</v>
      </c>
      <c r="I2231" s="831">
        <v>1.0118007562814904</v>
      </c>
      <c r="K2231">
        <v>1.7322947264783866</v>
      </c>
      <c r="L2231">
        <v>0</v>
      </c>
      <c r="M2231">
        <v>1.2703732559381151E-3</v>
      </c>
      <c r="N2231">
        <v>0.14067274543338323</v>
      </c>
      <c r="O2231">
        <v>1.758058493027093E-2</v>
      </c>
      <c r="P2231">
        <v>2.0203293193272225E-2</v>
      </c>
      <c r="Q2231">
        <v>2.193691693590094E-3</v>
      </c>
      <c r="R2231">
        <v>1.2624981506426148E-3</v>
      </c>
      <c r="S2231">
        <v>0.15165206813962637</v>
      </c>
      <c r="T2231">
        <v>1.0686758577006861</v>
      </c>
      <c r="U2231">
        <v>2.2807088185599067E-2</v>
      </c>
      <c r="V2231">
        <v>0.2053879991741121</v>
      </c>
      <c r="W2231">
        <v>8.2369624265772698E-2</v>
      </c>
      <c r="X2231">
        <v>1.7323545083723885E-2</v>
      </c>
      <c r="Y2231">
        <v>3.4361037836456885E-3</v>
      </c>
    </row>
    <row r="2232" spans="1:25" x14ac:dyDescent="0.25">
      <c r="A2232" s="827"/>
      <c r="B2232" s="1066">
        <v>1982</v>
      </c>
      <c r="C2232" s="831">
        <v>1.0136455719703037</v>
      </c>
      <c r="D2232" s="831">
        <v>1.0189999889707353</v>
      </c>
      <c r="E2232" s="831">
        <v>0.96590701423927872</v>
      </c>
      <c r="F2232" s="831">
        <v>1.0143218717945228</v>
      </c>
      <c r="G2232" s="831">
        <v>1.0193161289200974</v>
      </c>
      <c r="H2232" s="831">
        <v>1.0020458145348943</v>
      </c>
      <c r="I2232" s="831">
        <v>0.97267840392491123</v>
      </c>
      <c r="K2232">
        <v>1.7165610735018386</v>
      </c>
      <c r="L2232">
        <v>0</v>
      </c>
      <c r="M2232">
        <v>1.458897375320756E-3</v>
      </c>
      <c r="N2232">
        <v>0.13215343880343389</v>
      </c>
      <c r="O2232">
        <v>1.7446849482617738E-2</v>
      </c>
      <c r="P2232">
        <v>1.9217831172917664E-2</v>
      </c>
      <c r="Q2232">
        <v>2.0461414222240795E-3</v>
      </c>
      <c r="R2232">
        <v>1.4499177023092236E-3</v>
      </c>
      <c r="S2232">
        <v>0.14556414894677525</v>
      </c>
      <c r="T2232">
        <v>1.0744093047458685</v>
      </c>
      <c r="U2232">
        <v>2.3008562897354066E-2</v>
      </c>
      <c r="V2232">
        <v>0.20303900383892584</v>
      </c>
      <c r="W2232">
        <v>8.0881191901732846E-2</v>
      </c>
      <c r="X2232">
        <v>1.4857381942556556E-2</v>
      </c>
      <c r="Y2232">
        <v>3.9461980204435962E-3</v>
      </c>
    </row>
    <row r="2233" spans="1:25" x14ac:dyDescent="0.25">
      <c r="A2233" s="827"/>
      <c r="B2233" s="1066">
        <v>1983</v>
      </c>
      <c r="C2233" s="831">
        <v>0.97367263477135313</v>
      </c>
      <c r="D2233" s="831">
        <v>1.0126616075230856</v>
      </c>
      <c r="E2233" s="831">
        <v>0.99335395323519449</v>
      </c>
      <c r="F2233" s="831">
        <v>0.9740921161713636</v>
      </c>
      <c r="G2233" s="831">
        <v>0.97529113280391966</v>
      </c>
      <c r="H2233" s="831">
        <v>0.99843948730856402</v>
      </c>
      <c r="I2233" s="831">
        <v>1.021784294746555</v>
      </c>
      <c r="K2233">
        <v>1.7498563985138638</v>
      </c>
      <c r="L2233">
        <v>0</v>
      </c>
      <c r="M2233">
        <v>1.432627987883045E-3</v>
      </c>
      <c r="N2233">
        <v>0.14135769916618227</v>
      </c>
      <c r="O2233">
        <v>1.8214421115099036E-2</v>
      </c>
      <c r="P2233">
        <v>1.985565327739193E-2</v>
      </c>
      <c r="Q2233">
        <v>2.1954922331971849E-3</v>
      </c>
      <c r="R2233">
        <v>1.4237826156314631E-3</v>
      </c>
      <c r="S2233">
        <v>0.15933268625219543</v>
      </c>
      <c r="T2233">
        <v>1.0719526645915514</v>
      </c>
      <c r="U2233">
        <v>2.3953151259899597E-2</v>
      </c>
      <c r="V2233">
        <v>0.20790933160514558</v>
      </c>
      <c r="W2233">
        <v>8.4881883549323162E-2</v>
      </c>
      <c r="X2233">
        <v>1.6337193906192607E-2</v>
      </c>
      <c r="Y2233">
        <v>3.8750669299357395E-3</v>
      </c>
    </row>
    <row r="2234" spans="1:25" x14ac:dyDescent="0.25">
      <c r="A2234" s="827"/>
      <c r="B2234" s="1066">
        <v>1984</v>
      </c>
      <c r="C2234" s="831">
        <v>1.0305769673427445</v>
      </c>
      <c r="D2234" s="831">
        <v>0.99833497682404249</v>
      </c>
      <c r="E2234" s="831">
        <v>1.0345012191124743</v>
      </c>
      <c r="F2234" s="831">
        <v>1.0134176903129841</v>
      </c>
      <c r="G2234" s="831">
        <v>1.0022011577251388</v>
      </c>
      <c r="H2234" s="831">
        <v>1.0215511211739716</v>
      </c>
      <c r="I2234" s="831">
        <v>1.0055826254220703</v>
      </c>
      <c r="K2234">
        <v>1.7323866303339281</v>
      </c>
      <c r="L2234">
        <v>0</v>
      </c>
      <c r="M2234">
        <v>1.2778782161018266E-3</v>
      </c>
      <c r="N2234">
        <v>0.14331049189813744</v>
      </c>
      <c r="O2234">
        <v>1.7320047479923065E-2</v>
      </c>
      <c r="P2234">
        <v>2.0209408783926245E-2</v>
      </c>
      <c r="Q2234">
        <v>2.1726277145812148E-3</v>
      </c>
      <c r="R2234">
        <v>1.2701757263568806E-3</v>
      </c>
      <c r="S2234">
        <v>0.15064647465461722</v>
      </c>
      <c r="T2234">
        <v>1.0683230069602723</v>
      </c>
      <c r="U2234">
        <v>2.2630554182128046E-2</v>
      </c>
      <c r="V2234">
        <v>0.20313352460301728</v>
      </c>
      <c r="W2234">
        <v>8.3688088210257847E-2</v>
      </c>
      <c r="X2234">
        <v>1.7503108722984159E-2</v>
      </c>
      <c r="Y2234">
        <v>3.4569996138277682E-3</v>
      </c>
    </row>
    <row r="2235" spans="1:25" x14ac:dyDescent="0.25">
      <c r="A2235" s="827"/>
      <c r="B2235" s="1066">
        <v>1985</v>
      </c>
      <c r="C2235" s="831">
        <v>1.022285977547847</v>
      </c>
      <c r="D2235" s="831">
        <v>0.99512793976631442</v>
      </c>
      <c r="E2235" s="831">
        <v>1.0031478817079673</v>
      </c>
      <c r="F2235" s="831">
        <v>0.99694627442432104</v>
      </c>
      <c r="G2235" s="831">
        <v>0.98666085990609853</v>
      </c>
      <c r="H2235" s="831">
        <v>0.99974515831470612</v>
      </c>
      <c r="I2235" s="831">
        <v>1.0017594098864513</v>
      </c>
      <c r="K2235">
        <v>1.7265229089742602</v>
      </c>
      <c r="L2235">
        <v>0</v>
      </c>
      <c r="M2235">
        <v>1.3490158918481126E-3</v>
      </c>
      <c r="N2235">
        <v>0.13722875318268224</v>
      </c>
      <c r="O2235">
        <v>1.7485993358219227E-2</v>
      </c>
      <c r="P2235">
        <v>1.9796100255020269E-2</v>
      </c>
      <c r="Q2235">
        <v>2.1255236563801666E-3</v>
      </c>
      <c r="R2235">
        <v>1.3407094412896071E-3</v>
      </c>
      <c r="S2235">
        <v>0.14995599950400562</v>
      </c>
      <c r="T2235">
        <v>1.07108292237914</v>
      </c>
      <c r="U2235">
        <v>2.2814093522290937E-2</v>
      </c>
      <c r="V2235">
        <v>0.20427624657197221</v>
      </c>
      <c r="W2235">
        <v>8.1851512399088611E-2</v>
      </c>
      <c r="X2235">
        <v>1.6265101461575556E-2</v>
      </c>
      <c r="Y2235">
        <v>3.6489691344417695E-3</v>
      </c>
    </row>
    <row r="2236" spans="1:25" x14ac:dyDescent="0.25">
      <c r="A2236" s="827"/>
      <c r="B2236" s="1066">
        <v>1986</v>
      </c>
      <c r="C2236" s="831">
        <v>0.99000239963328229</v>
      </c>
      <c r="D2236" s="831">
        <v>1.0036043750996859</v>
      </c>
      <c r="E2236" s="831">
        <v>1.0143718963302526</v>
      </c>
      <c r="F2236" s="831">
        <v>1.0390786238709755</v>
      </c>
      <c r="G2236" s="831">
        <v>0.95981803846403424</v>
      </c>
      <c r="H2236" s="831">
        <v>1.0390212928207587</v>
      </c>
      <c r="I2236" s="831">
        <v>1.0391541110126217</v>
      </c>
      <c r="K2236">
        <v>1.7613057337247084</v>
      </c>
      <c r="L2236">
        <v>0</v>
      </c>
      <c r="M2236">
        <v>1.4084527842527618E-3</v>
      </c>
      <c r="N2236">
        <v>0.14839716965895558</v>
      </c>
      <c r="O2236">
        <v>1.7986960709646879E-2</v>
      </c>
      <c r="P2236">
        <v>2.0174731153246108E-2</v>
      </c>
      <c r="Q2236">
        <v>2.2126442547726324E-3</v>
      </c>
      <c r="R2236">
        <v>1.4001024132372978E-3</v>
      </c>
      <c r="S2236">
        <v>0.16301627288271878</v>
      </c>
      <c r="T2236">
        <v>1.070090637599459</v>
      </c>
      <c r="U2236">
        <v>2.3558051886482623E-2</v>
      </c>
      <c r="V2236">
        <v>0.20693528434187047</v>
      </c>
      <c r="W2236">
        <v>8.7839966135293476E-2</v>
      </c>
      <c r="X2236">
        <v>1.7291748248082977E-2</v>
      </c>
      <c r="Y2236">
        <v>3.8106172251954431E-3</v>
      </c>
    </row>
    <row r="2237" spans="1:25" x14ac:dyDescent="0.25">
      <c r="A2237" s="827"/>
      <c r="B2237" s="1066">
        <v>1987</v>
      </c>
      <c r="C2237" s="831">
        <v>0.95933289718433712</v>
      </c>
      <c r="D2237" s="831">
        <v>0.97144455539682406</v>
      </c>
      <c r="E2237" s="831">
        <v>0.99073454798371463</v>
      </c>
      <c r="F2237" s="831">
        <v>1.0129300059373165</v>
      </c>
      <c r="G2237" s="831">
        <v>0.9860302358170846</v>
      </c>
      <c r="H2237" s="831">
        <v>0.98939154253201522</v>
      </c>
      <c r="I2237" s="831">
        <v>1.0160956942250268</v>
      </c>
      <c r="K2237">
        <v>1.7659453943527919</v>
      </c>
      <c r="L2237">
        <v>0</v>
      </c>
      <c r="M2237">
        <v>1.4763501525116237E-3</v>
      </c>
      <c r="N2237">
        <v>0.14448365231949978</v>
      </c>
      <c r="O2237">
        <v>1.8838281603272514E-2</v>
      </c>
      <c r="P2237">
        <v>1.9949714993532198E-2</v>
      </c>
      <c r="Q2237">
        <v>2.2569581286653092E-3</v>
      </c>
      <c r="R2237">
        <v>1.467182693485941E-3</v>
      </c>
      <c r="S2237">
        <v>0.16291781237153374</v>
      </c>
      <c r="T2237">
        <v>1.0721858919207201</v>
      </c>
      <c r="U2237">
        <v>2.4311193712584361E-2</v>
      </c>
      <c r="V2237">
        <v>0.21355462971493114</v>
      </c>
      <c r="W2237">
        <v>8.6915449533862529E-2</v>
      </c>
      <c r="X2237">
        <v>1.6547789878189525E-2</v>
      </c>
      <c r="Y2237">
        <v>3.9931876350238092E-3</v>
      </c>
    </row>
    <row r="2238" spans="1:25" x14ac:dyDescent="0.25">
      <c r="A2238" s="827"/>
      <c r="B2238" s="1066">
        <v>1988</v>
      </c>
      <c r="C2238" s="831">
        <v>0.96135607498438946</v>
      </c>
      <c r="D2238" s="831">
        <v>1.0136188970108055</v>
      </c>
      <c r="E2238" s="831">
        <v>0.96864238219862464</v>
      </c>
      <c r="F2238" s="831">
        <v>1.0199073152123872</v>
      </c>
      <c r="G2238" s="831">
        <v>0.9964036588394023</v>
      </c>
      <c r="H2238" s="831">
        <v>0.9896041257012973</v>
      </c>
      <c r="I2238" s="831">
        <v>0.98342468173357522</v>
      </c>
      <c r="K2238">
        <v>1.7446721422904385</v>
      </c>
      <c r="L2238">
        <v>0</v>
      </c>
      <c r="M2238">
        <v>1.5140846449803107E-3</v>
      </c>
      <c r="N2238">
        <v>0.13831716206601352</v>
      </c>
      <c r="O2238">
        <v>1.8439896196239067E-2</v>
      </c>
      <c r="P2238">
        <v>1.9474624738293162E-2</v>
      </c>
      <c r="Q2238">
        <v>2.1677353271624994E-3</v>
      </c>
      <c r="R2238">
        <v>1.5046521563844872E-3</v>
      </c>
      <c r="S2238">
        <v>0.15461004916744572</v>
      </c>
      <c r="T2238">
        <v>1.0741632068888753</v>
      </c>
      <c r="U2238">
        <v>2.4260030705773501E-2</v>
      </c>
      <c r="V2238">
        <v>0.20921879979172139</v>
      </c>
      <c r="W2238">
        <v>8.4491578204414469E-2</v>
      </c>
      <c r="X2238">
        <v>1.5443324531866419E-2</v>
      </c>
      <c r="Y2238">
        <v>4.0951671612285264E-3</v>
      </c>
    </row>
    <row r="2239" spans="1:25" x14ac:dyDescent="0.25">
      <c r="A2239" s="827"/>
      <c r="B2239" s="1066">
        <v>1989</v>
      </c>
      <c r="C2239" s="831">
        <v>0.97793920884519736</v>
      </c>
      <c r="D2239" s="831">
        <v>1.0284048386369027</v>
      </c>
      <c r="E2239" s="831">
        <v>1.0175362094802884</v>
      </c>
      <c r="F2239" s="831">
        <v>1.0118723241073604</v>
      </c>
      <c r="G2239" s="831">
        <v>0.9998416217821916</v>
      </c>
      <c r="H2239" s="831">
        <v>1.0306465240484455</v>
      </c>
      <c r="I2239" s="831">
        <v>0.98723992684412976</v>
      </c>
      <c r="K2239">
        <v>1.7508499173663208</v>
      </c>
      <c r="L2239">
        <v>0</v>
      </c>
      <c r="M2239">
        <v>1.3895140059774743E-3</v>
      </c>
      <c r="N2239">
        <v>0.14783948115847917</v>
      </c>
      <c r="O2239">
        <v>1.8008973016758991E-2</v>
      </c>
      <c r="P2239">
        <v>2.0092769856046439E-2</v>
      </c>
      <c r="Q2239">
        <v>2.22676181867004E-3</v>
      </c>
      <c r="R2239">
        <v>1.3811925836203737E-3</v>
      </c>
      <c r="S2239">
        <v>0.15460289954912113</v>
      </c>
      <c r="T2239">
        <v>1.0698117503688491</v>
      </c>
      <c r="U2239">
        <v>2.3848647939828157E-2</v>
      </c>
      <c r="V2239">
        <v>0.20600755166061671</v>
      </c>
      <c r="W2239">
        <v>8.7322679057682248E-2</v>
      </c>
      <c r="X2239">
        <v>1.7337573460022581E-2</v>
      </c>
      <c r="Y2239">
        <v>3.7591509026018328E-3</v>
      </c>
    </row>
    <row r="2240" spans="1:25" x14ac:dyDescent="0.25">
      <c r="A2240" s="827"/>
      <c r="B2240" s="1066">
        <v>1990</v>
      </c>
      <c r="C2240" s="831">
        <v>0.99665397382334753</v>
      </c>
      <c r="D2240" s="831">
        <v>1.0073143654849548</v>
      </c>
      <c r="E2240" s="831">
        <v>1.0015292110513663</v>
      </c>
      <c r="F2240" s="831">
        <v>0.98500289476225134</v>
      </c>
      <c r="G2240" s="831">
        <v>1.0081325165781954</v>
      </c>
      <c r="H2240" s="831">
        <v>1.0144378105529588</v>
      </c>
      <c r="I2240" s="831">
        <v>1.0011524236969447</v>
      </c>
      <c r="K2240">
        <v>1.7411584029302474</v>
      </c>
      <c r="L2240">
        <v>0</v>
      </c>
      <c r="M2240">
        <v>1.4011051597970147E-3</v>
      </c>
      <c r="N2240">
        <v>0.14182358364456835</v>
      </c>
      <c r="O2240">
        <v>1.7837099208408987E-2</v>
      </c>
      <c r="P2240">
        <v>1.9859265349277892E-2</v>
      </c>
      <c r="Q2240">
        <v>2.1668417431975561E-3</v>
      </c>
      <c r="R2240">
        <v>1.3925944965941174E-3</v>
      </c>
      <c r="S2240">
        <v>0.15400069342610559</v>
      </c>
      <c r="T2240">
        <v>1.0712264174723818</v>
      </c>
      <c r="U2240">
        <v>2.3400827680276733E-2</v>
      </c>
      <c r="V2240">
        <v>0.20586986669568594</v>
      </c>
      <c r="W2240">
        <v>8.4685736528257033E-2</v>
      </c>
      <c r="X2240">
        <v>1.6506398694212183E-2</v>
      </c>
      <c r="Y2240">
        <v>3.7901831510767617E-3</v>
      </c>
    </row>
    <row r="2241" spans="1:25" x14ac:dyDescent="0.25">
      <c r="A2241" s="827"/>
      <c r="B2241" s="1066">
        <v>1991</v>
      </c>
      <c r="C2241" s="831">
        <v>0.98226563416804336</v>
      </c>
      <c r="D2241" s="831">
        <v>0.97109585803676102</v>
      </c>
      <c r="E2241" s="831">
        <v>0.9728437230476451</v>
      </c>
      <c r="F2241" s="831">
        <v>1.022001497667278</v>
      </c>
      <c r="G2241" s="831">
        <v>0.98170986853423259</v>
      </c>
      <c r="H2241" s="831">
        <v>0.98178352554614168</v>
      </c>
      <c r="I2241" s="831">
        <v>0.96121709004035627</v>
      </c>
      <c r="K2241">
        <v>1.7393053174973676</v>
      </c>
      <c r="L2241">
        <v>0</v>
      </c>
      <c r="M2241">
        <v>1.4858133099835543E-3</v>
      </c>
      <c r="N2241">
        <v>0.13752035944202493</v>
      </c>
      <c r="O2241">
        <v>1.8401470973790961E-2</v>
      </c>
      <c r="P2241">
        <v>1.9486430247913227E-2</v>
      </c>
      <c r="Q2241">
        <v>2.1648723324129981E-3</v>
      </c>
      <c r="R2241">
        <v>1.4765158696119296E-3</v>
      </c>
      <c r="S2241">
        <v>0.15000146113385829</v>
      </c>
      <c r="T2241">
        <v>1.0737857631344203</v>
      </c>
      <c r="U2241">
        <v>2.3743605687739252E-2</v>
      </c>
      <c r="V2241">
        <v>0.21090676974098099</v>
      </c>
      <c r="W2241">
        <v>8.3758713723425623E-2</v>
      </c>
      <c r="X2241">
        <v>1.5526579057415193E-2</v>
      </c>
      <c r="Y2241">
        <v>4.0185894637580679E-3</v>
      </c>
    </row>
    <row r="2242" spans="1:25" x14ac:dyDescent="0.25">
      <c r="A2242" s="827"/>
      <c r="B2242" s="1066">
        <v>1992</v>
      </c>
      <c r="C2242" s="831">
        <v>1.0104199807029262</v>
      </c>
      <c r="D2242" s="831">
        <v>0.97284556721779125</v>
      </c>
      <c r="E2242" s="831">
        <v>1.0009770341213109</v>
      </c>
      <c r="F2242" s="831">
        <v>1.0350043490194301</v>
      </c>
      <c r="G2242" s="831">
        <v>1.0018233222959991</v>
      </c>
      <c r="H2242" s="831">
        <v>0.98619414874927236</v>
      </c>
      <c r="I2242" s="831">
        <v>0.97751137512725761</v>
      </c>
      <c r="K2242">
        <v>1.7308384354570159</v>
      </c>
      <c r="L2242">
        <v>0</v>
      </c>
      <c r="M2242">
        <v>1.366486006985501E-3</v>
      </c>
      <c r="N2242">
        <v>0.1380602548890178</v>
      </c>
      <c r="O2242">
        <v>1.787410245694171E-2</v>
      </c>
      <c r="P2242">
        <v>1.9796014404231857E-2</v>
      </c>
      <c r="Q2242">
        <v>2.1639145968683085E-3</v>
      </c>
      <c r="R2242">
        <v>1.3579722289089934E-3</v>
      </c>
      <c r="S2242">
        <v>0.148492836133504</v>
      </c>
      <c r="T2242">
        <v>1.0712753905667498</v>
      </c>
      <c r="U2242">
        <v>2.308201376033581E-2</v>
      </c>
      <c r="V2242">
        <v>0.20761490092384008</v>
      </c>
      <c r="W2242">
        <v>8.2469702397502648E-2</v>
      </c>
      <c r="X2242">
        <v>1.6321866354432821E-2</v>
      </c>
      <c r="Y2242">
        <v>3.6959527516653304E-3</v>
      </c>
    </row>
    <row r="2243" spans="1:25" x14ac:dyDescent="0.25">
      <c r="A2243" s="827"/>
      <c r="B2243" s="1066">
        <v>1993</v>
      </c>
      <c r="C2243" s="831">
        <v>0.9867549168399411</v>
      </c>
      <c r="D2243" s="831">
        <v>1.0028469506676498</v>
      </c>
      <c r="E2243" s="831">
        <v>0.99211370463452275</v>
      </c>
      <c r="F2243" s="831">
        <v>1.0070655142614557</v>
      </c>
      <c r="G2243" s="831">
        <v>0.98794617958215991</v>
      </c>
      <c r="H2243" s="831">
        <v>0.98890151922523661</v>
      </c>
      <c r="I2243" s="831">
        <v>0.99614063372331463</v>
      </c>
      <c r="K2243">
        <v>1.7380185141283497</v>
      </c>
      <c r="L2243">
        <v>0</v>
      </c>
      <c r="M2243">
        <v>1.4099816752156083E-3</v>
      </c>
      <c r="N2243">
        <v>0.13857949767342737</v>
      </c>
      <c r="O2243">
        <v>1.8052327318289769E-2</v>
      </c>
      <c r="P2243">
        <v>1.9743742298513452E-2</v>
      </c>
      <c r="Q2243">
        <v>2.1715049589012578E-3</v>
      </c>
      <c r="R2243">
        <v>1.4011991039013429E-3</v>
      </c>
      <c r="S2243">
        <v>0.15320458712643473</v>
      </c>
      <c r="T2243">
        <v>1.0720630619635643</v>
      </c>
      <c r="U2243">
        <v>2.3635583162831365E-2</v>
      </c>
      <c r="V2243">
        <v>0.207359142996905</v>
      </c>
      <c r="W2243">
        <v>8.328464800722174E-2</v>
      </c>
      <c r="X2243">
        <v>1.6119599137915799E-2</v>
      </c>
      <c r="Y2243">
        <v>3.8136020556589949E-3</v>
      </c>
    </row>
    <row r="2244" spans="1:25" x14ac:dyDescent="0.25">
      <c r="A2244" s="827"/>
      <c r="B2244" s="1066">
        <v>1994</v>
      </c>
      <c r="C2244" s="831">
        <v>0.98249252671786513</v>
      </c>
      <c r="D2244" s="831">
        <v>1.0208636256203474</v>
      </c>
      <c r="E2244" s="831">
        <v>0.99127963329793489</v>
      </c>
      <c r="F2244" s="831">
        <v>1.0230833586701356</v>
      </c>
      <c r="G2244" s="831">
        <v>0.97895122743520591</v>
      </c>
      <c r="H2244" s="831">
        <v>0.97211502673983752</v>
      </c>
      <c r="I2244" s="831">
        <v>0.98932467949925362</v>
      </c>
      <c r="K2244">
        <v>1.7291864049282835</v>
      </c>
      <c r="L2244">
        <v>0</v>
      </c>
      <c r="M2244">
        <v>1.3833302838137593E-3</v>
      </c>
      <c r="N2244">
        <v>0.1355915908961344</v>
      </c>
      <c r="O2244">
        <v>1.7985199868193892E-2</v>
      </c>
      <c r="P2244">
        <v>1.9681032790044916E-2</v>
      </c>
      <c r="Q2244">
        <v>2.1647465689012971E-3</v>
      </c>
      <c r="R2244">
        <v>1.3745522841715394E-3</v>
      </c>
      <c r="S2244">
        <v>0.15049082423414711</v>
      </c>
      <c r="T2244">
        <v>1.0721373371629694</v>
      </c>
      <c r="U2244">
        <v>2.3738122442737427E-2</v>
      </c>
      <c r="V2244">
        <v>0.2061841753534675</v>
      </c>
      <c r="W2244">
        <v>8.1535741554355515E-2</v>
      </c>
      <c r="X2244">
        <v>1.5945333860498817E-2</v>
      </c>
      <c r="Y2244">
        <v>3.7410781964762321E-3</v>
      </c>
    </row>
    <row r="2245" spans="1:25" x14ac:dyDescent="0.25">
      <c r="A2245" s="827"/>
      <c r="B2245" s="1066">
        <v>1995</v>
      </c>
      <c r="C2245" s="831">
        <v>1.0066820932713771</v>
      </c>
      <c r="D2245" s="831">
        <v>0.96638627441301328</v>
      </c>
      <c r="E2245" s="831">
        <v>0.99635291454052344</v>
      </c>
      <c r="F2245" s="831">
        <v>0.98506814783737384</v>
      </c>
      <c r="G2245" s="831">
        <v>1.0138785233637806</v>
      </c>
      <c r="H2245" s="831">
        <v>0.97296795473895548</v>
      </c>
      <c r="I2245" s="831">
        <v>1.0158086269821704</v>
      </c>
      <c r="K2245">
        <v>1.7359638713440095</v>
      </c>
      <c r="L2245">
        <v>0</v>
      </c>
      <c r="M2245">
        <v>1.3705441054223224E-3</v>
      </c>
      <c r="N2245">
        <v>0.1364811152188927</v>
      </c>
      <c r="O2245">
        <v>1.7994886687300652E-2</v>
      </c>
      <c r="P2245">
        <v>1.9828123968171244E-2</v>
      </c>
      <c r="Q2245">
        <v>2.1672239548101001E-3</v>
      </c>
      <c r="R2245">
        <v>1.3618937401819896E-3</v>
      </c>
      <c r="S2245">
        <v>0.15434072554820027</v>
      </c>
      <c r="T2245">
        <v>1.0716859597848645</v>
      </c>
      <c r="U2245">
        <v>2.3167719038800889E-2</v>
      </c>
      <c r="V2245">
        <v>0.20864678913878504</v>
      </c>
      <c r="W2245">
        <v>8.1785010655664125E-2</v>
      </c>
      <c r="X2245">
        <v>1.6168341901132793E-2</v>
      </c>
      <c r="Y2245">
        <v>3.7066258126245829E-3</v>
      </c>
    </row>
    <row r="2246" spans="1:25" x14ac:dyDescent="0.25">
      <c r="A2246" s="827"/>
      <c r="B2246" s="1066">
        <v>1996</v>
      </c>
      <c r="C2246" s="831">
        <v>1.0277395077358882</v>
      </c>
      <c r="D2246" s="831">
        <v>1.0032812811872542</v>
      </c>
      <c r="E2246" s="831">
        <v>0.99723372146737044</v>
      </c>
      <c r="F2246" s="831">
        <v>1.0239662567552275</v>
      </c>
      <c r="G2246" s="831">
        <v>0.98402824051920812</v>
      </c>
      <c r="H2246" s="831">
        <v>1.0171430312007412</v>
      </c>
      <c r="I2246" s="831">
        <v>0.96912589763485979</v>
      </c>
      <c r="K2246">
        <v>1.721005955994773</v>
      </c>
      <c r="L2246">
        <v>0</v>
      </c>
      <c r="M2246">
        <v>1.3772246231140888E-3</v>
      </c>
      <c r="N2246">
        <v>0.1375581593916595</v>
      </c>
      <c r="O2246">
        <v>1.7329031728681516E-2</v>
      </c>
      <c r="P2246">
        <v>1.9629135605359182E-2</v>
      </c>
      <c r="Q2246">
        <v>2.0953618328866806E-3</v>
      </c>
      <c r="R2246">
        <v>1.3688839844566215E-3</v>
      </c>
      <c r="S2246">
        <v>0.14498911697586342</v>
      </c>
      <c r="T2246">
        <v>1.0716076919494046</v>
      </c>
      <c r="U2246">
        <v>2.2693034297847255E-2</v>
      </c>
      <c r="V2246">
        <v>0.20298097049632868</v>
      </c>
      <c r="W2246">
        <v>8.2380643250456881E-2</v>
      </c>
      <c r="X2246">
        <v>1.6025500151735896E-2</v>
      </c>
      <c r="Y2246">
        <v>3.7256509532067241E-3</v>
      </c>
    </row>
    <row r="2247" spans="1:25" x14ac:dyDescent="0.25">
      <c r="A2247" s="827"/>
      <c r="B2247" s="1066">
        <v>1997</v>
      </c>
      <c r="C2247" s="831">
        <v>1.0272818249381928</v>
      </c>
      <c r="D2247" s="831">
        <v>0.97883687952704612</v>
      </c>
      <c r="E2247" s="831">
        <v>0.98314133011017224</v>
      </c>
      <c r="F2247" s="831">
        <v>1.0339534990812658</v>
      </c>
      <c r="G2247" s="831">
        <v>1.0274796306076646</v>
      </c>
      <c r="H2247" s="831">
        <v>1.0124773276820167</v>
      </c>
      <c r="I2247" s="831">
        <v>0.99763319872174538</v>
      </c>
      <c r="K2247">
        <v>1.7291406303916512</v>
      </c>
      <c r="L2247">
        <v>0</v>
      </c>
      <c r="M2247">
        <v>1.428639686157014E-3</v>
      </c>
      <c r="N2247">
        <v>0.13656607674733651</v>
      </c>
      <c r="O2247">
        <v>1.7531750103815899E-2</v>
      </c>
      <c r="P2247">
        <v>1.9544421366111089E-2</v>
      </c>
      <c r="Q2247">
        <v>2.085653358650387E-3</v>
      </c>
      <c r="R2247">
        <v>1.4199653344017351E-3</v>
      </c>
      <c r="S2247">
        <v>0.15053181882752081</v>
      </c>
      <c r="T2247">
        <v>1.0728634389514993</v>
      </c>
      <c r="U2247">
        <v>2.2703144679607632E-2</v>
      </c>
      <c r="V2247">
        <v>0.20526097015402542</v>
      </c>
      <c r="W2247">
        <v>8.2584441158370173E-2</v>
      </c>
      <c r="X2247">
        <v>1.5612911847675525E-2</v>
      </c>
      <c r="Y2247">
        <v>3.8646775487948407E-3</v>
      </c>
    </row>
    <row r="2248" spans="1:25" x14ac:dyDescent="0.25">
      <c r="A2248" s="827"/>
      <c r="B2248" s="1066">
        <v>1998</v>
      </c>
      <c r="C2248" s="831">
        <v>0.99782223514125956</v>
      </c>
      <c r="D2248" s="831">
        <v>1.0019928312205677</v>
      </c>
      <c r="E2248" s="831">
        <v>0.99063642729183932</v>
      </c>
      <c r="F2248" s="831">
        <v>0.99812949856457545</v>
      </c>
      <c r="G2248" s="831">
        <v>1.0266136419743737</v>
      </c>
      <c r="H2248" s="831">
        <v>0.98054718315941281</v>
      </c>
      <c r="I2248" s="831">
        <v>0.99417890574206524</v>
      </c>
      <c r="K2248">
        <v>1.7291614503240038</v>
      </c>
      <c r="L2248">
        <v>0</v>
      </c>
      <c r="M2248">
        <v>1.3874000999117924E-3</v>
      </c>
      <c r="N2248">
        <v>0.13572721902598037</v>
      </c>
      <c r="O2248">
        <v>1.7858989841927131E-2</v>
      </c>
      <c r="P2248">
        <v>1.9670308379483886E-2</v>
      </c>
      <c r="Q2248">
        <v>2.1448959845074751E-3</v>
      </c>
      <c r="R2248">
        <v>1.378685160386371E-3</v>
      </c>
      <c r="S2248">
        <v>0.15066341266044916</v>
      </c>
      <c r="T2248">
        <v>1.0721946334410886</v>
      </c>
      <c r="U2248">
        <v>2.3373429732202203E-2</v>
      </c>
      <c r="V2248">
        <v>0.20623033467475457</v>
      </c>
      <c r="W2248">
        <v>8.165345548216657E-2</v>
      </c>
      <c r="X2248">
        <v>1.5901159517838458E-2</v>
      </c>
      <c r="Y2248">
        <v>3.7523265231307252E-3</v>
      </c>
    </row>
    <row r="2249" spans="1:25" x14ac:dyDescent="0.25">
      <c r="A2249" s="827"/>
      <c r="B2249" s="1066">
        <v>1999</v>
      </c>
      <c r="C2249" s="831">
        <v>0.9864391620728129</v>
      </c>
      <c r="D2249" s="831">
        <v>0.96967293841814084</v>
      </c>
      <c r="E2249" s="831">
        <v>1.022323746093406</v>
      </c>
      <c r="F2249" s="831">
        <v>1.017730815313111</v>
      </c>
      <c r="G2249" s="831">
        <v>0.96895091901340946</v>
      </c>
      <c r="H2249" s="831">
        <v>0.95840847928991491</v>
      </c>
      <c r="I2249" s="831">
        <v>1.0123743812895887</v>
      </c>
      <c r="K2249">
        <v>1.7442336559367968</v>
      </c>
      <c r="L2249">
        <v>0</v>
      </c>
      <c r="M2249">
        <v>1.302298903590883E-3</v>
      </c>
      <c r="N2249">
        <v>0.14057674002732856</v>
      </c>
      <c r="O2249">
        <v>1.833583420009257E-2</v>
      </c>
      <c r="P2249">
        <v>2.0232834410650997E-2</v>
      </c>
      <c r="Q2249">
        <v>2.2670312108173545E-3</v>
      </c>
      <c r="R2249">
        <v>1.2939520612679624E-3</v>
      </c>
      <c r="S2249">
        <v>0.15566604445590787</v>
      </c>
      <c r="T2249">
        <v>1.0693905209382262</v>
      </c>
      <c r="U2249">
        <v>2.3643148807368234E-2</v>
      </c>
      <c r="V2249">
        <v>0.21057380144933299</v>
      </c>
      <c r="W2249">
        <v>8.2765057500097106E-2</v>
      </c>
      <c r="X2249">
        <v>1.7269278819710538E-2</v>
      </c>
      <c r="Y2249">
        <v>3.5217109595890345E-3</v>
      </c>
    </row>
    <row r="2250" spans="1:25" x14ac:dyDescent="0.25">
      <c r="A2250" s="827"/>
      <c r="B2250" s="1066">
        <v>2000</v>
      </c>
      <c r="C2250" s="831">
        <v>0.99455873530050776</v>
      </c>
      <c r="D2250" s="831">
        <v>0.98976740544133934</v>
      </c>
      <c r="E2250" s="831">
        <v>0.98316355561207425</v>
      </c>
      <c r="F2250" s="831">
        <v>1.0026870892464064</v>
      </c>
      <c r="G2250" s="831">
        <v>0.99052079360070944</v>
      </c>
      <c r="H2250" s="831">
        <v>1.0412083858794714</v>
      </c>
      <c r="I2250" s="831">
        <v>0.99232459962459463</v>
      </c>
      <c r="K2250">
        <v>1.7516568222089146</v>
      </c>
      <c r="L2250">
        <v>0</v>
      </c>
      <c r="M2250">
        <v>1.5098289457037206E-3</v>
      </c>
      <c r="N2250">
        <v>0.14436063534310575</v>
      </c>
      <c r="O2250">
        <v>1.8017551827599156E-2</v>
      </c>
      <c r="P2250">
        <v>1.9661856684062094E-2</v>
      </c>
      <c r="Q2250">
        <v>2.1454633913991598E-3</v>
      </c>
      <c r="R2250">
        <v>1.5009064583438169E-3</v>
      </c>
      <c r="S2250">
        <v>0.15601167449536507</v>
      </c>
      <c r="T2250">
        <v>1.0728614525920952</v>
      </c>
      <c r="U2250">
        <v>2.3450126242424724E-2</v>
      </c>
      <c r="V2250">
        <v>0.20772578351921245</v>
      </c>
      <c r="W2250">
        <v>8.7296634902721867E-2</v>
      </c>
      <c r="X2250">
        <v>1.6049593092357803E-2</v>
      </c>
      <c r="Y2250">
        <v>4.0849726059308507E-3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C87" workbookViewId="0">
      <selection activeCell="J135" sqref="J135"/>
    </sheetView>
  </sheetViews>
  <sheetFormatPr defaultColWidth="11" defaultRowHeight="13.2" x14ac:dyDescent="0.25"/>
  <cols>
    <col min="1" max="1" width="27.33203125" style="47" customWidth="1"/>
    <col min="2" max="2" width="28.6640625" style="47" customWidth="1"/>
    <col min="3" max="3" width="25.33203125" style="47" customWidth="1"/>
    <col min="4" max="4" width="18.6640625" style="47" customWidth="1"/>
    <col min="5" max="5" width="49.6640625" style="47" customWidth="1"/>
    <col min="6" max="6" width="24.6640625" style="47" customWidth="1"/>
    <col min="7" max="7" width="25.6640625" style="47" customWidth="1"/>
    <col min="8" max="8" width="21.33203125" style="47" customWidth="1"/>
    <col min="9" max="9" width="29.6640625" style="47" customWidth="1"/>
    <col min="10" max="10" width="27.33203125" style="47" customWidth="1"/>
    <col min="11" max="11" width="25" style="47" customWidth="1"/>
    <col min="12" max="12" width="25.6640625" style="47" customWidth="1"/>
    <col min="13" max="13" width="21" style="47" customWidth="1"/>
    <col min="14" max="14" width="22.6640625" style="47" customWidth="1"/>
    <col min="15" max="15" width="28.33203125" style="47" customWidth="1"/>
    <col min="16" max="16" width="28.6640625" style="47" customWidth="1"/>
    <col min="17" max="17" width="26.6640625" style="47" customWidth="1"/>
    <col min="18" max="18" width="23.5546875" style="47" customWidth="1"/>
    <col min="19" max="19" width="22.33203125" style="47" customWidth="1"/>
    <col min="20" max="20" width="20.6640625" style="47" customWidth="1"/>
    <col min="21" max="21" width="21.44140625" style="47" customWidth="1"/>
    <col min="22" max="22" width="18.6640625" style="47" customWidth="1"/>
    <col min="23" max="23" width="20.44140625" style="47" customWidth="1"/>
    <col min="24" max="24" width="19.33203125" style="47" customWidth="1"/>
    <col min="25" max="25" width="14.6640625" style="47" customWidth="1"/>
    <col min="26" max="26" width="15.6640625" style="47" customWidth="1"/>
    <col min="27" max="27" width="15.5546875" style="47" customWidth="1"/>
    <col min="28" max="28" width="15.6640625" style="47" customWidth="1"/>
    <col min="29" max="29" width="16.6640625" style="47" customWidth="1"/>
    <col min="30" max="30" width="14.6640625" style="47" customWidth="1"/>
    <col min="31" max="31" width="15.44140625" style="47" customWidth="1"/>
    <col min="32" max="32" width="11" style="47"/>
    <col min="33" max="33" width="14.6640625" style="47" customWidth="1"/>
    <col min="34" max="16384" width="11" style="47"/>
  </cols>
  <sheetData>
    <row r="1" spans="1:20" ht="15" customHeight="1" thickBot="1" x14ac:dyDescent="0.3">
      <c r="D1" s="36"/>
    </row>
    <row r="2" spans="1:20" ht="15" customHeight="1" thickTop="1" x14ac:dyDescent="0.25">
      <c r="A2" s="482" t="s">
        <v>479</v>
      </c>
      <c r="B2" s="476"/>
      <c r="C2" s="477"/>
      <c r="D2" s="36"/>
    </row>
    <row r="3" spans="1:20" ht="15" customHeight="1" x14ac:dyDescent="0.25">
      <c r="A3" s="483" t="s">
        <v>480</v>
      </c>
      <c r="B3" s="478"/>
      <c r="C3" s="479"/>
      <c r="F3" s="35"/>
      <c r="G3" s="36"/>
    </row>
    <row r="4" spans="1:20" ht="30.75" customHeight="1" x14ac:dyDescent="0.25">
      <c r="A4" s="483" t="s">
        <v>481</v>
      </c>
      <c r="B4" s="478"/>
      <c r="C4" s="479"/>
      <c r="T4" s="140"/>
    </row>
    <row r="5" spans="1:20" ht="26.25" customHeight="1" x14ac:dyDescent="0.25">
      <c r="A5" s="483" t="s">
        <v>76</v>
      </c>
      <c r="B5" s="478"/>
      <c r="C5" s="479"/>
      <c r="T5" s="140"/>
    </row>
    <row r="6" spans="1:20" ht="15" customHeight="1" thickBot="1" x14ac:dyDescent="0.3">
      <c r="A6" s="484" t="s">
        <v>482</v>
      </c>
      <c r="B6" s="480"/>
      <c r="C6" s="481"/>
      <c r="T6" s="140"/>
    </row>
    <row r="7" spans="1:20" ht="15" customHeight="1" thickTop="1" x14ac:dyDescent="0.25">
      <c r="T7" s="140"/>
    </row>
    <row r="8" spans="1:20" ht="15" customHeight="1" x14ac:dyDescent="0.25">
      <c r="T8" s="140"/>
    </row>
    <row r="9" spans="1:20" ht="15" customHeight="1" x14ac:dyDescent="0.25">
      <c r="T9" s="140"/>
    </row>
    <row r="10" spans="1:20" ht="15" customHeight="1" x14ac:dyDescent="0.25">
      <c r="T10" s="140"/>
    </row>
    <row r="11" spans="1:20" ht="15" customHeight="1" x14ac:dyDescent="0.25">
      <c r="T11" s="140"/>
    </row>
    <row r="12" spans="1:20" ht="29.25" customHeight="1" x14ac:dyDescent="0.25">
      <c r="T12" s="140"/>
    </row>
    <row r="13" spans="1:20" ht="15" customHeight="1" x14ac:dyDescent="0.3">
      <c r="A13" s="128"/>
      <c r="G13" s="35"/>
      <c r="H13" s="36"/>
    </row>
    <row r="14" spans="1:20" ht="15" customHeight="1" thickBot="1" x14ac:dyDescent="0.35">
      <c r="A14" s="125"/>
    </row>
    <row r="15" spans="1:20" ht="29.25" customHeight="1" thickTop="1" thickBot="1" x14ac:dyDescent="0.35">
      <c r="A15" s="144" t="s">
        <v>86</v>
      </c>
      <c r="B15" s="139"/>
      <c r="D15" s="1502" t="s">
        <v>62</v>
      </c>
      <c r="E15" s="1503"/>
    </row>
    <row r="16" spans="1:20" ht="40.200000000000003" thickTop="1" x14ac:dyDescent="0.25">
      <c r="A16" s="145" t="s">
        <v>87</v>
      </c>
      <c r="B16" s="146"/>
      <c r="D16" s="293" t="str">
        <f>"Hydrogen Cost (Year "&amp;TEXT(ref_year,"0")&amp;" Real $/kg)"</f>
        <v>Hydrogen Cost (Year 2016 Real $/kg)</v>
      </c>
      <c r="E16" s="938">
        <f ca="1">H2_price_nominal/INFLATION_FACTOR</f>
        <v>1.7362347671368898</v>
      </c>
    </row>
    <row r="17" spans="1:10" ht="39.6" x14ac:dyDescent="0.25">
      <c r="A17" s="147" t="s">
        <v>88</v>
      </c>
      <c r="B17" s="148">
        <f ca="1">output_kgyear</f>
        <v>216810000</v>
      </c>
      <c r="D17" s="129" t="s">
        <v>914</v>
      </c>
      <c r="E17" s="816">
        <f ca="1">+SUM(X57:AB57)/AC57*(1+inflation_rate)^construct</f>
        <v>1.7038614005268793</v>
      </c>
    </row>
    <row r="18" spans="1:10" ht="26.4" x14ac:dyDescent="0.25">
      <c r="A18" s="147" t="s">
        <v>89</v>
      </c>
      <c r="B18" s="148">
        <f ca="1">B17*H2_LHV_MJ_p_kg/1000/mmBTU_to_GJ</f>
        <v>24704346.254761934</v>
      </c>
      <c r="D18" s="130" t="s">
        <v>958</v>
      </c>
      <c r="E18" s="131">
        <f ca="1">((E20+1)/(1+B30))-1</f>
        <v>8.0000000000001181E-2</v>
      </c>
    </row>
    <row r="19" spans="1:10" ht="28.5" customHeight="1" x14ac:dyDescent="0.25">
      <c r="A19" s="147" t="s">
        <v>90</v>
      </c>
      <c r="B19" s="148">
        <f ca="1">B17*H2_LHV_MJ_p_kg</f>
        <v>26063085298.773842</v>
      </c>
      <c r="C19" s="127"/>
      <c r="D19" s="130" t="s">
        <v>966</v>
      </c>
      <c r="E19" s="131">
        <f ca="1">((E21+1)/(1+B30))-1</f>
        <v>9.365078547118455E-2</v>
      </c>
    </row>
    <row r="20" spans="1:10" ht="15" customHeight="1" x14ac:dyDescent="0.25">
      <c r="A20" s="149" t="s">
        <v>91</v>
      </c>
      <c r="B20" s="148">
        <f ca="1">design_cap</f>
        <v>660000</v>
      </c>
      <c r="D20" s="132" t="s">
        <v>957</v>
      </c>
      <c r="E20" s="133">
        <f ca="1">IRR(AA65:AA113)</f>
        <v>0.10052000000000105</v>
      </c>
    </row>
    <row r="21" spans="1:10" ht="15" customHeight="1" x14ac:dyDescent="0.25">
      <c r="A21" s="149" t="s">
        <v>92</v>
      </c>
      <c r="B21" s="148">
        <f ca="1">B20*365</f>
        <v>240900000</v>
      </c>
      <c r="D21" s="132" t="s">
        <v>965</v>
      </c>
      <c r="E21" s="133">
        <f ca="1">IRR(AC65:AC113)</f>
        <v>0.11443015039513704</v>
      </c>
    </row>
    <row r="22" spans="1:10" ht="15" customHeight="1" x14ac:dyDescent="0.25">
      <c r="A22" s="150" t="s">
        <v>93</v>
      </c>
      <c r="B22" s="151">
        <f ca="1">cap_factor</f>
        <v>0.9</v>
      </c>
      <c r="D22" s="135" t="s">
        <v>63</v>
      </c>
      <c r="E22" s="136">
        <f ca="1">(real_irr*(1+real_irr)^anal_period)/(((1+real_irr)^anal_period)-1)</f>
        <v>8.3860161500585326E-2</v>
      </c>
    </row>
    <row r="23" spans="1:10" ht="15" customHeight="1" x14ac:dyDescent="0.25">
      <c r="A23" s="149"/>
      <c r="B23" s="146"/>
      <c r="D23" s="135" t="s">
        <v>73</v>
      </c>
      <c r="E23" s="136">
        <f ca="1">(nominal_irr*(1+nominal_irr)^anal_period)/(((1+nominal_irr)^anal_period)-1)</f>
        <v>0.10274768859314053</v>
      </c>
    </row>
    <row r="24" spans="1:10" ht="24.75" customHeight="1" x14ac:dyDescent="0.25">
      <c r="A24" s="145" t="s">
        <v>94</v>
      </c>
      <c r="B24" s="146"/>
      <c r="D24" s="132" t="s">
        <v>74</v>
      </c>
      <c r="E24" s="136">
        <f ca="1">(E22*(1-total_tax_rate*INDEX(Depreciation!B12:H37,MATCH("NPV - Real IRR",Depreciation!B12:B37,0),MATCH(depr_length,recovery_period,0))))/(1-total_tax_rate)</f>
        <v>9.8212531813322054E-2</v>
      </c>
    </row>
    <row r="25" spans="1:10" ht="15" customHeight="1" x14ac:dyDescent="0.25">
      <c r="A25" s="130" t="s">
        <v>95</v>
      </c>
      <c r="B25" s="152">
        <f>startup_year</f>
        <v>2015</v>
      </c>
      <c r="D25" s="135" t="s">
        <v>75</v>
      </c>
      <c r="E25" s="136">
        <f ca="1">(E23*(1-total_tax_rate*INDEX(Depreciation!B12:H37,MATCH("NPV - Nominal IRR",Depreciation!B12:B37,0),MATCH(depr_length,recovery_period,0))))/(1-total_tax_rate)</f>
        <v>0.12265813940348715</v>
      </c>
    </row>
    <row r="26" spans="1:10" ht="15" customHeight="1" thickBot="1" x14ac:dyDescent="0.3">
      <c r="A26" s="149" t="s">
        <v>96</v>
      </c>
      <c r="B26" s="143">
        <f ca="1">real_irr</f>
        <v>0.08</v>
      </c>
      <c r="C26" s="153"/>
      <c r="D26" s="137" t="s">
        <v>246</v>
      </c>
      <c r="E26" s="815">
        <f ca="1">NPV(nominal_irr,AA65:AA113)</f>
        <v>2.5142290636995121E-6</v>
      </c>
    </row>
    <row r="27" spans="1:10" ht="15" customHeight="1" thickTop="1" x14ac:dyDescent="0.25">
      <c r="A27" s="130" t="s">
        <v>963</v>
      </c>
      <c r="B27" s="143">
        <f ca="1">((1+B26)*(1+B30))-1</f>
        <v>0.10051999999999994</v>
      </c>
      <c r="C27" s="153"/>
      <c r="D27"/>
    </row>
    <row r="28" spans="1:10" ht="15" customHeight="1" x14ac:dyDescent="0.25">
      <c r="A28" s="149" t="s">
        <v>97</v>
      </c>
      <c r="B28" s="152">
        <f>anal_period</f>
        <v>40</v>
      </c>
      <c r="C28" s="153"/>
      <c r="D28"/>
      <c r="F28"/>
    </row>
    <row r="29" spans="1:10" ht="15" customHeight="1" x14ac:dyDescent="0.25">
      <c r="A29" s="149" t="s">
        <v>98</v>
      </c>
      <c r="B29" s="152">
        <f>plant_life</f>
        <v>40</v>
      </c>
      <c r="C29" s="153"/>
      <c r="D29"/>
    </row>
    <row r="30" spans="1:10" ht="15" customHeight="1" x14ac:dyDescent="0.25">
      <c r="A30" s="149" t="s">
        <v>99</v>
      </c>
      <c r="B30" s="143">
        <f>inflation_rate</f>
        <v>1.9E-2</v>
      </c>
      <c r="F30" s="28"/>
      <c r="G30" s="814"/>
      <c r="H30" s="814"/>
      <c r="I30" s="814"/>
      <c r="J30" s="814"/>
    </row>
    <row r="31" spans="1:10" ht="15" customHeight="1" x14ac:dyDescent="0.25">
      <c r="A31" s="149" t="s">
        <v>100</v>
      </c>
      <c r="B31" s="154">
        <f>100%-equity</f>
        <v>0.6</v>
      </c>
    </row>
    <row r="32" spans="1:10" ht="15" customHeight="1" x14ac:dyDescent="0.25">
      <c r="A32" s="130" t="s">
        <v>101</v>
      </c>
      <c r="B32" s="155">
        <f>equity</f>
        <v>0.4</v>
      </c>
    </row>
    <row r="33" spans="1:12" ht="15" customHeight="1" x14ac:dyDescent="0.25">
      <c r="A33" s="130" t="s">
        <v>102</v>
      </c>
      <c r="B33" s="143">
        <f>total_tax_rate</f>
        <v>0.25739999999999996</v>
      </c>
    </row>
    <row r="34" spans="1:12" ht="15" customHeight="1" x14ac:dyDescent="0.25">
      <c r="A34" s="130"/>
      <c r="B34" s="156"/>
    </row>
    <row r="35" spans="1:12" ht="28.5" customHeight="1" x14ac:dyDescent="0.25">
      <c r="A35" s="157" t="s">
        <v>103</v>
      </c>
      <c r="B35" s="158"/>
    </row>
    <row r="36" spans="1:12" ht="15" customHeight="1" x14ac:dyDescent="0.25">
      <c r="A36" s="149" t="s">
        <v>104</v>
      </c>
      <c r="B36" s="152">
        <f>debt_period</f>
        <v>0</v>
      </c>
    </row>
    <row r="37" spans="1:12" ht="15" customHeight="1" x14ac:dyDescent="0.25">
      <c r="A37" s="149" t="s">
        <v>105</v>
      </c>
      <c r="B37" s="159">
        <f>debt_interest</f>
        <v>3.6999999999999998E-2</v>
      </c>
      <c r="K37" s="814"/>
    </row>
    <row r="38" spans="1:12" ht="15" customHeight="1" x14ac:dyDescent="0.25">
      <c r="A38" s="130"/>
      <c r="B38" s="146"/>
      <c r="K38" s="814"/>
    </row>
    <row r="39" spans="1:12" ht="28.5" customHeight="1" x14ac:dyDescent="0.25">
      <c r="A39" s="157" t="s">
        <v>106</v>
      </c>
      <c r="B39" s="146"/>
      <c r="F39" s="814"/>
      <c r="G39" s="814"/>
      <c r="H39" s="814"/>
      <c r="I39" s="814"/>
      <c r="J39" s="814"/>
      <c r="K39" s="814"/>
      <c r="L39" s="814"/>
    </row>
    <row r="40" spans="1:12" ht="15" customHeight="1" x14ac:dyDescent="0.25">
      <c r="A40" s="130" t="s">
        <v>107</v>
      </c>
      <c r="B40" s="152">
        <f>construct</f>
        <v>3</v>
      </c>
      <c r="G40" s="814"/>
      <c r="H40" s="814"/>
    </row>
    <row r="41" spans="1:12" ht="15" customHeight="1" x14ac:dyDescent="0.25">
      <c r="A41" s="130" t="s">
        <v>108</v>
      </c>
      <c r="B41" s="151">
        <f>start_time</f>
        <v>1</v>
      </c>
    </row>
    <row r="42" spans="1:12" ht="15" customHeight="1" x14ac:dyDescent="0.25">
      <c r="A42" s="147" t="s">
        <v>109</v>
      </c>
      <c r="B42" s="154">
        <f>percnt_revs</f>
        <v>1</v>
      </c>
    </row>
    <row r="43" spans="1:12" ht="15" customHeight="1" x14ac:dyDescent="0.25">
      <c r="A43" s="147" t="s">
        <v>110</v>
      </c>
      <c r="B43" s="154">
        <f>percnt_var</f>
        <v>1</v>
      </c>
    </row>
    <row r="44" spans="1:12" ht="15" customHeight="1" x14ac:dyDescent="0.25">
      <c r="A44" s="147" t="s">
        <v>111</v>
      </c>
      <c r="B44" s="154">
        <f>percnt_fixed</f>
        <v>1</v>
      </c>
    </row>
    <row r="45" spans="1:12" ht="15" customHeight="1" x14ac:dyDescent="0.25">
      <c r="A45" s="130"/>
      <c r="B45" s="146"/>
    </row>
    <row r="46" spans="1:12" ht="28.5" customHeight="1" x14ac:dyDescent="0.25">
      <c r="A46" s="157" t="s">
        <v>112</v>
      </c>
      <c r="B46" s="146"/>
      <c r="F46" s="160"/>
    </row>
    <row r="47" spans="1:12" ht="15" customHeight="1" x14ac:dyDescent="0.25">
      <c r="A47" s="130" t="s">
        <v>384</v>
      </c>
      <c r="B47" s="161" t="str">
        <f>depr_type</f>
        <v>MACRS</v>
      </c>
      <c r="F47" s="160"/>
    </row>
    <row r="48" spans="1:12" ht="15" customHeight="1" x14ac:dyDescent="0.25">
      <c r="A48" s="130" t="s">
        <v>50</v>
      </c>
      <c r="B48" s="152">
        <f>depr_length</f>
        <v>20</v>
      </c>
      <c r="F48" s="160"/>
    </row>
    <row r="49" spans="1:32" ht="15" customHeight="1" x14ac:dyDescent="0.25">
      <c r="A49" s="130"/>
      <c r="B49" s="146"/>
      <c r="F49" s="160"/>
    </row>
    <row r="50" spans="1:32" ht="28.5" customHeight="1" x14ac:dyDescent="0.25">
      <c r="A50" s="157" t="s">
        <v>113</v>
      </c>
      <c r="B50" s="146"/>
    </row>
    <row r="51" spans="1:32" ht="30.75" customHeight="1" x14ac:dyDescent="0.25">
      <c r="A51" s="129" t="s">
        <v>954</v>
      </c>
      <c r="B51" s="162">
        <f ca="1">(total_cap-non_dep_cap)*INFLATION_FACTOR</f>
        <v>758991273.57394803</v>
      </c>
      <c r="F51" s="160"/>
    </row>
    <row r="52" spans="1:32" ht="30" customHeight="1" thickBot="1" x14ac:dyDescent="0.3">
      <c r="A52" s="129" t="s">
        <v>956</v>
      </c>
      <c r="B52" s="162">
        <f ca="1">non_dep_cap*INFLATION_FACTOR</f>
        <v>4703057.8307993943</v>
      </c>
      <c r="F52" s="160"/>
    </row>
    <row r="53" spans="1:32" ht="15" customHeight="1" thickBot="1" x14ac:dyDescent="0.35">
      <c r="A53" s="129" t="s">
        <v>114</v>
      </c>
      <c r="B53" s="162">
        <f ca="1">SUM(B51:B52)</f>
        <v>763694331.40474737</v>
      </c>
      <c r="F53" s="160"/>
      <c r="W53" s="1504" t="s">
        <v>1144</v>
      </c>
      <c r="X53" s="1505"/>
      <c r="Y53" s="861"/>
      <c r="Z53" s="861"/>
      <c r="AA53" s="861"/>
      <c r="AB53" s="861"/>
      <c r="AC53" s="862"/>
    </row>
    <row r="54" spans="1:32" ht="15" customHeight="1" thickTop="1" x14ac:dyDescent="0.25">
      <c r="A54" s="129" t="s">
        <v>959</v>
      </c>
      <c r="B54" s="162">
        <f ca="1">decom_percent*depr_cap_infl</f>
        <v>75899127.3573948</v>
      </c>
      <c r="F54" s="160"/>
      <c r="W54" s="863"/>
      <c r="X54" s="856" t="s">
        <v>80</v>
      </c>
      <c r="Y54" s="857" t="s">
        <v>1094</v>
      </c>
      <c r="Z54" s="857" t="s">
        <v>1095</v>
      </c>
      <c r="AA54" s="856" t="s">
        <v>1096</v>
      </c>
      <c r="AB54" s="857" t="s">
        <v>1101</v>
      </c>
      <c r="AC54" s="864" t="s">
        <v>1097</v>
      </c>
    </row>
    <row r="55" spans="1:32" ht="15" customHeight="1" x14ac:dyDescent="0.25">
      <c r="A55" s="129" t="s">
        <v>968</v>
      </c>
      <c r="B55" s="162">
        <f ca="1">salvage_perct*B53</f>
        <v>76369433.140474737</v>
      </c>
      <c r="F55" s="160"/>
      <c r="W55" s="865" t="s">
        <v>1092</v>
      </c>
      <c r="X55" s="858">
        <f ca="1">-SUM(H116:K116)</f>
        <v>368788136.85674888</v>
      </c>
      <c r="Y55" s="858">
        <f ca="1">-U116</f>
        <v>279473317.90691984</v>
      </c>
      <c r="Z55" s="858">
        <f ca="1">-Z116</f>
        <v>7704634.1674268208</v>
      </c>
      <c r="AA55" s="858">
        <f ca="1">-SUM(L116:S116)</f>
        <v>3159217505.4180088</v>
      </c>
      <c r="AB55" s="858">
        <f ca="1">+AF116</f>
        <v>0</v>
      </c>
      <c r="AC55" s="866">
        <f ca="1">+AE116</f>
        <v>2216542709.9533076</v>
      </c>
    </row>
    <row r="56" spans="1:32" ht="15" customHeight="1" x14ac:dyDescent="0.25">
      <c r="A56" s="149" t="s">
        <v>960</v>
      </c>
      <c r="B56" s="54">
        <f ca="1">fixed*INFLATION_FACTOR</f>
        <v>32497438.946817741</v>
      </c>
      <c r="F56" s="160"/>
      <c r="W56" s="865" t="s">
        <v>1102</v>
      </c>
      <c r="X56" s="859">
        <v>1</v>
      </c>
      <c r="Y56" s="859">
        <f>-total_tax_rate</f>
        <v>-0.25739999999999996</v>
      </c>
      <c r="Z56" s="859">
        <v>1</v>
      </c>
      <c r="AA56" s="859">
        <f>1-total_tax_rate</f>
        <v>0.74260000000000004</v>
      </c>
      <c r="AB56" s="859">
        <v>-1</v>
      </c>
      <c r="AC56" s="867">
        <f>1-total_tax_rate</f>
        <v>0.74260000000000004</v>
      </c>
    </row>
    <row r="57" spans="1:32" ht="15" customHeight="1" x14ac:dyDescent="0.25">
      <c r="A57" s="149" t="s">
        <v>961</v>
      </c>
      <c r="B57" s="54">
        <f ca="1">total_other_raw*INFLATION_FACTOR</f>
        <v>4962274.0663700793</v>
      </c>
      <c r="F57" s="160"/>
      <c r="W57" s="865" t="s">
        <v>1093</v>
      </c>
      <c r="X57" s="860">
        <f t="shared" ref="X57:Z57" ca="1" si="0">+X55*X56</f>
        <v>368788136.85674888</v>
      </c>
      <c r="Y57" s="860">
        <f t="shared" ca="1" si="0"/>
        <v>-71936432.02924116</v>
      </c>
      <c r="Z57" s="860">
        <f t="shared" ca="1" si="0"/>
        <v>7704634.1674268208</v>
      </c>
      <c r="AA57" s="860">
        <f ca="1">+AA55*AA56</f>
        <v>2346034919.5234137</v>
      </c>
      <c r="AB57" s="860">
        <f ca="1">+AB55*AB56</f>
        <v>0</v>
      </c>
      <c r="AC57" s="868">
        <f ca="1">+AC55*AC56</f>
        <v>1646004616.4113264</v>
      </c>
    </row>
    <row r="58" spans="1:32" ht="45.75" customHeight="1" thickBot="1" x14ac:dyDescent="0.3">
      <c r="A58" s="163" t="s">
        <v>962</v>
      </c>
      <c r="B58" s="56">
        <f ca="1">(var_misc+royalties+operator_profit+CO2_OandMcost+waste_treat+solidwaste_treat)*INFLATION_FACTOR</f>
        <v>39707167.082397252</v>
      </c>
      <c r="F58" s="160"/>
      <c r="W58" s="869"/>
      <c r="X58" s="870"/>
      <c r="Y58" s="870"/>
      <c r="Z58" s="870"/>
      <c r="AA58" s="870"/>
      <c r="AB58" s="870"/>
      <c r="AC58" s="871"/>
    </row>
    <row r="59" spans="1:32" ht="15" customHeight="1" thickTop="1" x14ac:dyDescent="0.25">
      <c r="F59" s="160"/>
      <c r="W59" s="872" t="s">
        <v>1091</v>
      </c>
      <c r="X59" s="816">
        <f ca="1">+(1+real_irr)*(1+inflation_rate)-1</f>
        <v>0.10051999999999994</v>
      </c>
      <c r="Y59" s="870"/>
      <c r="Z59" s="870"/>
      <c r="AA59" s="870"/>
      <c r="AB59" s="870"/>
      <c r="AC59" s="871"/>
    </row>
    <row r="60" spans="1:32" ht="15" customHeight="1" thickBot="1" x14ac:dyDescent="0.3">
      <c r="F60" s="160"/>
      <c r="W60" s="873" t="str">
        <f>+D16</f>
        <v>Hydrogen Cost (Year 2016 Real $/kg)</v>
      </c>
      <c r="X60" s="874">
        <f ca="1">+SUM(X57:AB57)/AC57*(1+inflation_rate)^construct/INFLATION_FACTOR</f>
        <v>1.7362347671368898</v>
      </c>
      <c r="Y60" s="875"/>
      <c r="Z60" s="875"/>
      <c r="AA60" s="875"/>
      <c r="AB60" s="875"/>
      <c r="AC60" s="876"/>
    </row>
    <row r="61" spans="1:32" ht="39.75" customHeight="1" x14ac:dyDescent="0.25">
      <c r="F61" s="160"/>
    </row>
    <row r="62" spans="1:32" ht="17.25" customHeight="1" thickBot="1" x14ac:dyDescent="0.3">
      <c r="F62" s="160"/>
    </row>
    <row r="63" spans="1:32" ht="29.25" customHeight="1" thickTop="1" thickBot="1" x14ac:dyDescent="0.35">
      <c r="A63" s="43" t="s">
        <v>115</v>
      </c>
      <c r="B63" s="164"/>
      <c r="C63" s="164"/>
      <c r="D63" s="164"/>
      <c r="E63" s="164"/>
      <c r="F63" s="164"/>
      <c r="G63" s="164"/>
      <c r="H63" s="900"/>
      <c r="I63" s="900"/>
      <c r="J63" s="900"/>
      <c r="K63" s="900"/>
      <c r="L63" s="900"/>
      <c r="M63" s="900"/>
      <c r="N63" s="900"/>
      <c r="O63" s="900"/>
      <c r="P63" s="900"/>
      <c r="Q63" s="900"/>
      <c r="R63" s="900"/>
      <c r="S63" s="900"/>
      <c r="T63" s="900"/>
      <c r="U63" s="900"/>
      <c r="V63" s="900"/>
      <c r="W63" s="900"/>
      <c r="X63" s="900"/>
      <c r="Y63" s="900"/>
      <c r="Z63" s="900"/>
      <c r="AA63" s="900"/>
      <c r="AB63" s="900"/>
      <c r="AC63" s="901"/>
    </row>
    <row r="64" spans="1:32" ht="67.2" thickTop="1" thickBot="1" x14ac:dyDescent="0.3">
      <c r="A64" s="877" t="s">
        <v>1099</v>
      </c>
      <c r="B64" s="878" t="s">
        <v>37</v>
      </c>
      <c r="C64" s="878" t="s">
        <v>53</v>
      </c>
      <c r="D64" s="878" t="s">
        <v>116</v>
      </c>
      <c r="E64" s="879" t="s">
        <v>117</v>
      </c>
      <c r="F64" s="879" t="s">
        <v>1104</v>
      </c>
      <c r="G64" s="880" t="s">
        <v>118</v>
      </c>
      <c r="H64" s="902" t="s">
        <v>119</v>
      </c>
      <c r="I64" s="903" t="s">
        <v>120</v>
      </c>
      <c r="J64" s="903" t="s">
        <v>1098</v>
      </c>
      <c r="K64" s="903" t="s">
        <v>132</v>
      </c>
      <c r="L64" s="903" t="s">
        <v>968</v>
      </c>
      <c r="M64" s="903" t="s">
        <v>81</v>
      </c>
      <c r="N64" s="903" t="s">
        <v>133</v>
      </c>
      <c r="O64" s="903" t="s">
        <v>1103</v>
      </c>
      <c r="P64" s="903" t="s">
        <v>134</v>
      </c>
      <c r="Q64" s="903" t="s">
        <v>1105</v>
      </c>
      <c r="R64" s="903" t="s">
        <v>135</v>
      </c>
      <c r="S64" s="903" t="s">
        <v>136</v>
      </c>
      <c r="T64" s="903" t="s">
        <v>137</v>
      </c>
      <c r="U64" s="903" t="s">
        <v>57</v>
      </c>
      <c r="V64" s="903" t="s">
        <v>138</v>
      </c>
      <c r="W64" s="903" t="s">
        <v>139</v>
      </c>
      <c r="X64" s="903" t="s">
        <v>141</v>
      </c>
      <c r="Y64" s="903" t="s">
        <v>142</v>
      </c>
      <c r="Z64" s="903" t="s">
        <v>42</v>
      </c>
      <c r="AA64" s="904" t="s">
        <v>143</v>
      </c>
      <c r="AB64" s="904" t="s">
        <v>144</v>
      </c>
      <c r="AC64" s="882" t="s">
        <v>145</v>
      </c>
      <c r="AD64" s="165"/>
      <c r="AE64" s="881" t="s">
        <v>1090</v>
      </c>
      <c r="AF64" s="882" t="s">
        <v>1100</v>
      </c>
    </row>
    <row r="65" spans="1:32" ht="13.8" thickTop="1" x14ac:dyDescent="0.25">
      <c r="A65" s="166">
        <f>startup_year-construct</f>
        <v>2012</v>
      </c>
      <c r="B65" s="167">
        <v>1</v>
      </c>
      <c r="C65" s="167">
        <f>IF(construct=0,1,-construct)</f>
        <v>-3</v>
      </c>
      <c r="D65" s="167">
        <f t="shared" ref="D65:D96" si="1">IF(C65="","",IF(C65&lt;=plant_life,C65,IF(D64=plant_life,1,D64+1)))</f>
        <v>-3</v>
      </c>
      <c r="E65" s="168">
        <f t="shared" ref="E65:E96" si="2">IF(C65="","",(1+inflation_rate)^(A65-$B$25))</f>
        <v>0.94509931410277337</v>
      </c>
      <c r="F65" s="169">
        <f t="shared" ref="F65:F96" si="3">IF(C65="","",IF(C65&lt;0,0,IF(AND(C65=1,start_time&lt;1),E65*(H2_price_nominal*output_kgyear*start_time*percnt_revs+H2_price_nominal*output_kgyear*(1-start_time)),IF(C65&lt;=start_time,H2_price_nominal*E65*output_kgyear*percnt_revs,H2_price_nominal*output_kgyear*E65))))</f>
        <v>0</v>
      </c>
      <c r="G65" s="896">
        <f ca="1">-$B$31*depr_cap_infl*E65</f>
        <v>-430393279.23883724</v>
      </c>
      <c r="H65" s="905">
        <f ca="1">IF(C65&lt;0,-E65*equity*depr_cap_infl*percent_cap1,IF(C65=1,-E65*equity*depr_cap_infl,0))</f>
        <v>-286928852.82589149</v>
      </c>
      <c r="I65" s="170" t="str">
        <f>IF(OR(C65&lt;0,C65=""),"",-E65*INDEX('Replacement Costs'!$A$16:$H$57,MATCH(C65,'Replacement Costs'!$C$16:$C$57,0),MATCH("Total Yearly Replacement Costs",'Replacement Costs'!$A$16:$H$16,0)))</f>
        <v/>
      </c>
      <c r="J65" s="170">
        <f>IF(AND(C65&gt;=1,C65&lt;anal_period),WorkingCap*SUM(N65:R65)-WorkingCap*SUM(N64:R64),0)</f>
        <v>0</v>
      </c>
      <c r="K65" s="170">
        <f t="shared" ref="K65:K96" ca="1" si="4">IF(C65=-construct,-E65*non_dep_infl,"")</f>
        <v>-4444856.7300741849</v>
      </c>
      <c r="L65" s="170" t="str">
        <f t="shared" ref="L65:L96" si="5">IF(C65=anal_period,salvage*E65,"")</f>
        <v/>
      </c>
      <c r="M65" s="170" t="str">
        <f t="shared" ref="M65:M96" si="6">IF(D65=plant_life,-E65*decom,"")</f>
        <v/>
      </c>
      <c r="N65" s="170">
        <f t="shared" ref="N65:N96" si="7">IF(C65="","",IF(C65&lt;0,0,IF(AND(C65=1,start_time&lt;1),-(inflated_fixed*percnt_fixed*start_time+(inflated_fixed*(1-start_time))),IF(C65&lt;=start_time,-inflated_fixed*percnt_fixed*E65,-inflated_fixed*E65))))</f>
        <v>0</v>
      </c>
      <c r="O65" s="170">
        <f t="shared" ref="O65:O96" si="8">IF(C65="","",IF(C65&lt;0,0,IF(AND(C65=1,start_time&lt;1),-(SUM(B139:E139)*output_kgyear*E65*percnt_var*start_time+SUM(B139:E139)*output_kgyear*E65*(1-start_time)),IF(C65&lt;=start_time,-SUM(B139:E139)*output_kgyear*E65*percnt_var,-SUM(B139:E139)*output_kgyear*E65))))</f>
        <v>0</v>
      </c>
      <c r="P65" s="170">
        <f t="shared" ref="P65:P96" si="9">IF(C65="","",IF(C65&lt;0,0,IF(AND(C65=1,start_time&lt;1),-(inflated_otherraw*E65*percnt_var*start_time+inflated_otherraw*E65*(1-start_time)),IF(C65&lt;=start_time,-inflated_otherraw*E65*percnt_var,-(inflated_otherraw*E65)))))</f>
        <v>0</v>
      </c>
      <c r="Q65" s="170">
        <f t="shared" ref="Q65:Q109" si="10">IF(C65="","",IF(C65&lt;0,0,IF(AND(C65=1,start_time&lt;1),SUM(K139:N139,T139:V139)*output_kgyear*E65*percnt_revs*start_time+SUM(K139:N139,T139:V139)*output_kgyear*E65*(1-start_time),IF(C65&lt;=start_time,SUM(K139:N139,T139:V139)*output_kgyear*E65*percnt_revs,SUM(K139:N139,T139:V139)*output_kgyear*E65))))</f>
        <v>0</v>
      </c>
      <c r="R65" s="170">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70">
        <f ca="1">IF(B65="","",IF($B$31=0,"",-'Debt Financing Calculations'!E14))</f>
        <v>-15924551.331836978</v>
      </c>
      <c r="T65" s="170">
        <f t="shared" ref="T65:T96" ca="1" si="12">IF(C65="","",F65+SUM(L65:S65))</f>
        <v>-15924551.331836978</v>
      </c>
      <c r="U65" s="170">
        <f>IF(C65="","",IF(C65&lt;-1,0,IF(C65=anal_period,-LOOKUP(C65,depr_yr,depr_cost)-Depreciation!$C$141-Depreciation!$B$166,-LOOKUP(C65,depr_yr,depr_cost))))</f>
        <v>0</v>
      </c>
      <c r="V65" s="170">
        <f t="shared" ref="V65:V96" ca="1" si="13">IF(C65="","",SUM(T65:U65))</f>
        <v>-15924551.331836978</v>
      </c>
      <c r="W65" s="171">
        <f t="shared" ref="W65:W96" si="14">IF(C65="","",$B$33)</f>
        <v>0.25739999999999996</v>
      </c>
      <c r="X65" s="170">
        <f t="shared" ref="X65:X96" ca="1" si="15">IF(C65="","",tax_credit-(V65*W65 +Upstream_CO2_taxpYear + Proc_CO2_taxpYear))</f>
        <v>4098979.5128148375</v>
      </c>
      <c r="Y65" s="170">
        <f t="shared" ref="Y65:Y96" ca="1" si="16">IF(C65="","",SUM(T65,X65))</f>
        <v>-11825571.819022141</v>
      </c>
      <c r="Z65" s="170">
        <f>IF(C65="","",IF($B$31=0,"",-'Debt Financing Calculations'!F14))</f>
        <v>0</v>
      </c>
      <c r="AA65" s="170">
        <f t="shared" ref="AA65:AA96" ca="1" si="17">IF(C65="","",SUM(H65,I65,J65,K65,T65,X65,Z65))</f>
        <v>-303199281.37498784</v>
      </c>
      <c r="AB65" s="170">
        <f ca="1">AA65</f>
        <v>-303199281.37498784</v>
      </c>
      <c r="AC65" s="883">
        <f t="shared" ref="AC65:AC96" ca="1" si="18">IF(C65="","",SUM(H65,I65,J65,K65,T65,Z65))</f>
        <v>-307298260.88780266</v>
      </c>
      <c r="AE65" s="887">
        <f t="shared" ref="AE65:AE96" si="19">IF(C65="","",IF(C65&lt;0,0,IF(AND(C65=1,start_time&lt;1),(output_kgyear*start_time*percnt_revs+output_kgyear*(1-start_time)),IF(C65&lt;=start_time,output_kgyear*percnt_revs,output_kgyear))))</f>
        <v>0</v>
      </c>
      <c r="AF65" s="883">
        <f t="shared" ref="AF65:AF96" si="20">IF(C65="","",tax_credit)</f>
        <v>0</v>
      </c>
    </row>
    <row r="66" spans="1:32" x14ac:dyDescent="0.25">
      <c r="A66" s="52">
        <f t="shared" ref="A66:A113" si="21">IF(B66&lt;&gt;"",A65+1,"")</f>
        <v>2013</v>
      </c>
      <c r="B66" s="172">
        <f>IF(MAX($B$65:B65)&lt;(construct+anal_period),B65+1,"")</f>
        <v>2</v>
      </c>
      <c r="C66" s="172">
        <f t="shared" ref="C66:C113" si="22">IF(B66="","",IF(C65=-1,1,C65+1))</f>
        <v>-2</v>
      </c>
      <c r="D66" s="172">
        <f t="shared" si="1"/>
        <v>-2</v>
      </c>
      <c r="E66" s="173">
        <f t="shared" si="2"/>
        <v>0.96305620107072598</v>
      </c>
      <c r="F66" s="53">
        <f t="shared" si="3"/>
        <v>0</v>
      </c>
      <c r="G66" s="897"/>
      <c r="H66" s="906">
        <f ca="1">IF(C66&lt;0,-E66*equity*depr_cap_infl*percent_cap2,0)</f>
        <v>0</v>
      </c>
      <c r="I66" s="174" t="str">
        <f>IF(OR(C66&lt;0,C66=""),"",-E66*INDEX('Replacement Costs'!$A$16:$H$57,MATCH(C66,'Replacement Costs'!$C$16:$C$57,0),MATCH("Total Yearly Replacement Costs",'Replacement Costs'!$A$16:$H$16,0)))</f>
        <v/>
      </c>
      <c r="J66" s="174">
        <f>IF(AND(C66&gt;=1,C66&lt;anal_period),WorkingCap*SUM(N66:R66)-WorkingCap*SUM(N65:R65),IF(C66&lt;0,0,IF(B66="","",-SUM(J$65:J65))))</f>
        <v>0</v>
      </c>
      <c r="K66" s="174" t="str">
        <f t="shared" si="4"/>
        <v/>
      </c>
      <c r="L66" s="174" t="str">
        <f t="shared" si="5"/>
        <v/>
      </c>
      <c r="M66" s="174" t="str">
        <f t="shared" si="6"/>
        <v/>
      </c>
      <c r="N66" s="174">
        <f t="shared" si="7"/>
        <v>0</v>
      </c>
      <c r="O66" s="174">
        <f t="shared" si="8"/>
        <v>0</v>
      </c>
      <c r="P66" s="174">
        <f t="shared" si="9"/>
        <v>0</v>
      </c>
      <c r="Q66" s="174">
        <f t="shared" si="10"/>
        <v>0</v>
      </c>
      <c r="R66" s="174">
        <f t="shared" si="11"/>
        <v>0</v>
      </c>
      <c r="S66" s="174">
        <f ca="1">IF(B66="","",IF($B$31=0,"",-'Debt Financing Calculations'!E15))</f>
        <v>-15924551.331836978</v>
      </c>
      <c r="T66" s="174">
        <f t="shared" ca="1" si="12"/>
        <v>-15924551.331836978</v>
      </c>
      <c r="U66" s="174">
        <f>IF(C66="","",IF(C66&lt;-1,0,IF(C66=anal_period,-LOOKUP(C66,depr_yr,depr_cost)-Depreciation!$C$141-Depreciation!$B$166,-LOOKUP(C66,depr_yr,depr_cost))))</f>
        <v>0</v>
      </c>
      <c r="V66" s="174">
        <f t="shared" ca="1" si="13"/>
        <v>-15924551.331836978</v>
      </c>
      <c r="W66" s="175">
        <f t="shared" si="14"/>
        <v>0.25739999999999996</v>
      </c>
      <c r="X66" s="174">
        <f t="shared" ca="1" si="15"/>
        <v>4098979.5128148375</v>
      </c>
      <c r="Y66" s="174">
        <f t="shared" ca="1" si="16"/>
        <v>-11825571.819022141</v>
      </c>
      <c r="Z66" s="174">
        <f>IF(C66="","",IF($B$31=0,"",-'Debt Financing Calculations'!F15))</f>
        <v>0</v>
      </c>
      <c r="AA66" s="174">
        <f t="shared" ca="1" si="17"/>
        <v>-11825571.819022141</v>
      </c>
      <c r="AB66" s="174">
        <f t="shared" ref="AB66:AB113" ca="1" si="23">IF(C66="","",AB65+AA66)</f>
        <v>-315024853.19400996</v>
      </c>
      <c r="AC66" s="884">
        <f t="shared" ca="1" si="18"/>
        <v>-15924551.331836978</v>
      </c>
      <c r="AE66" s="888">
        <f t="shared" si="19"/>
        <v>0</v>
      </c>
      <c r="AF66" s="884">
        <f t="shared" si="20"/>
        <v>0</v>
      </c>
    </row>
    <row r="67" spans="1:32" x14ac:dyDescent="0.25">
      <c r="A67" s="52">
        <f t="shared" si="21"/>
        <v>2014</v>
      </c>
      <c r="B67" s="172">
        <f>IF(MAX($B$65:B66)&lt;(construct+anal_period),B66+1,"")</f>
        <v>3</v>
      </c>
      <c r="C67" s="172">
        <f t="shared" si="22"/>
        <v>-1</v>
      </c>
      <c r="D67" s="172">
        <f t="shared" si="1"/>
        <v>-1</v>
      </c>
      <c r="E67" s="173">
        <f t="shared" si="2"/>
        <v>0.9813542688910698</v>
      </c>
      <c r="F67" s="53">
        <f t="shared" si="3"/>
        <v>0</v>
      </c>
      <c r="G67" s="897"/>
      <c r="H67" s="906">
        <f ca="1">IF(C67&lt;0,-E67*equity*depr_cap_infl*percent_cap3,0)</f>
        <v>0</v>
      </c>
      <c r="I67" s="174" t="str">
        <f>IF(OR(C67&lt;0,C67=""),"",-E67*INDEX('Replacement Costs'!$A$16:$H$57,MATCH(C67,'Replacement Costs'!$C$16:$C$57,0),MATCH("Total Yearly Replacement Costs",'Replacement Costs'!$A$16:$H$16,0)))</f>
        <v/>
      </c>
      <c r="J67" s="174">
        <f>IF(AND(C67&gt;=1,C67&lt;anal_period),WorkingCap*SUM(N67:R67)-WorkingCap*SUM(N66:R66),IF(C67&lt;0,0,IF(B67="","",-SUM(J$65:J66))))</f>
        <v>0</v>
      </c>
      <c r="K67" s="174" t="str">
        <f t="shared" si="4"/>
        <v/>
      </c>
      <c r="L67" s="174" t="str">
        <f t="shared" si="5"/>
        <v/>
      </c>
      <c r="M67" s="174" t="str">
        <f t="shared" si="6"/>
        <v/>
      </c>
      <c r="N67" s="174">
        <f t="shared" si="7"/>
        <v>0</v>
      </c>
      <c r="O67" s="174">
        <f t="shared" si="8"/>
        <v>0</v>
      </c>
      <c r="P67" s="174">
        <f t="shared" si="9"/>
        <v>0</v>
      </c>
      <c r="Q67" s="174">
        <f t="shared" si="10"/>
        <v>0</v>
      </c>
      <c r="R67" s="174">
        <f t="shared" si="11"/>
        <v>0</v>
      </c>
      <c r="S67" s="174">
        <f ca="1">IF(B67="","",IF($B$31=0,"",-'Debt Financing Calculations'!E16))</f>
        <v>-15924551.331836978</v>
      </c>
      <c r="T67" s="174">
        <f t="shared" ca="1" si="12"/>
        <v>-15924551.331836978</v>
      </c>
      <c r="U67" s="174">
        <f>IF(C67="","",IF(C67&lt;-1,0,IF(C67=anal_period,-LOOKUP(C67,depr_yr,depr_cost)-Depreciation!$C$141-Depreciation!$B$166,-LOOKUP(C67,depr_yr,depr_cost))))</f>
        <v>0</v>
      </c>
      <c r="V67" s="174">
        <f t="shared" ca="1" si="13"/>
        <v>-15924551.331836978</v>
      </c>
      <c r="W67" s="175">
        <f t="shared" si="14"/>
        <v>0.25739999999999996</v>
      </c>
      <c r="X67" s="174">
        <f t="shared" ca="1" si="15"/>
        <v>4098979.5128148375</v>
      </c>
      <c r="Y67" s="174">
        <f t="shared" ca="1" si="16"/>
        <v>-11825571.819022141</v>
      </c>
      <c r="Z67" s="174">
        <f>IF(C67="","",IF($B$31=0,"",-'Debt Financing Calculations'!F16))</f>
        <v>0</v>
      </c>
      <c r="AA67" s="174">
        <f t="shared" ca="1" si="17"/>
        <v>-11825571.819022141</v>
      </c>
      <c r="AB67" s="174">
        <f t="shared" ca="1" si="23"/>
        <v>-326850425.01303208</v>
      </c>
      <c r="AC67" s="884">
        <f t="shared" ca="1" si="18"/>
        <v>-15924551.331836978</v>
      </c>
      <c r="AE67" s="888">
        <f t="shared" si="19"/>
        <v>0</v>
      </c>
      <c r="AF67" s="884">
        <f t="shared" si="20"/>
        <v>0</v>
      </c>
    </row>
    <row r="68" spans="1:32" x14ac:dyDescent="0.25">
      <c r="A68" s="821">
        <f t="shared" si="21"/>
        <v>2015</v>
      </c>
      <c r="B68" s="822">
        <f>IF(MAX($B$65:B67)&lt;(construct+anal_period),B67+1,"")</f>
        <v>4</v>
      </c>
      <c r="C68" s="822">
        <f t="shared" si="22"/>
        <v>1</v>
      </c>
      <c r="D68" s="822">
        <f t="shared" si="1"/>
        <v>1</v>
      </c>
      <c r="E68" s="823">
        <f t="shared" si="2"/>
        <v>1</v>
      </c>
      <c r="F68" s="824">
        <f t="shared" ca="1" si="3"/>
        <v>369414190.24823272</v>
      </c>
      <c r="G68" s="898"/>
      <c r="H68" s="907">
        <f>IF(C68&lt;0,-E68*equity*depr_cap_infl*percent_cap4,0)</f>
        <v>0</v>
      </c>
      <c r="I68" s="825">
        <f ca="1">IF(OR(C68&lt;0,C68=""),"",-E68*INDEX('Replacement Costs'!$A$16:$H$57,MATCH(C68,'Replacement Costs'!$C$16:$C$57,0),MATCH("Total Yearly Replacement Costs",'Replacement Costs'!$A$16:$H$16,0)))</f>
        <v>-3794956.3678697404</v>
      </c>
      <c r="J68" s="825">
        <f ca="1">IF(AND(C68&gt;=1,C68&lt;anal_period),WorkingCap*SUM(N68:R68)-WorkingCap*SUM(N67:R67),IF(C68&lt;0,0,IF(B68="","",-SUM(J$65:J67))))</f>
        <v>-38785166.431127377</v>
      </c>
      <c r="K68" s="825" t="str">
        <f t="shared" si="4"/>
        <v/>
      </c>
      <c r="L68" s="825" t="str">
        <f t="shared" si="5"/>
        <v/>
      </c>
      <c r="M68" s="825" t="str">
        <f t="shared" si="6"/>
        <v/>
      </c>
      <c r="N68" s="825">
        <f t="shared" ca="1" si="7"/>
        <v>-32497438.946817741</v>
      </c>
      <c r="O68" s="825">
        <f t="shared" ca="1" si="8"/>
        <v>-177299598.42737469</v>
      </c>
      <c r="P68" s="825">
        <f t="shared" ca="1" si="9"/>
        <v>-4962274.0663700793</v>
      </c>
      <c r="Q68" s="825">
        <f t="shared" ca="1" si="10"/>
        <v>0</v>
      </c>
      <c r="R68" s="825">
        <f t="shared" ca="1" si="11"/>
        <v>-43808464.766953379</v>
      </c>
      <c r="S68" s="825">
        <f ca="1">IF(B68="","",IF($B$31=0,"",-'Debt Financing Calculations'!E17))</f>
        <v>-15924551.331836978</v>
      </c>
      <c r="T68" s="825">
        <f t="shared" ca="1" si="12"/>
        <v>94921862.708879888</v>
      </c>
      <c r="U68" s="825">
        <f ca="1">IF(C68="","",IF(C68&lt;-1,0,IF(C68=anal_period,-LOOKUP(C68,depr_yr,depr_cost)-Depreciation!$C$141-Depreciation!$B$166,-LOOKUP(C68,depr_yr,depr_cost))))</f>
        <v>-27041890.81622244</v>
      </c>
      <c r="V68" s="825">
        <f t="shared" ca="1" si="13"/>
        <v>67879971.892657444</v>
      </c>
      <c r="W68" s="826">
        <f t="shared" si="14"/>
        <v>0.25739999999999996</v>
      </c>
      <c r="X68" s="825">
        <f t="shared" ca="1" si="15"/>
        <v>-17472304.765170023</v>
      </c>
      <c r="Y68" s="825">
        <f ca="1">IF(C68="","",SUM(T68,X68))</f>
        <v>77449557.943709865</v>
      </c>
      <c r="Z68" s="825">
        <f>IF(C68="","",IF($B$31=0,"",-'Debt Financing Calculations'!F17))</f>
        <v>0</v>
      </c>
      <c r="AA68" s="825">
        <f t="shared" ca="1" si="17"/>
        <v>34869435.144712746</v>
      </c>
      <c r="AB68" s="825">
        <f t="shared" ca="1" si="23"/>
        <v>-291980989.86831933</v>
      </c>
      <c r="AC68" s="885">
        <f t="shared" ca="1" si="18"/>
        <v>52341739.909882769</v>
      </c>
      <c r="AD68" s="817"/>
      <c r="AE68" s="889">
        <f t="shared" ca="1" si="19"/>
        <v>216810000</v>
      </c>
      <c r="AF68" s="885">
        <f t="shared" si="20"/>
        <v>0</v>
      </c>
    </row>
    <row r="69" spans="1:32" x14ac:dyDescent="0.25">
      <c r="A69" s="52">
        <f t="shared" si="21"/>
        <v>2016</v>
      </c>
      <c r="B69" s="172">
        <f>IF(MAX($B$65:B68)&lt;(construct+anal_period),B68+1,"")</f>
        <v>5</v>
      </c>
      <c r="C69" s="172">
        <f t="shared" si="22"/>
        <v>2</v>
      </c>
      <c r="D69" s="172">
        <f t="shared" si="1"/>
        <v>2</v>
      </c>
      <c r="E69" s="173">
        <f t="shared" si="2"/>
        <v>1.0189999999999999</v>
      </c>
      <c r="F69" s="53">
        <f t="shared" ca="1" si="3"/>
        <v>376433059.86294913</v>
      </c>
      <c r="G69" s="897"/>
      <c r="H69" s="906">
        <f t="shared" ref="H69:H113" si="24">IF(C69="","",0)</f>
        <v>0</v>
      </c>
      <c r="I69" s="174">
        <f ca="1">IF(OR(C69&lt;0,C69=""),"",-E69*INDEX('Replacement Costs'!$A$16:$H$57,MATCH(C69,'Replacement Costs'!$C$16:$C$57,0),MATCH("Total Yearly Replacement Costs",'Replacement Costs'!$A$16:$H$16,0)))</f>
        <v>-3867060.5388592649</v>
      </c>
      <c r="J69" s="174">
        <f ca="1">IF(AND(C69&gt;=1,C69&lt;anal_period),WorkingCap*SUM(N69:R69)-WorkingCap*SUM(N68:R68),IF(C69&lt;0,0,IF(B69="","",-SUM(J$65:J68))))</f>
        <v>735709.64988008887</v>
      </c>
      <c r="K69" s="174" t="str">
        <f t="shared" si="4"/>
        <v/>
      </c>
      <c r="L69" s="174" t="str">
        <f t="shared" si="5"/>
        <v/>
      </c>
      <c r="M69" s="174" t="str">
        <f t="shared" si="6"/>
        <v/>
      </c>
      <c r="N69" s="174">
        <f t="shared" ca="1" si="7"/>
        <v>-33114890.286807276</v>
      </c>
      <c r="O69" s="174">
        <f t="shared" ca="1" si="8"/>
        <v>-170850772.05035138</v>
      </c>
      <c r="P69" s="174">
        <f t="shared" ca="1" si="9"/>
        <v>-5056557.2736311108</v>
      </c>
      <c r="Q69" s="174">
        <f t="shared" ca="1" si="10"/>
        <v>0</v>
      </c>
      <c r="R69" s="174">
        <f t="shared" ca="1" si="11"/>
        <v>-44640825.597525492</v>
      </c>
      <c r="S69" s="174">
        <f ca="1">IF(B69="","",IF($B$31=0,"",-'Debt Financing Calculations'!E18))</f>
        <v>-15924551.331836978</v>
      </c>
      <c r="T69" s="174">
        <f t="shared" ca="1" si="12"/>
        <v>106845463.32279688</v>
      </c>
      <c r="U69" s="174">
        <f ca="1">IF(C69="","",IF(C69&lt;-1,0,IF(C69=anal_period,-LOOKUP(C69,depr_yr,depr_cost)-Depreciation!$C$141-Depreciation!$B$166,-LOOKUP(C69,depr_yr,depr_cost))))</f>
        <v>-52202457.384156503</v>
      </c>
      <c r="V69" s="174">
        <f t="shared" ca="1" si="13"/>
        <v>54643005.938640378</v>
      </c>
      <c r="W69" s="175">
        <f t="shared" si="14"/>
        <v>0.25739999999999996</v>
      </c>
      <c r="X69" s="174">
        <f t="shared" ca="1" si="15"/>
        <v>-14065109.728606032</v>
      </c>
      <c r="Y69" s="174">
        <f t="shared" ca="1" si="16"/>
        <v>92780353.594190851</v>
      </c>
      <c r="Z69" s="174">
        <f>IF(C69="","",IF($B$31=0,"",-'Debt Financing Calculations'!F18))</f>
        <v>0</v>
      </c>
      <c r="AA69" s="174">
        <f t="shared" ca="1" si="17"/>
        <v>89649002.705211669</v>
      </c>
      <c r="AB69" s="174">
        <f t="shared" ca="1" si="23"/>
        <v>-202331987.16310766</v>
      </c>
      <c r="AC69" s="884">
        <f t="shared" ca="1" si="18"/>
        <v>103714112.4338177</v>
      </c>
      <c r="AE69" s="888">
        <f t="shared" ca="1" si="19"/>
        <v>216810000</v>
      </c>
      <c r="AF69" s="884">
        <f t="shared" si="20"/>
        <v>0</v>
      </c>
    </row>
    <row r="70" spans="1:32" x14ac:dyDescent="0.25">
      <c r="A70" s="52">
        <f t="shared" si="21"/>
        <v>2017</v>
      </c>
      <c r="B70" s="172">
        <f>IF(MAX($B$65:B69)&lt;(construct+anal_period),B69+1,"")</f>
        <v>6</v>
      </c>
      <c r="C70" s="172">
        <f t="shared" si="22"/>
        <v>3</v>
      </c>
      <c r="D70" s="172">
        <f t="shared" si="1"/>
        <v>3</v>
      </c>
      <c r="E70" s="173">
        <f t="shared" si="2"/>
        <v>1.0383609999999999</v>
      </c>
      <c r="F70" s="53">
        <f t="shared" ca="1" si="3"/>
        <v>383585288.00034511</v>
      </c>
      <c r="G70" s="897"/>
      <c r="H70" s="906">
        <f t="shared" si="24"/>
        <v>0</v>
      </c>
      <c r="I70" s="174">
        <f ca="1">IF(OR(C70&lt;0,C70=""),"",-E70*INDEX('Replacement Costs'!$A$16:$H$57,MATCH(C70,'Replacement Costs'!$C$16:$C$57,0),MATCH("Total Yearly Replacement Costs",'Replacement Costs'!$A$16:$H$16,0)))</f>
        <v>-3940534.6890975907</v>
      </c>
      <c r="J70" s="174">
        <f ca="1">IF(AND(C70&gt;=1,C70&lt;anal_period),WorkingCap*SUM(N70:R70)-WorkingCap*SUM(N69:R69),IF(C70&lt;0,0,IF(B70="","",-SUM(J$65:J69))))</f>
        <v>-4081777.0100967586</v>
      </c>
      <c r="K70" s="174" t="str">
        <f t="shared" si="4"/>
        <v/>
      </c>
      <c r="L70" s="174" t="str">
        <f t="shared" si="5"/>
        <v/>
      </c>
      <c r="M70" s="174" t="str">
        <f t="shared" si="6"/>
        <v/>
      </c>
      <c r="N70" s="174">
        <f t="shared" ca="1" si="7"/>
        <v>-33744073.202256612</v>
      </c>
      <c r="O70" s="174">
        <f t="shared" ca="1" si="8"/>
        <v>-196489185.59432843</v>
      </c>
      <c r="P70" s="174">
        <f t="shared" ca="1" si="9"/>
        <v>-5152631.8618301013</v>
      </c>
      <c r="Q70" s="174">
        <f t="shared" ca="1" si="10"/>
        <v>0</v>
      </c>
      <c r="R70" s="174">
        <f t="shared" ca="1" si="11"/>
        <v>-45489001.283878468</v>
      </c>
      <c r="S70" s="174">
        <f ca="1">IF(B70="","",IF($B$31=0,"",-'Debt Financing Calculations'!E19))</f>
        <v>-15924551.331836978</v>
      </c>
      <c r="T70" s="174">
        <f t="shared" ca="1" si="12"/>
        <v>86785844.726214468</v>
      </c>
      <c r="U70" s="174">
        <f ca="1">IF(C70="","",IF(C70&lt;-1,0,IF(C70=anal_period,-LOOKUP(C70,depr_yr,depr_cost)-Depreciation!$C$141-Depreciation!$B$166,-LOOKUP(C70,depr_yr,depr_cost))))</f>
        <v>-48575921.14578601</v>
      </c>
      <c r="V70" s="174">
        <f t="shared" ca="1" si="13"/>
        <v>38209923.580428459</v>
      </c>
      <c r="W70" s="175">
        <f t="shared" si="14"/>
        <v>0.25739999999999996</v>
      </c>
      <c r="X70" s="174">
        <f t="shared" ca="1" si="15"/>
        <v>-9835234.3296022844</v>
      </c>
      <c r="Y70" s="174">
        <f t="shared" ca="1" si="16"/>
        <v>76950610.396612182</v>
      </c>
      <c r="Z70" s="174">
        <f>IF(C70="","",IF($B$31=0,"",-'Debt Financing Calculations'!F19))</f>
        <v>0</v>
      </c>
      <c r="AA70" s="174">
        <f t="shared" ca="1" si="17"/>
        <v>68928298.69741784</v>
      </c>
      <c r="AB70" s="174">
        <f t="shared" ca="1" si="23"/>
        <v>-133403688.46568982</v>
      </c>
      <c r="AC70" s="884">
        <f t="shared" ca="1" si="18"/>
        <v>78763533.027020127</v>
      </c>
      <c r="AE70" s="888">
        <f t="shared" ca="1" si="19"/>
        <v>216810000</v>
      </c>
      <c r="AF70" s="884">
        <f t="shared" si="20"/>
        <v>0</v>
      </c>
    </row>
    <row r="71" spans="1:32" x14ac:dyDescent="0.25">
      <c r="A71" s="52">
        <f t="shared" si="21"/>
        <v>2018</v>
      </c>
      <c r="B71" s="172">
        <f>IF(MAX($B$65:B70)&lt;(construct+anal_period),B70+1,"")</f>
        <v>7</v>
      </c>
      <c r="C71" s="172">
        <f t="shared" si="22"/>
        <v>4</v>
      </c>
      <c r="D71" s="172">
        <f t="shared" si="1"/>
        <v>4</v>
      </c>
      <c r="E71" s="173">
        <f t="shared" si="2"/>
        <v>1.0580898589999999</v>
      </c>
      <c r="F71" s="53">
        <f t="shared" ca="1" si="3"/>
        <v>390873408.47235167</v>
      </c>
      <c r="G71" s="897"/>
      <c r="H71" s="906">
        <f t="shared" si="24"/>
        <v>0</v>
      </c>
      <c r="I71" s="174">
        <f ca="1">IF(OR(C71&lt;0,C71=""),"",-E71*INDEX('Replacement Costs'!$A$16:$H$57,MATCH(C71,'Replacement Costs'!$C$16:$C$57,0),MATCH("Total Yearly Replacement Costs",'Replacement Costs'!$A$16:$H$16,0)))</f>
        <v>-4015404.848190445</v>
      </c>
      <c r="J71" s="174">
        <f ca="1">IF(AND(C71&gt;=1,C71&lt;anal_period),WorkingCap*SUM(N71:R71)-WorkingCap*SUM(N70:R70),IF(C71&lt;0,0,IF(B71="","",-SUM(J$65:J70))))</f>
        <v>-2644612.8123661876</v>
      </c>
      <c r="K71" s="174" t="str">
        <f t="shared" si="4"/>
        <v/>
      </c>
      <c r="L71" s="174" t="str">
        <f t="shared" si="5"/>
        <v/>
      </c>
      <c r="M71" s="174" t="str">
        <f t="shared" si="6"/>
        <v/>
      </c>
      <c r="N71" s="174">
        <f t="shared" ca="1" si="7"/>
        <v>-34385210.59309949</v>
      </c>
      <c r="O71" s="174">
        <f t="shared" ca="1" si="8"/>
        <v>-212516609.25615841</v>
      </c>
      <c r="P71" s="174">
        <f t="shared" ca="1" si="9"/>
        <v>-5250531.8672048729</v>
      </c>
      <c r="Q71" s="174">
        <f t="shared" ca="1" si="10"/>
        <v>0</v>
      </c>
      <c r="R71" s="174">
        <f t="shared" ca="1" si="11"/>
        <v>-46353292.308272161</v>
      </c>
      <c r="S71" s="174">
        <f ca="1">IF(B71="","",IF($B$31=0,"",-'Debt Financing Calculations'!E20))</f>
        <v>-15924551.331836978</v>
      </c>
      <c r="T71" s="174">
        <f t="shared" ca="1" si="12"/>
        <v>76443213.115779757</v>
      </c>
      <c r="U71" s="174">
        <f ca="1">IF(C71="","",IF(C71&lt;-1,0,IF(C71=anal_period,-LOOKUP(C71,depr_yr,depr_cost)-Depreciation!$C$141-Depreciation!$B$166,-LOOKUP(C71,depr_yr,depr_cost))))</f>
        <v>-45236651.065674335</v>
      </c>
      <c r="V71" s="174">
        <f t="shared" ca="1" si="13"/>
        <v>31206562.050105423</v>
      </c>
      <c r="W71" s="175">
        <f t="shared" si="14"/>
        <v>0.25739999999999996</v>
      </c>
      <c r="X71" s="174">
        <f t="shared" ca="1" si="15"/>
        <v>-8032569.0716971345</v>
      </c>
      <c r="Y71" s="174">
        <f t="shared" ca="1" si="16"/>
        <v>68410644.044082627</v>
      </c>
      <c r="Z71" s="174">
        <f>IF(C71="","",IF($B$31=0,"",-'Debt Financing Calculations'!F20))</f>
        <v>0</v>
      </c>
      <c r="AA71" s="174">
        <f t="shared" ca="1" si="17"/>
        <v>61750626.383525997</v>
      </c>
      <c r="AB71" s="174">
        <f t="shared" ca="1" si="23"/>
        <v>-71653062.082163826</v>
      </c>
      <c r="AC71" s="884">
        <f t="shared" ca="1" si="18"/>
        <v>69783195.455223128</v>
      </c>
      <c r="AE71" s="888">
        <f t="shared" ca="1" si="19"/>
        <v>216810000</v>
      </c>
      <c r="AF71" s="884">
        <f t="shared" si="20"/>
        <v>0</v>
      </c>
    </row>
    <row r="72" spans="1:32" x14ac:dyDescent="0.25">
      <c r="A72" s="52">
        <f t="shared" si="21"/>
        <v>2019</v>
      </c>
      <c r="B72" s="172">
        <f>IF(MAX($B$65:B71)&lt;(construct+anal_period),B71+1,"")</f>
        <v>8</v>
      </c>
      <c r="C72" s="172">
        <f t="shared" si="22"/>
        <v>5</v>
      </c>
      <c r="D72" s="172">
        <f t="shared" si="1"/>
        <v>5</v>
      </c>
      <c r="E72" s="173">
        <f t="shared" si="2"/>
        <v>1.0781935663209998</v>
      </c>
      <c r="F72" s="53">
        <f t="shared" ca="1" si="3"/>
        <v>398300003.23332638</v>
      </c>
      <c r="G72" s="897"/>
      <c r="H72" s="906">
        <f t="shared" si="24"/>
        <v>0</v>
      </c>
      <c r="I72" s="174">
        <f ca="1">IF(OR(C72&lt;0,C72=""),"",-E72*INDEX('Replacement Costs'!$A$16:$H$57,MATCH(C72,'Replacement Costs'!$C$16:$C$57,0),MATCH("Total Yearly Replacement Costs",'Replacement Costs'!$A$16:$H$16,0)))</f>
        <v>-4091697.5403060634</v>
      </c>
      <c r="J72" s="174">
        <f ca="1">IF(AND(C72&gt;=1,C72&lt;anal_period),WorkingCap*SUM(N72:R72)-WorkingCap*SUM(N71:R71),IF(C72&lt;0,0,IF(B72="","",-SUM(J$65:J71))))</f>
        <v>-3287495.4351207912</v>
      </c>
      <c r="K72" s="174" t="str">
        <f t="shared" si="4"/>
        <v/>
      </c>
      <c r="L72" s="174" t="str">
        <f t="shared" si="5"/>
        <v/>
      </c>
      <c r="M72" s="174" t="str">
        <f t="shared" si="6"/>
        <v/>
      </c>
      <c r="N72" s="174">
        <f t="shared" ca="1" si="7"/>
        <v>-35038529.594368376</v>
      </c>
      <c r="O72" s="174">
        <f t="shared" ca="1" si="8"/>
        <v>-232799453.82969403</v>
      </c>
      <c r="P72" s="174">
        <f t="shared" ca="1" si="9"/>
        <v>-5350291.9726817654</v>
      </c>
      <c r="Q72" s="174">
        <f t="shared" ca="1" si="10"/>
        <v>0</v>
      </c>
      <c r="R72" s="174">
        <f t="shared" ca="1" si="11"/>
        <v>-47234004.862129331</v>
      </c>
      <c r="S72" s="174">
        <f ca="1">IF(B72="","",IF($B$31=0,"",-'Debt Financing Calculations'!E21))</f>
        <v>-15924551.331836978</v>
      </c>
      <c r="T72" s="174">
        <f t="shared" ca="1" si="12"/>
        <v>61953171.642615855</v>
      </c>
      <c r="U72" s="174">
        <f ca="1">IF(C72="","",IF(C72&lt;-1,0,IF(C72=anal_period,-LOOKUP(C72,depr_yr,depr_cost)-Depreciation!$C$141-Depreciation!$B$166,-LOOKUP(C72,depr_yr,depr_cost))))</f>
        <v>-42142707.82658308</v>
      </c>
      <c r="V72" s="174">
        <f t="shared" ca="1" si="13"/>
        <v>19810463.816032775</v>
      </c>
      <c r="W72" s="175">
        <f t="shared" si="14"/>
        <v>0.25739999999999996</v>
      </c>
      <c r="X72" s="174">
        <f t="shared" ca="1" si="15"/>
        <v>-5099213.3862468358</v>
      </c>
      <c r="Y72" s="174">
        <f t="shared" ca="1" si="16"/>
        <v>56853958.256369017</v>
      </c>
      <c r="Z72" s="174">
        <f>IF(C72="","",IF($B$31=0,"",-'Debt Financing Calculations'!F21))</f>
        <v>0</v>
      </c>
      <c r="AA72" s="174">
        <f t="shared" ca="1" si="17"/>
        <v>49474765.280942164</v>
      </c>
      <c r="AB72" s="174">
        <f t="shared" ca="1" si="23"/>
        <v>-22178296.801221661</v>
      </c>
      <c r="AC72" s="884">
        <f t="shared" ca="1" si="18"/>
        <v>54573978.667189002</v>
      </c>
      <c r="AE72" s="888">
        <f t="shared" ca="1" si="19"/>
        <v>216810000</v>
      </c>
      <c r="AF72" s="884">
        <f t="shared" si="20"/>
        <v>0</v>
      </c>
    </row>
    <row r="73" spans="1:32" x14ac:dyDescent="0.25">
      <c r="A73" s="52">
        <f t="shared" si="21"/>
        <v>2020</v>
      </c>
      <c r="B73" s="172">
        <f>IF(MAX($B$65:B72)&lt;(construct+anal_period),B72+1,"")</f>
        <v>9</v>
      </c>
      <c r="C73" s="172">
        <f t="shared" si="22"/>
        <v>6</v>
      </c>
      <c r="D73" s="172">
        <f t="shared" si="1"/>
        <v>6</v>
      </c>
      <c r="E73" s="173">
        <f t="shared" si="2"/>
        <v>1.0986792440810986</v>
      </c>
      <c r="F73" s="53">
        <f t="shared" ca="1" si="3"/>
        <v>405867703.29475951</v>
      </c>
      <c r="G73" s="897"/>
      <c r="H73" s="906">
        <f t="shared" si="24"/>
        <v>0</v>
      </c>
      <c r="I73" s="174">
        <f ca="1">IF(OR(C73&lt;0,C73=""),"",-E73*INDEX('Replacement Costs'!$A$16:$H$57,MATCH(C73,'Replacement Costs'!$C$16:$C$57,0),MATCH("Total Yearly Replacement Costs",'Replacement Costs'!$A$16:$H$16,0)))</f>
        <v>-4169439.7935718778</v>
      </c>
      <c r="J73" s="174">
        <f ca="1">IF(AND(C73&gt;=1,C73&lt;anal_period),WorkingCap*SUM(N73:R73)-WorkingCap*SUM(N72:R72),IF(C73&lt;0,0,IF(B73="","",-SUM(J$65:J72))))</f>
        <v>-3419107.6032681614</v>
      </c>
      <c r="K73" s="174" t="str">
        <f t="shared" si="4"/>
        <v/>
      </c>
      <c r="L73" s="174" t="str">
        <f t="shared" si="5"/>
        <v/>
      </c>
      <c r="M73" s="174" t="str">
        <f t="shared" si="6"/>
        <v/>
      </c>
      <c r="N73" s="174">
        <f t="shared" ca="1" si="7"/>
        <v>-35704261.656661369</v>
      </c>
      <c r="O73" s="174">
        <f t="shared" ca="1" si="8"/>
        <v>-253928670.81599402</v>
      </c>
      <c r="P73" s="174">
        <f t="shared" ca="1" si="9"/>
        <v>-5451947.5201627184</v>
      </c>
      <c r="Q73" s="174">
        <f t="shared" ca="1" si="10"/>
        <v>0</v>
      </c>
      <c r="R73" s="174">
        <f t="shared" ca="1" si="11"/>
        <v>-48131450.95450978</v>
      </c>
      <c r="S73" s="174">
        <f ca="1">IF(B73="","",IF($B$31=0,"",-'Debt Financing Calculations'!E22))</f>
        <v>-15924551.331836978</v>
      </c>
      <c r="T73" s="174">
        <f t="shared" ca="1" si="12"/>
        <v>46726821.015594602</v>
      </c>
      <c r="U73" s="174">
        <f ca="1">IF(C73="","",IF(C73&lt;-1,0,IF(C73=anal_period,-LOOKUP(C73,depr_yr,depr_cost)-Depreciation!$C$141-Depreciation!$B$166,-LOOKUP(C73,depr_yr,depr_cost))))</f>
        <v>-39295212.339400731</v>
      </c>
      <c r="V73" s="174">
        <f t="shared" ca="1" si="13"/>
        <v>7431608.6761938706</v>
      </c>
      <c r="W73" s="175">
        <f t="shared" si="14"/>
        <v>0.25739999999999996</v>
      </c>
      <c r="X73" s="174">
        <f t="shared" ca="1" si="15"/>
        <v>-1912896.0732523019</v>
      </c>
      <c r="Y73" s="174">
        <f t="shared" ca="1" si="16"/>
        <v>44813924.942342296</v>
      </c>
      <c r="Z73" s="174">
        <f>IF(C73="","",IF($B$31=0,"",-'Debt Financing Calculations'!F22))</f>
        <v>0</v>
      </c>
      <c r="AA73" s="174">
        <f t="shared" ca="1" si="17"/>
        <v>37225377.54550226</v>
      </c>
      <c r="AB73" s="174">
        <f t="shared" ca="1" si="23"/>
        <v>15047080.744280599</v>
      </c>
      <c r="AC73" s="884">
        <f t="shared" ca="1" si="18"/>
        <v>39138273.618754566</v>
      </c>
      <c r="AE73" s="888">
        <f t="shared" ca="1" si="19"/>
        <v>216810000</v>
      </c>
      <c r="AF73" s="884">
        <f t="shared" si="20"/>
        <v>0</v>
      </c>
    </row>
    <row r="74" spans="1:32" x14ac:dyDescent="0.25">
      <c r="A74" s="52">
        <f t="shared" si="21"/>
        <v>2021</v>
      </c>
      <c r="B74" s="172">
        <f>IF(MAX($B$65:B73)&lt;(construct+anal_period),B73+1,"")</f>
        <v>10</v>
      </c>
      <c r="C74" s="172">
        <f t="shared" si="22"/>
        <v>7</v>
      </c>
      <c r="D74" s="172">
        <f t="shared" si="1"/>
        <v>7</v>
      </c>
      <c r="E74" s="173">
        <f t="shared" si="2"/>
        <v>1.1195541497186396</v>
      </c>
      <c r="F74" s="53">
        <f t="shared" ca="1" si="3"/>
        <v>413579189.65735996</v>
      </c>
      <c r="G74" s="897"/>
      <c r="H74" s="906">
        <f t="shared" si="24"/>
        <v>0</v>
      </c>
      <c r="I74" s="174">
        <f ca="1">IF(OR(C74&lt;0,C74=""),"",-E74*INDEX('Replacement Costs'!$A$16:$H$57,MATCH(C74,'Replacement Costs'!$C$16:$C$57,0),MATCH("Total Yearly Replacement Costs",'Replacement Costs'!$A$16:$H$16,0)))</f>
        <v>-4248659.1496497439</v>
      </c>
      <c r="J74" s="174">
        <f ca="1">IF(AND(C74&gt;=1,C74&lt;anal_period),WorkingCap*SUM(N74:R74)-WorkingCap*SUM(N73:R73),IF(C74&lt;0,0,IF(B74="","",-SUM(J$65:J73))))</f>
        <v>-1058713.8072064966</v>
      </c>
      <c r="K74" s="174" t="str">
        <f t="shared" si="4"/>
        <v/>
      </c>
      <c r="L74" s="174" t="str">
        <f t="shared" si="5"/>
        <v/>
      </c>
      <c r="M74" s="174" t="str">
        <f t="shared" si="6"/>
        <v/>
      </c>
      <c r="N74" s="174">
        <f t="shared" ca="1" si="7"/>
        <v>-36382642.628137939</v>
      </c>
      <c r="O74" s="174">
        <f t="shared" ca="1" si="8"/>
        <v>-259290297.32154197</v>
      </c>
      <c r="P74" s="174">
        <f t="shared" ca="1" si="9"/>
        <v>-5555534.5230458109</v>
      </c>
      <c r="Q74" s="174">
        <f t="shared" ca="1" si="10"/>
        <v>0</v>
      </c>
      <c r="R74" s="174">
        <f t="shared" ca="1" si="11"/>
        <v>-49045948.522645473</v>
      </c>
      <c r="S74" s="174">
        <f ca="1">IF(B74="","",IF($B$31=0,"",-'Debt Financing Calculations'!E23))</f>
        <v>-15924551.331836978</v>
      </c>
      <c r="T74" s="174">
        <f t="shared" ca="1" si="12"/>
        <v>47380215.330151737</v>
      </c>
      <c r="U74" s="174">
        <f ca="1">IF(C74="","",IF(C74&lt;-1,0,IF(C74=anal_period,-LOOKUP(C74,depr_yr,depr_cost)-Depreciation!$C$141-Depreciation!$B$166,-LOOKUP(C74,depr_yr,depr_cost))))</f>
        <v>-36659250.957901038</v>
      </c>
      <c r="V74" s="174">
        <f t="shared" ca="1" si="13"/>
        <v>10720964.372250699</v>
      </c>
      <c r="W74" s="175">
        <f t="shared" si="14"/>
        <v>0.25739999999999996</v>
      </c>
      <c r="X74" s="174">
        <f t="shared" ca="1" si="15"/>
        <v>-2759576.2294173292</v>
      </c>
      <c r="Y74" s="174">
        <f t="shared" ca="1" si="16"/>
        <v>44620639.100734405</v>
      </c>
      <c r="Z74" s="174">
        <f>IF(C74="","",IF($B$31=0,"",-'Debt Financing Calculations'!F23))</f>
        <v>0</v>
      </c>
      <c r="AA74" s="174">
        <f t="shared" ca="1" si="17"/>
        <v>39313266.143878162</v>
      </c>
      <c r="AB74" s="174">
        <f t="shared" ca="1" si="23"/>
        <v>54360346.888158761</v>
      </c>
      <c r="AC74" s="884">
        <f t="shared" ca="1" si="18"/>
        <v>42072842.373295493</v>
      </c>
      <c r="AE74" s="888">
        <f t="shared" ca="1" si="19"/>
        <v>216810000</v>
      </c>
      <c r="AF74" s="884">
        <f t="shared" si="20"/>
        <v>0</v>
      </c>
    </row>
    <row r="75" spans="1:32" x14ac:dyDescent="0.25">
      <c r="A75" s="52">
        <f t="shared" si="21"/>
        <v>2022</v>
      </c>
      <c r="B75" s="172">
        <f>IF(MAX($B$65:B74)&lt;(construct+anal_period),B74+1,"")</f>
        <v>11</v>
      </c>
      <c r="C75" s="172">
        <f t="shared" si="22"/>
        <v>8</v>
      </c>
      <c r="D75" s="172">
        <f t="shared" si="1"/>
        <v>8</v>
      </c>
      <c r="E75" s="173">
        <f t="shared" si="2"/>
        <v>1.1408256785632938</v>
      </c>
      <c r="F75" s="53">
        <f t="shared" ca="1" si="3"/>
        <v>421437194.26084977</v>
      </c>
      <c r="G75" s="897"/>
      <c r="H75" s="906">
        <f t="shared" si="24"/>
        <v>0</v>
      </c>
      <c r="I75" s="174">
        <f ca="1">IF(OR(C75&lt;0,C75=""),"",-E75*INDEX('Replacement Costs'!$A$16:$H$57,MATCH(C75,'Replacement Costs'!$C$16:$C$57,0),MATCH("Total Yearly Replacement Costs",'Replacement Costs'!$A$16:$H$16,0)))</f>
        <v>-4329383.6734930892</v>
      </c>
      <c r="J75" s="174">
        <f ca="1">IF(AND(C75&gt;=1,C75&lt;anal_period),WorkingCap*SUM(N75:R75)-WorkingCap*SUM(N74:R74),IF(C75&lt;0,0,IF(B75="","",-SUM(J$65:J74))))</f>
        <v>-953370.10536224395</v>
      </c>
      <c r="K75" s="174" t="str">
        <f t="shared" si="4"/>
        <v/>
      </c>
      <c r="L75" s="174" t="str">
        <f t="shared" si="5"/>
        <v/>
      </c>
      <c r="M75" s="174" t="str">
        <f t="shared" si="6"/>
        <v/>
      </c>
      <c r="N75" s="174">
        <f t="shared" ca="1" si="7"/>
        <v>-37073912.838072561</v>
      </c>
      <c r="O75" s="174">
        <f t="shared" ca="1" si="8"/>
        <v>-263917399.6361542</v>
      </c>
      <c r="P75" s="174">
        <f t="shared" ca="1" si="9"/>
        <v>-5661089.6789836809</v>
      </c>
      <c r="Q75" s="174">
        <f t="shared" ca="1" si="10"/>
        <v>0</v>
      </c>
      <c r="R75" s="174">
        <f t="shared" ca="1" si="11"/>
        <v>-49977821.544575736</v>
      </c>
      <c r="S75" s="174">
        <f ca="1">IF(B75="","",IF($B$31=0,"",-'Debt Financing Calculations'!E24))</f>
        <v>-15924551.331836978</v>
      </c>
      <c r="T75" s="174">
        <f t="shared" ca="1" si="12"/>
        <v>48882419.231226563</v>
      </c>
      <c r="U75" s="174">
        <f ca="1">IF(C75="","",IF(C75&lt;-1,0,IF(C75=anal_period,-LOOKUP(C75,depr_yr,depr_cost)-Depreciation!$C$141-Depreciation!$B$166,-LOOKUP(C75,depr_yr,depr_cost))))</f>
        <v>-34235794.239208177</v>
      </c>
      <c r="V75" s="174">
        <f t="shared" ca="1" si="13"/>
        <v>14646624.992018387</v>
      </c>
      <c r="W75" s="175">
        <f t="shared" si="14"/>
        <v>0.25739999999999996</v>
      </c>
      <c r="X75" s="174">
        <f t="shared" ca="1" si="15"/>
        <v>-3770041.2729455321</v>
      </c>
      <c r="Y75" s="174">
        <f t="shared" ca="1" si="16"/>
        <v>45112377.958281033</v>
      </c>
      <c r="Z75" s="174">
        <f>IF(C75="","",IF($B$31=0,"",-'Debt Financing Calculations'!F24))</f>
        <v>0</v>
      </c>
      <c r="AA75" s="174">
        <f t="shared" ca="1" si="17"/>
        <v>39829624.179425701</v>
      </c>
      <c r="AB75" s="174">
        <f t="shared" ca="1" si="23"/>
        <v>94189971.067584455</v>
      </c>
      <c r="AC75" s="884">
        <f t="shared" ca="1" si="18"/>
        <v>43599665.452371232</v>
      </c>
      <c r="AE75" s="888">
        <f t="shared" ca="1" si="19"/>
        <v>216810000</v>
      </c>
      <c r="AF75" s="884">
        <f t="shared" si="20"/>
        <v>0</v>
      </c>
    </row>
    <row r="76" spans="1:32" x14ac:dyDescent="0.25">
      <c r="A76" s="52">
        <f t="shared" si="21"/>
        <v>2023</v>
      </c>
      <c r="B76" s="172">
        <f>IF(MAX($B$65:B75)&lt;(construct+anal_period),B75+1,"")</f>
        <v>12</v>
      </c>
      <c r="C76" s="172">
        <f t="shared" si="22"/>
        <v>9</v>
      </c>
      <c r="D76" s="172">
        <f t="shared" si="1"/>
        <v>9</v>
      </c>
      <c r="E76" s="173">
        <f t="shared" si="2"/>
        <v>1.1625013664559962</v>
      </c>
      <c r="F76" s="53">
        <f t="shared" ca="1" si="3"/>
        <v>429444500.95180589</v>
      </c>
      <c r="G76" s="897"/>
      <c r="H76" s="906">
        <f t="shared" si="24"/>
        <v>0</v>
      </c>
      <c r="I76" s="174">
        <f ca="1">IF(OR(C76&lt;0,C76=""),"",-E76*INDEX('Replacement Costs'!$A$16:$H$57,MATCH(C76,'Replacement Costs'!$C$16:$C$57,0),MATCH("Total Yearly Replacement Costs",'Replacement Costs'!$A$16:$H$16,0)))</f>
        <v>-4411641.9632894574</v>
      </c>
      <c r="J76" s="174">
        <f ca="1">IF(AND(C76&gt;=1,C76&lt;anal_period),WorkingCap*SUM(N76:R76)-WorkingCap*SUM(N75:R75),IF(C76&lt;0,0,IF(B76="","",-SUM(J$65:J75))))</f>
        <v>-1117180.6927480921</v>
      </c>
      <c r="K76" s="174" t="str">
        <f t="shared" si="4"/>
        <v/>
      </c>
      <c r="L76" s="174" t="str">
        <f t="shared" si="5"/>
        <v/>
      </c>
      <c r="M76" s="174" t="str">
        <f t="shared" si="6"/>
        <v/>
      </c>
      <c r="N76" s="174">
        <f t="shared" ca="1" si="7"/>
        <v>-37778317.181995936</v>
      </c>
      <c r="O76" s="174">
        <f t="shared" ca="1" si="8"/>
        <v>-269603727.26397049</v>
      </c>
      <c r="P76" s="174">
        <f t="shared" ca="1" si="9"/>
        <v>-5768650.3828843702</v>
      </c>
      <c r="Q76" s="174">
        <f t="shared" ca="1" si="10"/>
        <v>0</v>
      </c>
      <c r="R76" s="174">
        <f t="shared" ca="1" si="11"/>
        <v>-50927400.15392267</v>
      </c>
      <c r="S76" s="174">
        <f ca="1">IF(B76="","",IF($B$31=0,"",-'Debt Financing Calculations'!E25))</f>
        <v>-15924551.331836978</v>
      </c>
      <c r="T76" s="174">
        <f t="shared" ca="1" si="12"/>
        <v>49441854.637195408</v>
      </c>
      <c r="U76" s="174">
        <f ca="1">IF(C76="","",IF(C76&lt;-1,0,IF(C76=anal_period,-LOOKUP(C76,depr_yr,depr_cost)-Depreciation!$C$141-Depreciation!$B$166,-LOOKUP(C76,depr_yr,depr_cost))))</f>
        <v>-34008903.174221262</v>
      </c>
      <c r="V76" s="174">
        <f t="shared" ca="1" si="13"/>
        <v>15432951.462974146</v>
      </c>
      <c r="W76" s="175">
        <f t="shared" si="14"/>
        <v>0.25739999999999996</v>
      </c>
      <c r="X76" s="174">
        <f t="shared" ca="1" si="15"/>
        <v>-3972441.7065695445</v>
      </c>
      <c r="Y76" s="174">
        <f t="shared" ca="1" si="16"/>
        <v>45469412.930625863</v>
      </c>
      <c r="Z76" s="174">
        <f>IF(C76="","",IF($B$31=0,"",-'Debt Financing Calculations'!F25))</f>
        <v>0</v>
      </c>
      <c r="AA76" s="174">
        <f t="shared" ca="1" si="17"/>
        <v>39940590.274588317</v>
      </c>
      <c r="AB76" s="174">
        <f t="shared" ca="1" si="23"/>
        <v>134130561.34217277</v>
      </c>
      <c r="AC76" s="884">
        <f t="shared" ca="1" si="18"/>
        <v>43913031.981157862</v>
      </c>
      <c r="AE76" s="888">
        <f t="shared" ca="1" si="19"/>
        <v>216810000</v>
      </c>
      <c r="AF76" s="884">
        <f t="shared" si="20"/>
        <v>0</v>
      </c>
    </row>
    <row r="77" spans="1:32" x14ac:dyDescent="0.25">
      <c r="A77" s="52">
        <f t="shared" si="21"/>
        <v>2024</v>
      </c>
      <c r="B77" s="172">
        <f>IF(MAX($B$65:B76)&lt;(construct+anal_period),B76+1,"")</f>
        <v>13</v>
      </c>
      <c r="C77" s="172">
        <f t="shared" si="22"/>
        <v>10</v>
      </c>
      <c r="D77" s="172">
        <f t="shared" si="1"/>
        <v>10</v>
      </c>
      <c r="E77" s="173">
        <f t="shared" si="2"/>
        <v>1.1845888924186601</v>
      </c>
      <c r="F77" s="53">
        <f t="shared" ca="1" si="3"/>
        <v>437603946.46989018</v>
      </c>
      <c r="G77" s="897"/>
      <c r="H77" s="906">
        <f t="shared" si="24"/>
        <v>0</v>
      </c>
      <c r="I77" s="174">
        <f ca="1">IF(OR(C77&lt;0,C77=""),"",-E77*INDEX('Replacement Costs'!$A$16:$H$57,MATCH(C77,'Replacement Costs'!$C$16:$C$57,0),MATCH("Total Yearly Replacement Costs",'Replacement Costs'!$A$16:$H$16,0)))</f>
        <v>-4495463.1605919572</v>
      </c>
      <c r="J77" s="174">
        <f ca="1">IF(AND(C77&gt;=1,C77&lt;anal_period),WorkingCap*SUM(N77:R77)-WorkingCap*SUM(N76:R76),IF(C77&lt;0,0,IF(B77="","",-SUM(J$65:J76))))</f>
        <v>-1551303.7321093827</v>
      </c>
      <c r="K77" s="174" t="str">
        <f t="shared" si="4"/>
        <v/>
      </c>
      <c r="L77" s="174" t="str">
        <f t="shared" si="5"/>
        <v/>
      </c>
      <c r="M77" s="174" t="str">
        <f t="shared" si="6"/>
        <v/>
      </c>
      <c r="N77" s="174">
        <f t="shared" ca="1" si="7"/>
        <v>-38496105.208453856</v>
      </c>
      <c r="O77" s="174">
        <f t="shared" ca="1" si="8"/>
        <v>-278150739.15804249</v>
      </c>
      <c r="P77" s="174">
        <f t="shared" ca="1" si="9"/>
        <v>-5878254.7401591726</v>
      </c>
      <c r="Q77" s="174">
        <f t="shared" ca="1" si="10"/>
        <v>0</v>
      </c>
      <c r="R77" s="174">
        <f t="shared" ca="1" si="11"/>
        <v>-51895020.756847195</v>
      </c>
      <c r="S77" s="174">
        <f ca="1">IF(B77="","",IF($B$31=0,"",-'Debt Financing Calculations'!E26))</f>
        <v>-15924551.331836978</v>
      </c>
      <c r="T77" s="174">
        <f t="shared" ca="1" si="12"/>
        <v>47259275.274550498</v>
      </c>
      <c r="U77" s="174">
        <f ca="1">IF(C77="","",IF(C77&lt;-1,0,IF(C77=anal_period,-LOOKUP(C77,depr_yr,depr_cost)-Depreciation!$C$141-Depreciation!$B$166,-LOOKUP(C77,depr_yr,depr_cost))))</f>
        <v>-34209060.759659648</v>
      </c>
      <c r="V77" s="174">
        <f t="shared" ca="1" si="13"/>
        <v>13050214.51489085</v>
      </c>
      <c r="W77" s="175">
        <f t="shared" si="14"/>
        <v>0.25739999999999996</v>
      </c>
      <c r="X77" s="174">
        <f t="shared" ca="1" si="15"/>
        <v>-3359125.2161329044</v>
      </c>
      <c r="Y77" s="174">
        <f t="shared" ca="1" si="16"/>
        <v>43900150.058417596</v>
      </c>
      <c r="Z77" s="174">
        <f>IF(C77="","",IF($B$31=0,"",-'Debt Financing Calculations'!F26))</f>
        <v>0</v>
      </c>
      <c r="AA77" s="174">
        <f t="shared" ca="1" si="17"/>
        <v>37853383.165716253</v>
      </c>
      <c r="AB77" s="174">
        <f t="shared" ca="1" si="23"/>
        <v>171983944.50788903</v>
      </c>
      <c r="AC77" s="884">
        <f t="shared" ca="1" si="18"/>
        <v>41212508.381849155</v>
      </c>
      <c r="AE77" s="888">
        <f t="shared" ca="1" si="19"/>
        <v>216810000</v>
      </c>
      <c r="AF77" s="884">
        <f t="shared" si="20"/>
        <v>0</v>
      </c>
    </row>
    <row r="78" spans="1:32" x14ac:dyDescent="0.25">
      <c r="A78" s="52">
        <f t="shared" si="21"/>
        <v>2025</v>
      </c>
      <c r="B78" s="172">
        <f>IF(MAX($B$65:B77)&lt;(construct+anal_period),B77+1,"")</f>
        <v>14</v>
      </c>
      <c r="C78" s="172">
        <f t="shared" si="22"/>
        <v>11</v>
      </c>
      <c r="D78" s="172">
        <f t="shared" si="1"/>
        <v>11</v>
      </c>
      <c r="E78" s="173">
        <f t="shared" si="2"/>
        <v>1.2070960813746145</v>
      </c>
      <c r="F78" s="53">
        <f t="shared" ca="1" si="3"/>
        <v>445918421.4528181</v>
      </c>
      <c r="G78" s="897"/>
      <c r="H78" s="906">
        <f t="shared" si="24"/>
        <v>0</v>
      </c>
      <c r="I78" s="174">
        <f ca="1">IF(OR(C78&lt;0,C78=""),"",-E78*INDEX('Replacement Costs'!$A$16:$H$57,MATCH(C78,'Replacement Costs'!$C$16:$C$57,0),MATCH("Total Yearly Replacement Costs",'Replacement Costs'!$A$16:$H$16,0)))</f>
        <v>-4580876.9606432039</v>
      </c>
      <c r="J78" s="174">
        <f ca="1">IF(AND(C78&gt;=1,C78&lt;anal_period),WorkingCap*SUM(N78:R78)-WorkingCap*SUM(N77:R77),IF(C78&lt;0,0,IF(B78="","",-SUM(J$65:J77))))</f>
        <v>-2022417.8623284921</v>
      </c>
      <c r="K78" s="174" t="str">
        <f t="shared" si="4"/>
        <v/>
      </c>
      <c r="L78" s="174" t="str">
        <f t="shared" si="5"/>
        <v/>
      </c>
      <c r="M78" s="174" t="str">
        <f t="shared" si="6"/>
        <v/>
      </c>
      <c r="N78" s="174">
        <f t="shared" ca="1" si="7"/>
        <v>-39227531.207414478</v>
      </c>
      <c r="O78" s="174">
        <f t="shared" ca="1" si="8"/>
        <v>-289804406.67349535</v>
      </c>
      <c r="P78" s="174">
        <f t="shared" ca="1" si="9"/>
        <v>-5989941.5802221969</v>
      </c>
      <c r="Q78" s="174">
        <f t="shared" ca="1" si="10"/>
        <v>0</v>
      </c>
      <c r="R78" s="174">
        <f t="shared" ca="1" si="11"/>
        <v>-52881026.151227288</v>
      </c>
      <c r="S78" s="174">
        <f ca="1">IF(B78="","",IF($B$31=0,"",-'Debt Financing Calculations'!E27))</f>
        <v>-15924551.331836978</v>
      </c>
      <c r="T78" s="174">
        <f t="shared" ca="1" si="12"/>
        <v>42090964.508621812</v>
      </c>
      <c r="U78" s="174">
        <f ca="1">IF(C78="","",IF(C78&lt;-1,0,IF(C78=anal_period,-LOOKUP(C78,depr_yr,depr_cost)-Depreciation!$C$141-Depreciation!$B$166,-LOOKUP(C78,depr_yr,depr_cost))))</f>
        <v>-34427542.022631444</v>
      </c>
      <c r="V78" s="174">
        <f t="shared" ca="1" si="13"/>
        <v>7663422.4859903678</v>
      </c>
      <c r="W78" s="175">
        <f t="shared" si="14"/>
        <v>0.25739999999999996</v>
      </c>
      <c r="X78" s="174">
        <f t="shared" ca="1" si="15"/>
        <v>-1972564.9478939204</v>
      </c>
      <c r="Y78" s="174">
        <f t="shared" ca="1" si="16"/>
        <v>40118399.560727894</v>
      </c>
      <c r="Z78" s="174">
        <f>IF(C78="","",IF($B$31=0,"",-'Debt Financing Calculations'!F27))</f>
        <v>0</v>
      </c>
      <c r="AA78" s="174">
        <f t="shared" ca="1" si="17"/>
        <v>33515104.737756196</v>
      </c>
      <c r="AB78" s="174">
        <f t="shared" ca="1" si="23"/>
        <v>205499049.24564523</v>
      </c>
      <c r="AC78" s="884">
        <f t="shared" ca="1" si="18"/>
        <v>35487669.685650118</v>
      </c>
      <c r="AE78" s="888">
        <f t="shared" ca="1" si="19"/>
        <v>216810000</v>
      </c>
      <c r="AF78" s="884">
        <f t="shared" si="20"/>
        <v>0</v>
      </c>
    </row>
    <row r="79" spans="1:32" x14ac:dyDescent="0.25">
      <c r="A79" s="52">
        <f t="shared" si="21"/>
        <v>2026</v>
      </c>
      <c r="B79" s="172">
        <f>IF(MAX($B$65:B78)&lt;(construct+anal_period),B78+1,"")</f>
        <v>15</v>
      </c>
      <c r="C79" s="172">
        <f t="shared" si="22"/>
        <v>12</v>
      </c>
      <c r="D79" s="172">
        <f t="shared" si="1"/>
        <v>12</v>
      </c>
      <c r="E79" s="173">
        <f t="shared" si="2"/>
        <v>1.2300309069207322</v>
      </c>
      <c r="F79" s="53">
        <f t="shared" ca="1" si="3"/>
        <v>454390871.46042162</v>
      </c>
      <c r="G79" s="897"/>
      <c r="H79" s="906">
        <f t="shared" si="24"/>
        <v>0</v>
      </c>
      <c r="I79" s="174">
        <f ca="1">IF(OR(C79&lt;0,C79=""),"",-E79*INDEX('Replacement Costs'!$A$16:$H$57,MATCH(C79,'Replacement Costs'!$C$16:$C$57,0),MATCH("Total Yearly Replacement Costs",'Replacement Costs'!$A$16:$H$16,0)))</f>
        <v>-4667913.6228954252</v>
      </c>
      <c r="J79" s="174">
        <f ca="1">IF(AND(C79&gt;=1,C79&lt;anal_period),WorkingCap*SUM(N79:R79)-WorkingCap*SUM(N78:R78),IF(C79&lt;0,0,IF(B79="","",-SUM(J$65:J78))))</f>
        <v>-1966310.5627340376</v>
      </c>
      <c r="K79" s="174" t="str">
        <f t="shared" si="4"/>
        <v/>
      </c>
      <c r="L79" s="174" t="str">
        <f t="shared" si="5"/>
        <v/>
      </c>
      <c r="M79" s="174" t="str">
        <f t="shared" si="6"/>
        <v/>
      </c>
      <c r="N79" s="174">
        <f t="shared" ca="1" si="7"/>
        <v>-39972854.300355352</v>
      </c>
      <c r="O79" s="174">
        <f t="shared" ca="1" si="8"/>
        <v>-301049272.27855045</v>
      </c>
      <c r="P79" s="174">
        <f t="shared" ca="1" si="9"/>
        <v>-6103750.4702464184</v>
      </c>
      <c r="Q79" s="174">
        <f t="shared" ca="1" si="10"/>
        <v>0</v>
      </c>
      <c r="R79" s="174">
        <f t="shared" ca="1" si="11"/>
        <v>-53885765.648100607</v>
      </c>
      <c r="S79" s="174">
        <f ca="1">IF(B79="","",IF($B$31=0,"",-'Debt Financing Calculations'!E28))</f>
        <v>-15924551.331836978</v>
      </c>
      <c r="T79" s="174">
        <f t="shared" ca="1" si="12"/>
        <v>37454677.431331754</v>
      </c>
      <c r="U79" s="174">
        <f ca="1">IF(C79="","",IF(C79&lt;-1,0,IF(C79=anal_period,-LOOKUP(C79,depr_yr,depr_cost)-Depreciation!$C$141-Depreciation!$B$166,-LOOKUP(C79,depr_yr,depr_cost))))</f>
        <v>-34635653.746189617</v>
      </c>
      <c r="V79" s="174">
        <f t="shared" ca="1" si="13"/>
        <v>2819023.6851421371</v>
      </c>
      <c r="W79" s="175">
        <f t="shared" si="14"/>
        <v>0.25739999999999996</v>
      </c>
      <c r="X79" s="174">
        <f t="shared" ca="1" si="15"/>
        <v>-725616.69655558595</v>
      </c>
      <c r="Y79" s="174">
        <f t="shared" ca="1" si="16"/>
        <v>36729060.734776169</v>
      </c>
      <c r="Z79" s="174">
        <f>IF(C79="","",IF($B$31=0,"",-'Debt Financing Calculations'!F28))</f>
        <v>0</v>
      </c>
      <c r="AA79" s="174">
        <f t="shared" ca="1" si="17"/>
        <v>30094836.549146704</v>
      </c>
      <c r="AB79" s="174">
        <f t="shared" ca="1" si="23"/>
        <v>235593885.79479194</v>
      </c>
      <c r="AC79" s="884">
        <f t="shared" ca="1" si="18"/>
        <v>30820453.245702289</v>
      </c>
      <c r="AE79" s="888">
        <f t="shared" ca="1" si="19"/>
        <v>216810000</v>
      </c>
      <c r="AF79" s="884">
        <f t="shared" si="20"/>
        <v>0</v>
      </c>
    </row>
    <row r="80" spans="1:32" x14ac:dyDescent="0.25">
      <c r="A80" s="52">
        <f t="shared" si="21"/>
        <v>2027</v>
      </c>
      <c r="B80" s="172">
        <f>IF(MAX($B$65:B79)&lt;(construct+anal_period),B79+1,"")</f>
        <v>16</v>
      </c>
      <c r="C80" s="172">
        <f t="shared" si="22"/>
        <v>13</v>
      </c>
      <c r="D80" s="172">
        <f t="shared" si="1"/>
        <v>13</v>
      </c>
      <c r="E80" s="173">
        <f t="shared" si="2"/>
        <v>1.253401494152226</v>
      </c>
      <c r="F80" s="53">
        <f t="shared" ca="1" si="3"/>
        <v>463024298.01816958</v>
      </c>
      <c r="G80" s="897"/>
      <c r="H80" s="906">
        <f t="shared" si="24"/>
        <v>0</v>
      </c>
      <c r="I80" s="174">
        <f ca="1">IF(OR(C80&lt;0,C80=""),"",-E80*INDEX('Replacement Costs'!$A$16:$H$57,MATCH(C80,'Replacement Costs'!$C$16:$C$57,0),MATCH("Total Yearly Replacement Costs",'Replacement Costs'!$A$16:$H$16,0)))</f>
        <v>-4756603.9817304369</v>
      </c>
      <c r="J80" s="174">
        <f ca="1">IF(AND(C80&gt;=1,C80&lt;anal_period),WorkingCap*SUM(N80:R80)-WorkingCap*SUM(N79:R79),IF(C80&lt;0,0,IF(B80="","",-SUM(J$65:J79))))</f>
        <v>-1821141.8470687643</v>
      </c>
      <c r="K80" s="174" t="str">
        <f t="shared" si="4"/>
        <v/>
      </c>
      <c r="L80" s="174" t="str">
        <f t="shared" si="5"/>
        <v/>
      </c>
      <c r="M80" s="174" t="str">
        <f t="shared" si="6"/>
        <v/>
      </c>
      <c r="N80" s="174">
        <f t="shared" ca="1" si="7"/>
        <v>-40732338.532062098</v>
      </c>
      <c r="O80" s="174">
        <f t="shared" ca="1" si="8"/>
        <v>-311290932.88772029</v>
      </c>
      <c r="P80" s="174">
        <f t="shared" ca="1" si="9"/>
        <v>-6219721.7291810997</v>
      </c>
      <c r="Q80" s="174">
        <f t="shared" ca="1" si="10"/>
        <v>0</v>
      </c>
      <c r="R80" s="174">
        <f t="shared" ca="1" si="11"/>
        <v>-54909595.195414513</v>
      </c>
      <c r="S80" s="174">
        <f ca="1">IF(B80="","",IF($B$31=0,"",-'Debt Financing Calculations'!E29))</f>
        <v>-15924551.331836978</v>
      </c>
      <c r="T80" s="174">
        <f t="shared" ca="1" si="12"/>
        <v>33947158.341954589</v>
      </c>
      <c r="U80" s="174">
        <f ca="1">IF(C80="","",IF(C80&lt;-1,0,IF(C80=anal_period,-LOOKUP(C80,depr_yr,depr_cost)-Depreciation!$C$141-Depreciation!$B$166,-LOOKUP(C80,depr_yr,depr_cost))))</f>
        <v>-34862240.275905482</v>
      </c>
      <c r="V80" s="174">
        <f t="shared" ca="1" si="13"/>
        <v>-915081.93395089358</v>
      </c>
      <c r="W80" s="175">
        <f t="shared" si="14"/>
        <v>0.25739999999999996</v>
      </c>
      <c r="X80" s="174">
        <f t="shared" ca="1" si="15"/>
        <v>235542.08979895996</v>
      </c>
      <c r="Y80" s="174">
        <f t="shared" ca="1" si="16"/>
        <v>34182700.431753546</v>
      </c>
      <c r="Z80" s="174">
        <f>IF(C80="","",IF($B$31=0,"",-'Debt Financing Calculations'!F29))</f>
        <v>0</v>
      </c>
      <c r="AA80" s="174">
        <f t="shared" ca="1" si="17"/>
        <v>27604954.602954347</v>
      </c>
      <c r="AB80" s="174">
        <f t="shared" ca="1" si="23"/>
        <v>263198840.39774629</v>
      </c>
      <c r="AC80" s="884">
        <f t="shared" ca="1" si="18"/>
        <v>27369412.513155386</v>
      </c>
      <c r="AE80" s="888">
        <f t="shared" ca="1" si="19"/>
        <v>216810000</v>
      </c>
      <c r="AF80" s="884">
        <f t="shared" si="20"/>
        <v>0</v>
      </c>
    </row>
    <row r="81" spans="1:32" x14ac:dyDescent="0.25">
      <c r="A81" s="52">
        <f t="shared" si="21"/>
        <v>2028</v>
      </c>
      <c r="B81" s="172">
        <f>IF(MAX($B$65:B80)&lt;(construct+anal_period),B80+1,"")</f>
        <v>17</v>
      </c>
      <c r="C81" s="172">
        <f t="shared" si="22"/>
        <v>14</v>
      </c>
      <c r="D81" s="172">
        <f t="shared" si="1"/>
        <v>14</v>
      </c>
      <c r="E81" s="173">
        <f t="shared" si="2"/>
        <v>1.277216122541118</v>
      </c>
      <c r="F81" s="53">
        <f t="shared" ca="1" si="3"/>
        <v>471821759.68051469</v>
      </c>
      <c r="G81" s="897"/>
      <c r="H81" s="906">
        <f t="shared" si="24"/>
        <v>0</v>
      </c>
      <c r="I81" s="174">
        <f ca="1">IF(OR(C81&lt;0,C81=""),"",-E81*INDEX('Replacement Costs'!$A$16:$H$57,MATCH(C81,'Replacement Costs'!$C$16:$C$57,0),MATCH("Total Yearly Replacement Costs",'Replacement Costs'!$A$16:$H$16,0)))</f>
        <v>-4846979.4573833141</v>
      </c>
      <c r="J81" s="174">
        <f ca="1">IF(AND(C81&gt;=1,C81&lt;anal_period),WorkingCap*SUM(N81:R81)-WorkingCap*SUM(N80:R80),IF(C81&lt;0,0,IF(B81="","",-SUM(J$65:J80))))</f>
        <v>-1871630.6011272147</v>
      </c>
      <c r="K81" s="174" t="str">
        <f t="shared" si="4"/>
        <v/>
      </c>
      <c r="L81" s="174" t="str">
        <f t="shared" si="5"/>
        <v/>
      </c>
      <c r="M81" s="174" t="str">
        <f t="shared" si="6"/>
        <v/>
      </c>
      <c r="N81" s="174">
        <f t="shared" ca="1" si="7"/>
        <v>-41506252.964171268</v>
      </c>
      <c r="O81" s="174">
        <f t="shared" ca="1" si="8"/>
        <v>-321833098.77489185</v>
      </c>
      <c r="P81" s="174">
        <f t="shared" ca="1" si="9"/>
        <v>-6337896.4420355391</v>
      </c>
      <c r="Q81" s="174">
        <f t="shared" ca="1" si="10"/>
        <v>0</v>
      </c>
      <c r="R81" s="174">
        <f t="shared" ca="1" si="11"/>
        <v>-55952877.504127376</v>
      </c>
      <c r="S81" s="174">
        <f ca="1">IF(B81="","",IF($B$31=0,"",-'Debt Financing Calculations'!E30))</f>
        <v>-15924551.331836978</v>
      </c>
      <c r="T81" s="174">
        <f t="shared" ca="1" si="12"/>
        <v>30267082.663451612</v>
      </c>
      <c r="U81" s="174">
        <f ca="1">IF(C81="","",IF(C81&lt;-1,0,IF(C81=anal_period,-LOOKUP(C81,depr_yr,depr_cost)-Depreciation!$C$141-Depreciation!$B$166,-LOOKUP(C81,depr_yr,depr_cost))))</f>
        <v>-35078611.266275875</v>
      </c>
      <c r="V81" s="174">
        <f t="shared" ca="1" si="13"/>
        <v>-4811528.6028242633</v>
      </c>
      <c r="W81" s="175">
        <f t="shared" si="14"/>
        <v>0.25739999999999996</v>
      </c>
      <c r="X81" s="174">
        <f t="shared" ca="1" si="15"/>
        <v>1238487.4623669651</v>
      </c>
      <c r="Y81" s="174">
        <f t="shared" ca="1" si="16"/>
        <v>31505570.125818577</v>
      </c>
      <c r="Z81" s="174">
        <f>IF(C81="","",IF($B$31=0,"",-'Debt Financing Calculations'!F30))</f>
        <v>0</v>
      </c>
      <c r="AA81" s="174">
        <f t="shared" ca="1" si="17"/>
        <v>24786960.06730805</v>
      </c>
      <c r="AB81" s="174">
        <f t="shared" ca="1" si="23"/>
        <v>287985800.46505433</v>
      </c>
      <c r="AC81" s="884">
        <f t="shared" ca="1" si="18"/>
        <v>23548472.604941085</v>
      </c>
      <c r="AE81" s="888">
        <f t="shared" ca="1" si="19"/>
        <v>216810000</v>
      </c>
      <c r="AF81" s="884">
        <f t="shared" si="20"/>
        <v>0</v>
      </c>
    </row>
    <row r="82" spans="1:32" x14ac:dyDescent="0.25">
      <c r="A82" s="52">
        <f t="shared" si="21"/>
        <v>2029</v>
      </c>
      <c r="B82" s="172">
        <f>IF(MAX($B$65:B81)&lt;(construct+anal_period),B81+1,"")</f>
        <v>18</v>
      </c>
      <c r="C82" s="172">
        <f t="shared" si="22"/>
        <v>15</v>
      </c>
      <c r="D82" s="172">
        <f t="shared" si="1"/>
        <v>15</v>
      </c>
      <c r="E82" s="173">
        <f t="shared" si="2"/>
        <v>1.3014832288693996</v>
      </c>
      <c r="F82" s="53">
        <f t="shared" ca="1" si="3"/>
        <v>480786373.11444461</v>
      </c>
      <c r="G82" s="897"/>
      <c r="H82" s="906">
        <f t="shared" si="24"/>
        <v>0</v>
      </c>
      <c r="I82" s="174">
        <f ca="1">IF(OR(C82&lt;0,C82=""),"",-E82*INDEX('Replacement Costs'!$A$16:$H$57,MATCH(C82,'Replacement Costs'!$C$16:$C$57,0),MATCH("Total Yearly Replacement Costs",'Replacement Costs'!$A$16:$H$16,0)))</f>
        <v>-4939072.0670735985</v>
      </c>
      <c r="J82" s="174">
        <f ca="1">IF(AND(C82&gt;=1,C82&lt;anal_period),WorkingCap*SUM(N82:R82)-WorkingCap*SUM(N81:R81),IF(C82&lt;0,0,IF(B82="","",-SUM(J$65:J81))))</f>
        <v>-1803434.9565786198</v>
      </c>
      <c r="K82" s="174" t="str">
        <f t="shared" si="4"/>
        <v/>
      </c>
      <c r="L82" s="174" t="str">
        <f t="shared" si="5"/>
        <v/>
      </c>
      <c r="M82" s="174" t="str">
        <f t="shared" si="6"/>
        <v/>
      </c>
      <c r="N82" s="174">
        <f t="shared" ca="1" si="7"/>
        <v>-42294871.770490535</v>
      </c>
      <c r="O82" s="174">
        <f t="shared" ca="1" si="8"/>
        <v>-331883854.97411966</v>
      </c>
      <c r="P82" s="174">
        <f t="shared" ca="1" si="9"/>
        <v>-6458316.4744342165</v>
      </c>
      <c r="Q82" s="174">
        <f t="shared" ca="1" si="10"/>
        <v>0</v>
      </c>
      <c r="R82" s="174">
        <f t="shared" ca="1" si="11"/>
        <v>-57015982.176705815</v>
      </c>
      <c r="S82" s="174">
        <f ca="1">IF(B82="","",IF($B$31=0,"",-'Debt Financing Calculations'!E31))</f>
        <v>-15924551.331836978</v>
      </c>
      <c r="T82" s="174">
        <f t="shared" ca="1" si="12"/>
        <v>27208796.38685739</v>
      </c>
      <c r="U82" s="174">
        <f ca="1">IF(C82="","",IF(C82&lt;-1,0,IF(C82=anal_period,-LOOKUP(C82,depr_yr,depr_cost)-Depreciation!$C$141-Depreciation!$B$166,-LOOKUP(C82,depr_yr,depr_cost))))</f>
        <v>-35313613.98887337</v>
      </c>
      <c r="V82" s="174">
        <f t="shared" ca="1" si="13"/>
        <v>-8104817.6020159796</v>
      </c>
      <c r="W82" s="175">
        <f t="shared" si="14"/>
        <v>0.25739999999999996</v>
      </c>
      <c r="X82" s="174">
        <f t="shared" ca="1" si="15"/>
        <v>2086180.0507589129</v>
      </c>
      <c r="Y82" s="174">
        <f t="shared" ca="1" si="16"/>
        <v>29294976.437616304</v>
      </c>
      <c r="Z82" s="174">
        <f>IF(C82="","",IF($B$31=0,"",-'Debt Financing Calculations'!F31))</f>
        <v>0</v>
      </c>
      <c r="AA82" s="174">
        <f t="shared" ca="1" si="17"/>
        <v>22552469.413964085</v>
      </c>
      <c r="AB82" s="174">
        <f t="shared" ca="1" si="23"/>
        <v>310538269.87901843</v>
      </c>
      <c r="AC82" s="884">
        <f t="shared" ca="1" si="18"/>
        <v>20466289.363205172</v>
      </c>
      <c r="AE82" s="888">
        <f t="shared" ca="1" si="19"/>
        <v>216810000</v>
      </c>
      <c r="AF82" s="884">
        <f t="shared" si="20"/>
        <v>0</v>
      </c>
    </row>
    <row r="83" spans="1:32" x14ac:dyDescent="0.25">
      <c r="A83" s="52">
        <f t="shared" si="21"/>
        <v>2030</v>
      </c>
      <c r="B83" s="172">
        <f>IF(MAX($B$65:B82)&lt;(construct+anal_period),B82+1,"")</f>
        <v>19</v>
      </c>
      <c r="C83" s="172">
        <f t="shared" si="22"/>
        <v>16</v>
      </c>
      <c r="D83" s="172">
        <f t="shared" si="1"/>
        <v>16</v>
      </c>
      <c r="E83" s="173">
        <f t="shared" si="2"/>
        <v>1.3262114102179181</v>
      </c>
      <c r="F83" s="53">
        <f t="shared" ca="1" si="3"/>
        <v>489921314.203619</v>
      </c>
      <c r="G83" s="897"/>
      <c r="H83" s="906">
        <f t="shared" si="24"/>
        <v>0</v>
      </c>
      <c r="I83" s="174">
        <f ca="1">IF(OR(C83&lt;0,C83=""),"",-E83*INDEX('Replacement Costs'!$A$16:$H$57,MATCH(C83,'Replacement Costs'!$C$16:$C$57,0),MATCH("Total Yearly Replacement Costs",'Replacement Costs'!$A$16:$H$16,0)))</f>
        <v>-5032914.4363479968</v>
      </c>
      <c r="J83" s="174">
        <f ca="1">IF(AND(C83&gt;=1,C83&lt;anal_period),WorkingCap*SUM(N83:R83)-WorkingCap*SUM(N82:R82),IF(C83&lt;0,0,IF(B83="","",-SUM(J$65:J82))))</f>
        <v>-1423333.5903418064</v>
      </c>
      <c r="K83" s="174" t="str">
        <f t="shared" si="4"/>
        <v/>
      </c>
      <c r="L83" s="174" t="str">
        <f t="shared" si="5"/>
        <v/>
      </c>
      <c r="M83" s="174" t="str">
        <f t="shared" si="6"/>
        <v/>
      </c>
      <c r="N83" s="174">
        <f t="shared" ca="1" si="7"/>
        <v>-43098474.334129855</v>
      </c>
      <c r="O83" s="174">
        <f t="shared" ca="1" si="8"/>
        <v>-339363131.33838737</v>
      </c>
      <c r="P83" s="174">
        <f t="shared" ca="1" si="9"/>
        <v>-6581024.487448466</v>
      </c>
      <c r="Q83" s="174">
        <f t="shared" ca="1" si="10"/>
        <v>0</v>
      </c>
      <c r="R83" s="174">
        <f t="shared" ca="1" si="11"/>
        <v>-58099285.838063218</v>
      </c>
      <c r="S83" s="174">
        <f ca="1">IF(B83="","",IF($B$31=0,"",-'Debt Financing Calculations'!E32))</f>
        <v>-15924551.331836978</v>
      </c>
      <c r="T83" s="174">
        <f t="shared" ca="1" si="12"/>
        <v>26854846.873753071</v>
      </c>
      <c r="U83" s="174">
        <f ca="1">IF(C83="","",IF(C83&lt;-1,0,IF(C83=anal_period,-LOOKUP(C83,depr_yr,depr_cost)-Depreciation!$C$141-Depreciation!$B$166,-LOOKUP(C83,depr_yr,depr_cost))))</f>
        <v>-35538561.079790153</v>
      </c>
      <c r="V83" s="174">
        <f t="shared" ca="1" si="13"/>
        <v>-8683714.2060370818</v>
      </c>
      <c r="W83" s="175">
        <f t="shared" si="14"/>
        <v>0.25739999999999996</v>
      </c>
      <c r="X83" s="174">
        <f t="shared" ca="1" si="15"/>
        <v>2235188.0366339446</v>
      </c>
      <c r="Y83" s="174">
        <f t="shared" ca="1" si="16"/>
        <v>29090034.910387017</v>
      </c>
      <c r="Z83" s="174">
        <f>IF(C83="","",IF($B$31=0,"",-'Debt Financing Calculations'!F32))</f>
        <v>0</v>
      </c>
      <c r="AA83" s="174">
        <f t="shared" ca="1" si="17"/>
        <v>22633786.883697212</v>
      </c>
      <c r="AB83" s="174">
        <f t="shared" ca="1" si="23"/>
        <v>333172056.76271564</v>
      </c>
      <c r="AC83" s="884">
        <f t="shared" ca="1" si="18"/>
        <v>20398598.847063266</v>
      </c>
      <c r="AE83" s="888">
        <f t="shared" ca="1" si="19"/>
        <v>216810000</v>
      </c>
      <c r="AF83" s="884">
        <f t="shared" si="20"/>
        <v>0</v>
      </c>
    </row>
    <row r="84" spans="1:32" x14ac:dyDescent="0.25">
      <c r="A84" s="52">
        <f t="shared" si="21"/>
        <v>2031</v>
      </c>
      <c r="B84" s="172">
        <f>IF(MAX($B$65:B83)&lt;(construct+anal_period),B83+1,"")</f>
        <v>20</v>
      </c>
      <c r="C84" s="172">
        <f t="shared" si="22"/>
        <v>17</v>
      </c>
      <c r="D84" s="172">
        <f t="shared" si="1"/>
        <v>17</v>
      </c>
      <c r="E84" s="173">
        <f t="shared" si="2"/>
        <v>1.3514094270120585</v>
      </c>
      <c r="F84" s="53">
        <f t="shared" ca="1" si="3"/>
        <v>499229819.17348772</v>
      </c>
      <c r="G84" s="897"/>
      <c r="H84" s="906">
        <f t="shared" si="24"/>
        <v>0</v>
      </c>
      <c r="I84" s="174">
        <f ca="1">IF(OR(C84&lt;0,C84=""),"",-E84*INDEX('Replacement Costs'!$A$16:$H$57,MATCH(C84,'Replacement Costs'!$C$16:$C$57,0),MATCH("Total Yearly Replacement Costs",'Replacement Costs'!$A$16:$H$16,0)))</f>
        <v>-5128539.8106386084</v>
      </c>
      <c r="J84" s="174">
        <f ca="1">IF(AND(C84&gt;=1,C84&lt;anal_period),WorkingCap*SUM(N84:R84)-WorkingCap*SUM(N83:R83),IF(C84&lt;0,0,IF(B84="","",-SUM(J$65:J83))))</f>
        <v>-1461505.067840755</v>
      </c>
      <c r="K84" s="174" t="str">
        <f t="shared" si="4"/>
        <v/>
      </c>
      <c r="L84" s="174" t="str">
        <f t="shared" si="5"/>
        <v/>
      </c>
      <c r="M84" s="174" t="str">
        <f t="shared" si="6"/>
        <v/>
      </c>
      <c r="N84" s="174">
        <f t="shared" ca="1" si="7"/>
        <v>-43917345.346478313</v>
      </c>
      <c r="O84" s="174">
        <f t="shared" ca="1" si="8"/>
        <v>-347058701.54879266</v>
      </c>
      <c r="P84" s="174">
        <f t="shared" ca="1" si="9"/>
        <v>-6706063.9527099859</v>
      </c>
      <c r="Q84" s="174">
        <f t="shared" ca="1" si="10"/>
        <v>0</v>
      </c>
      <c r="R84" s="174">
        <f t="shared" ca="1" si="11"/>
        <v>-59203172.268986419</v>
      </c>
      <c r="S84" s="174">
        <f ca="1">IF(B84="","",IF($B$31=0,"",-'Debt Financing Calculations'!E33))</f>
        <v>-15924551.331836978</v>
      </c>
      <c r="T84" s="174">
        <f t="shared" ca="1" si="12"/>
        <v>26419984.724683404</v>
      </c>
      <c r="U84" s="174">
        <f ca="1">IF(C84="","",IF(C84&lt;-1,0,IF(C84=anal_period,-LOOKUP(C84,depr_yr,depr_cost)-Depreciation!$C$141-Depreciation!$B$166,-LOOKUP(C84,depr_yr,depr_cost))))</f>
        <v>-35782302.848844409</v>
      </c>
      <c r="V84" s="174">
        <f t="shared" ca="1" si="13"/>
        <v>-9362318.124161005</v>
      </c>
      <c r="W84" s="175">
        <f t="shared" si="14"/>
        <v>0.25739999999999996</v>
      </c>
      <c r="X84" s="174">
        <f t="shared" ca="1" si="15"/>
        <v>2409860.6851590425</v>
      </c>
      <c r="Y84" s="174">
        <f t="shared" ca="1" si="16"/>
        <v>28829845.409842446</v>
      </c>
      <c r="Z84" s="174">
        <f>IF(C84="","",IF($B$31=0,"",-'Debt Financing Calculations'!F33))</f>
        <v>0</v>
      </c>
      <c r="AA84" s="174">
        <f t="shared" ca="1" si="17"/>
        <v>22239800.531363085</v>
      </c>
      <c r="AB84" s="174">
        <f t="shared" ca="1" si="23"/>
        <v>355411857.29407871</v>
      </c>
      <c r="AC84" s="884">
        <f t="shared" ca="1" si="18"/>
        <v>19829939.846204042</v>
      </c>
      <c r="AE84" s="888">
        <f t="shared" ca="1" si="19"/>
        <v>216810000</v>
      </c>
      <c r="AF84" s="884">
        <f t="shared" si="20"/>
        <v>0</v>
      </c>
    </row>
    <row r="85" spans="1:32" x14ac:dyDescent="0.25">
      <c r="A85" s="52">
        <f t="shared" si="21"/>
        <v>2032</v>
      </c>
      <c r="B85" s="172">
        <f>IF(MAX($B$65:B84)&lt;(construct+anal_period),B84+1,"")</f>
        <v>21</v>
      </c>
      <c r="C85" s="172">
        <f t="shared" si="22"/>
        <v>18</v>
      </c>
      <c r="D85" s="172">
        <f t="shared" si="1"/>
        <v>18</v>
      </c>
      <c r="E85" s="173">
        <f t="shared" si="2"/>
        <v>1.3770862061252875</v>
      </c>
      <c r="F85" s="53">
        <f t="shared" ca="1" si="3"/>
        <v>508715185.73778397</v>
      </c>
      <c r="G85" s="897"/>
      <c r="H85" s="906">
        <f t="shared" si="24"/>
        <v>0</v>
      </c>
      <c r="I85" s="174">
        <f ca="1">IF(OR(C85&lt;0,C85=""),"",-E85*INDEX('Replacement Costs'!$A$16:$H$57,MATCH(C85,'Replacement Costs'!$C$16:$C$57,0),MATCH("Total Yearly Replacement Costs",'Replacement Costs'!$A$16:$H$16,0)))</f>
        <v>-5225982.0670407414</v>
      </c>
      <c r="J85" s="174">
        <f ca="1">IF(AND(C85&gt;=1,C85&lt;anal_period),WorkingCap*SUM(N85:R85)-WorkingCap*SUM(N84:R84),IF(C85&lt;0,0,IF(B85="","",-SUM(J$65:J84))))</f>
        <v>-1171874.7128554881</v>
      </c>
      <c r="K85" s="174" t="str">
        <f t="shared" si="4"/>
        <v/>
      </c>
      <c r="L85" s="174" t="str">
        <f t="shared" si="5"/>
        <v/>
      </c>
      <c r="M85" s="174" t="str">
        <f t="shared" si="6"/>
        <v/>
      </c>
      <c r="N85" s="174">
        <f t="shared" ca="1" si="7"/>
        <v>-44751774.9080614</v>
      </c>
      <c r="O85" s="174">
        <f t="shared" ca="1" si="8"/>
        <v>-352784494.58470058</v>
      </c>
      <c r="P85" s="174">
        <f t="shared" ca="1" si="9"/>
        <v>-6833479.1678114757</v>
      </c>
      <c r="Q85" s="174">
        <f t="shared" ca="1" si="10"/>
        <v>0</v>
      </c>
      <c r="R85" s="174">
        <f t="shared" ca="1" si="11"/>
        <v>-60328032.542097159</v>
      </c>
      <c r="S85" s="174">
        <f ca="1">IF(B85="","",IF($B$31=0,"",-'Debt Financing Calculations'!E34))</f>
        <v>-15924551.331836978</v>
      </c>
      <c r="T85" s="174">
        <f t="shared" ca="1" si="12"/>
        <v>28092853.203276396</v>
      </c>
      <c r="U85" s="174">
        <f ca="1">IF(C85="","",IF(C85&lt;-1,0,IF(C85=anal_period,-LOOKUP(C85,depr_yr,depr_cost)-Depreciation!$C$141-Depreciation!$B$166,-LOOKUP(C85,depr_yr,depr_cost))))</f>
        <v>-36016155.02810064</v>
      </c>
      <c r="V85" s="174">
        <f t="shared" ca="1" si="13"/>
        <v>-7923301.8248242438</v>
      </c>
      <c r="W85" s="175">
        <f t="shared" si="14"/>
        <v>0.25739999999999996</v>
      </c>
      <c r="X85" s="174">
        <f t="shared" ca="1" si="15"/>
        <v>2039457.88970976</v>
      </c>
      <c r="Y85" s="174">
        <f t="shared" ca="1" si="16"/>
        <v>30132311.092986155</v>
      </c>
      <c r="Z85" s="174">
        <f>IF(C85="","",IF($B$31=0,"",-'Debt Financing Calculations'!F34))</f>
        <v>0</v>
      </c>
      <c r="AA85" s="174">
        <f t="shared" ca="1" si="17"/>
        <v>23734454.313089926</v>
      </c>
      <c r="AB85" s="174">
        <f t="shared" ca="1" si="23"/>
        <v>379146311.60716861</v>
      </c>
      <c r="AC85" s="884">
        <f t="shared" ca="1" si="18"/>
        <v>21694996.423380166</v>
      </c>
      <c r="AE85" s="888">
        <f t="shared" ca="1" si="19"/>
        <v>216810000</v>
      </c>
      <c r="AF85" s="884">
        <f t="shared" si="20"/>
        <v>0</v>
      </c>
    </row>
    <row r="86" spans="1:32" x14ac:dyDescent="0.25">
      <c r="A86" s="52">
        <f t="shared" si="21"/>
        <v>2033</v>
      </c>
      <c r="B86" s="172">
        <f>IF(MAX($B$65:B85)&lt;(construct+anal_period),B85+1,"")</f>
        <v>22</v>
      </c>
      <c r="C86" s="172">
        <f t="shared" si="22"/>
        <v>19</v>
      </c>
      <c r="D86" s="172">
        <f t="shared" si="1"/>
        <v>19</v>
      </c>
      <c r="E86" s="173">
        <f t="shared" si="2"/>
        <v>1.4032508440416678</v>
      </c>
      <c r="F86" s="53">
        <f t="shared" ca="1" si="3"/>
        <v>518380774.26680183</v>
      </c>
      <c r="G86" s="897"/>
      <c r="H86" s="906">
        <f t="shared" si="24"/>
        <v>0</v>
      </c>
      <c r="I86" s="174">
        <f ca="1">IF(OR(C86&lt;0,C86=""),"",-E86*INDEX('Replacement Costs'!$A$16:$H$57,MATCH(C86,'Replacement Costs'!$C$16:$C$57,0),MATCH("Total Yearly Replacement Costs",'Replacement Costs'!$A$16:$H$16,0)))</f>
        <v>-5325275.7263145149</v>
      </c>
      <c r="J86" s="174">
        <f ca="1">IF(AND(C86&gt;=1,C86&lt;anal_period),WorkingCap*SUM(N86:R86)-WorkingCap*SUM(N85:R85),IF(C86&lt;0,0,IF(B86="","",-SUM(J$65:J85))))</f>
        <v>-866188.29479429126</v>
      </c>
      <c r="K86" s="174" t="str">
        <f t="shared" si="4"/>
        <v/>
      </c>
      <c r="L86" s="174" t="str">
        <f t="shared" si="5"/>
        <v/>
      </c>
      <c r="M86" s="174" t="str">
        <f t="shared" si="6"/>
        <v/>
      </c>
      <c r="N86" s="174">
        <f t="shared" ca="1" si="7"/>
        <v>-45602058.631314561</v>
      </c>
      <c r="O86" s="174">
        <f t="shared" ca="1" si="8"/>
        <v>-356432730.77092105</v>
      </c>
      <c r="P86" s="174">
        <f t="shared" ca="1" si="9"/>
        <v>-6963315.2719998928</v>
      </c>
      <c r="Q86" s="174">
        <f t="shared" ca="1" si="10"/>
        <v>0</v>
      </c>
      <c r="R86" s="174">
        <f t="shared" ca="1" si="11"/>
        <v>-61474265.160396993</v>
      </c>
      <c r="S86" s="174">
        <f ca="1">IF(B86="","",IF($B$31=0,"",-'Debt Financing Calculations'!E35))</f>
        <v>-15924551.331836978</v>
      </c>
      <c r="T86" s="174">
        <f t="shared" ca="1" si="12"/>
        <v>31983853.10033232</v>
      </c>
      <c r="U86" s="174">
        <f ca="1">IF(C86="","",IF(C86&lt;-1,0,IF(C86=anal_period,-LOOKUP(C86,depr_yr,depr_cost)-Depreciation!$C$141-Depreciation!$B$166,-LOOKUP(C86,depr_yr,depr_cost))))</f>
        <v>-36268971.082172811</v>
      </c>
      <c r="V86" s="174">
        <f t="shared" ca="1" si="13"/>
        <v>-4285117.9818404913</v>
      </c>
      <c r="W86" s="175">
        <f t="shared" si="14"/>
        <v>0.25739999999999996</v>
      </c>
      <c r="X86" s="174">
        <f t="shared" ca="1" si="15"/>
        <v>1102989.3685257423</v>
      </c>
      <c r="Y86" s="174">
        <f t="shared" ca="1" si="16"/>
        <v>33086842.468858063</v>
      </c>
      <c r="Z86" s="174">
        <f>IF(C86="","",IF($B$31=0,"",-'Debt Financing Calculations'!F35))</f>
        <v>0</v>
      </c>
      <c r="AA86" s="174">
        <f t="shared" ca="1" si="17"/>
        <v>26895378.447749257</v>
      </c>
      <c r="AB86" s="174">
        <f t="shared" ca="1" si="23"/>
        <v>406041690.05491787</v>
      </c>
      <c r="AC86" s="884">
        <f t="shared" ca="1" si="18"/>
        <v>25792389.079223514</v>
      </c>
      <c r="AE86" s="888">
        <f t="shared" ca="1" si="19"/>
        <v>216810000</v>
      </c>
      <c r="AF86" s="884">
        <f t="shared" si="20"/>
        <v>0</v>
      </c>
    </row>
    <row r="87" spans="1:32" x14ac:dyDescent="0.25">
      <c r="A87" s="52">
        <f t="shared" si="21"/>
        <v>2034</v>
      </c>
      <c r="B87" s="172">
        <f>IF(MAX($B$65:B86)&lt;(construct+anal_period),B86+1,"")</f>
        <v>23</v>
      </c>
      <c r="C87" s="172">
        <f t="shared" si="22"/>
        <v>20</v>
      </c>
      <c r="D87" s="172">
        <f t="shared" si="1"/>
        <v>20</v>
      </c>
      <c r="E87" s="173">
        <f t="shared" si="2"/>
        <v>1.4299126100784596</v>
      </c>
      <c r="F87" s="53">
        <f t="shared" ca="1" si="3"/>
        <v>528230008.97787106</v>
      </c>
      <c r="G87" s="897"/>
      <c r="H87" s="906">
        <f t="shared" si="24"/>
        <v>0</v>
      </c>
      <c r="I87" s="174">
        <f ca="1">IF(OR(C87&lt;0,C87=""),"",-E87*INDEX('Replacement Costs'!$A$16:$H$57,MATCH(C87,'Replacement Costs'!$C$16:$C$57,0),MATCH("Total Yearly Replacement Costs",'Replacement Costs'!$A$16:$H$16,0)))</f>
        <v>-5426455.9651144911</v>
      </c>
      <c r="J87" s="174">
        <f ca="1">IF(AND(C87&gt;=1,C87&lt;anal_period),WorkingCap*SUM(N87:R87)-WorkingCap*SUM(N86:R86),IF(C87&lt;0,0,IF(B87="","",-SUM(J$65:J86))))</f>
        <v>-1294211.475694254</v>
      </c>
      <c r="K87" s="174" t="str">
        <f t="shared" si="4"/>
        <v/>
      </c>
      <c r="L87" s="174" t="str">
        <f t="shared" si="5"/>
        <v/>
      </c>
      <c r="M87" s="174" t="str">
        <f t="shared" si="6"/>
        <v/>
      </c>
      <c r="N87" s="174">
        <f t="shared" ca="1" si="7"/>
        <v>-46468497.745309547</v>
      </c>
      <c r="O87" s="174">
        <f t="shared" ca="1" si="8"/>
        <v>-362894054.13333887</v>
      </c>
      <c r="P87" s="174">
        <f t="shared" ca="1" si="9"/>
        <v>-7095618.2621678915</v>
      </c>
      <c r="Q87" s="174">
        <f t="shared" ca="1" si="10"/>
        <v>0</v>
      </c>
      <c r="R87" s="174">
        <f t="shared" ca="1" si="11"/>
        <v>-62642276.198444545</v>
      </c>
      <c r="S87" s="174">
        <f ca="1">IF(B87="","",IF($B$31=0,"",-'Debt Financing Calculations'!E36))</f>
        <v>-15924551.331836978</v>
      </c>
      <c r="T87" s="174">
        <f t="shared" ca="1" si="12"/>
        <v>33205011.306773245</v>
      </c>
      <c r="U87" s="174">
        <f ca="1">IF(C87="","",IF(C87&lt;-1,0,IF(C87=anal_period,-LOOKUP(C87,depr_yr,depr_cost)-Depreciation!$C$141-Depreciation!$B$166,-LOOKUP(C87,depr_yr,depr_cost))))</f>
        <v>-36512069.957862251</v>
      </c>
      <c r="V87" s="174">
        <f t="shared" ca="1" si="13"/>
        <v>-3307058.6510890052</v>
      </c>
      <c r="W87" s="175">
        <f t="shared" si="14"/>
        <v>0.25739999999999996</v>
      </c>
      <c r="X87" s="174">
        <f t="shared" ca="1" si="15"/>
        <v>851236.89679030981</v>
      </c>
      <c r="Y87" s="174">
        <f t="shared" ca="1" si="16"/>
        <v>34056248.203563556</v>
      </c>
      <c r="Z87" s="174">
        <f>IF(C87="","",IF($B$31=0,"",-'Debt Financing Calculations'!F36))</f>
        <v>0</v>
      </c>
      <c r="AA87" s="174">
        <f t="shared" ca="1" si="17"/>
        <v>27335580.762754813</v>
      </c>
      <c r="AB87" s="174">
        <f t="shared" ca="1" si="23"/>
        <v>433377270.81767267</v>
      </c>
      <c r="AC87" s="884">
        <f t="shared" ca="1" si="18"/>
        <v>26484343.865964502</v>
      </c>
      <c r="AE87" s="888">
        <f t="shared" ca="1" si="19"/>
        <v>216810000</v>
      </c>
      <c r="AF87" s="884">
        <f t="shared" si="20"/>
        <v>0</v>
      </c>
    </row>
    <row r="88" spans="1:32" x14ac:dyDescent="0.25">
      <c r="A88" s="52">
        <f t="shared" si="21"/>
        <v>2035</v>
      </c>
      <c r="B88" s="172">
        <f>IF(MAX($B$65:B87)&lt;(construct+anal_period),B87+1,"")</f>
        <v>24</v>
      </c>
      <c r="C88" s="172">
        <f t="shared" si="22"/>
        <v>21</v>
      </c>
      <c r="D88" s="172">
        <f t="shared" si="1"/>
        <v>21</v>
      </c>
      <c r="E88" s="173">
        <f t="shared" si="2"/>
        <v>1.4570809496699502</v>
      </c>
      <c r="F88" s="53">
        <f t="shared" ca="1" si="3"/>
        <v>538266379.14845061</v>
      </c>
      <c r="G88" s="897"/>
      <c r="H88" s="906">
        <f t="shared" si="24"/>
        <v>0</v>
      </c>
      <c r="I88" s="174">
        <f ca="1">IF(OR(C88&lt;0,C88=""),"",-E88*INDEX('Replacement Costs'!$A$16:$H$57,MATCH(C88,'Replacement Costs'!$C$16:$C$57,0),MATCH("Total Yearly Replacement Costs",'Replacement Costs'!$A$16:$H$16,0)))</f>
        <v>-5529558.6284516659</v>
      </c>
      <c r="J88" s="174">
        <f ca="1">IF(AND(C88&gt;=1,C88&lt;anal_period),WorkingCap*SUM(N88:R88)-WorkingCap*SUM(N87:R87),IF(C88&lt;0,0,IF(B88="","",-SUM(J$65:J87))))</f>
        <v>-2076668.7961682975</v>
      </c>
      <c r="K88" s="174" t="str">
        <f t="shared" si="4"/>
        <v/>
      </c>
      <c r="L88" s="174" t="str">
        <f t="shared" si="5"/>
        <v/>
      </c>
      <c r="M88" s="174" t="str">
        <f t="shared" si="6"/>
        <v/>
      </c>
      <c r="N88" s="174">
        <f t="shared" ca="1" si="7"/>
        <v>-47351399.202470422</v>
      </c>
      <c r="O88" s="174">
        <f t="shared" ca="1" si="8"/>
        <v>-374530591.32254839</v>
      </c>
      <c r="P88" s="174">
        <f t="shared" ca="1" si="9"/>
        <v>-7230435.0091490801</v>
      </c>
      <c r="Q88" s="174">
        <f t="shared" ca="1" si="10"/>
        <v>0</v>
      </c>
      <c r="R88" s="174">
        <f t="shared" ca="1" si="11"/>
        <v>-63832479.446214981</v>
      </c>
      <c r="S88" s="174">
        <f ca="1">IF(B88="","",IF($B$31=0,"",-'Debt Financing Calculations'!E37))</f>
        <v>-15924551.331836978</v>
      </c>
      <c r="T88" s="174">
        <f t="shared" ca="1" si="12"/>
        <v>29396922.836230755</v>
      </c>
      <c r="U88" s="174">
        <f ca="1">IF(C88="","",IF(C88&lt;-1,0,IF(C88=anal_period,-LOOKUP(C88,depr_yr,depr_cost)-Depreciation!$C$141-Depreciation!$B$166,-LOOKUP(C88,depr_yr,depr_cost))))</f>
        <v>-20686186.152668633</v>
      </c>
      <c r="V88" s="174">
        <f t="shared" ca="1" si="13"/>
        <v>8710736.6835621223</v>
      </c>
      <c r="W88" s="175">
        <f t="shared" si="14"/>
        <v>0.25739999999999996</v>
      </c>
      <c r="X88" s="174">
        <f t="shared" ca="1" si="15"/>
        <v>-2242143.6223488902</v>
      </c>
      <c r="Y88" s="174">
        <f t="shared" ca="1" si="16"/>
        <v>27154779.213881865</v>
      </c>
      <c r="Z88" s="174">
        <f>IF(C88="","",IF($B$31=0,"",-'Debt Financing Calculations'!F37))</f>
        <v>0</v>
      </c>
      <c r="AA88" s="174">
        <f t="shared" ca="1" si="17"/>
        <v>19548551.7892619</v>
      </c>
      <c r="AB88" s="174">
        <f t="shared" ca="1" si="23"/>
        <v>452925822.60693455</v>
      </c>
      <c r="AC88" s="884">
        <f t="shared" ca="1" si="18"/>
        <v>21790695.41161079</v>
      </c>
      <c r="AE88" s="888">
        <f t="shared" ca="1" si="19"/>
        <v>216810000</v>
      </c>
      <c r="AF88" s="884">
        <f t="shared" si="20"/>
        <v>0</v>
      </c>
    </row>
    <row r="89" spans="1:32" x14ac:dyDescent="0.25">
      <c r="A89" s="52">
        <f t="shared" si="21"/>
        <v>2036</v>
      </c>
      <c r="B89" s="172">
        <f>IF(MAX($B$65:B88)&lt;(construct+anal_period),B88+1,"")</f>
        <v>25</v>
      </c>
      <c r="C89" s="172">
        <f t="shared" si="22"/>
        <v>22</v>
      </c>
      <c r="D89" s="172">
        <f t="shared" si="1"/>
        <v>22</v>
      </c>
      <c r="E89" s="173">
        <f t="shared" si="2"/>
        <v>1.4847654877136791</v>
      </c>
      <c r="F89" s="53">
        <f t="shared" ca="1" si="3"/>
        <v>548493440.35227108</v>
      </c>
      <c r="G89" s="897"/>
      <c r="H89" s="906">
        <f t="shared" si="24"/>
        <v>0</v>
      </c>
      <c r="I89" s="174">
        <f ca="1">IF(OR(C89&lt;0,C89=""),"",-E89*INDEX('Replacement Costs'!$A$16:$H$57,MATCH(C89,'Replacement Costs'!$C$16:$C$57,0),MATCH("Total Yearly Replacement Costs",'Replacement Costs'!$A$16:$H$16,0)))</f>
        <v>-5634620.2423922475</v>
      </c>
      <c r="J89" s="174">
        <f ca="1">IF(AND(C89&gt;=1,C89&lt;anal_period),WorkingCap*SUM(N89:R89)-WorkingCap*SUM(N88:R88),IF(C89&lt;0,0,IF(B89="","",-SUM(J$65:J88))))</f>
        <v>-1481051.7433129847</v>
      </c>
      <c r="K89" s="174" t="str">
        <f t="shared" si="4"/>
        <v/>
      </c>
      <c r="L89" s="174" t="str">
        <f t="shared" si="5"/>
        <v/>
      </c>
      <c r="M89" s="174" t="str">
        <f t="shared" si="6"/>
        <v/>
      </c>
      <c r="N89" s="174">
        <f t="shared" ca="1" si="7"/>
        <v>-48251075.787317351</v>
      </c>
      <c r="O89" s="174">
        <f t="shared" ca="1" si="8"/>
        <v>-382154397.65180278</v>
      </c>
      <c r="P89" s="174">
        <f t="shared" ca="1" si="9"/>
        <v>-7367813.2743229121</v>
      </c>
      <c r="Q89" s="174">
        <f t="shared" ca="1" si="10"/>
        <v>0</v>
      </c>
      <c r="R89" s="174">
        <f t="shared" ca="1" si="11"/>
        <v>-65045296.55569306</v>
      </c>
      <c r="S89" s="174">
        <f ca="1">IF(B89="","",IF($B$31=0,"",-'Debt Financing Calculations'!E38))</f>
        <v>-15924551.331836978</v>
      </c>
      <c r="T89" s="174">
        <f t="shared" ca="1" si="12"/>
        <v>29750305.75129801</v>
      </c>
      <c r="U89" s="174">
        <f ca="1">IF(C89="","",IF(C89&lt;-1,0,IF(C89=anal_period,-LOOKUP(C89,depr_yr,depr_cost)-Depreciation!$C$141-Depreciation!$B$166,-LOOKUP(C89,depr_yr,depr_cost))))</f>
        <v>-4771701.2446443224</v>
      </c>
      <c r="V89" s="174">
        <f t="shared" ca="1" si="13"/>
        <v>24978604.506653689</v>
      </c>
      <c r="W89" s="175">
        <f t="shared" si="14"/>
        <v>0.25739999999999996</v>
      </c>
      <c r="X89" s="174">
        <f t="shared" ca="1" si="15"/>
        <v>-6429492.8000126584</v>
      </c>
      <c r="Y89" s="174">
        <f t="shared" ca="1" si="16"/>
        <v>23320812.951285351</v>
      </c>
      <c r="Z89" s="174">
        <f>IF(C89="","",IF($B$31=0,"",-'Debt Financing Calculations'!F38))</f>
        <v>0</v>
      </c>
      <c r="AA89" s="174">
        <f t="shared" ca="1" si="17"/>
        <v>16205140.965580117</v>
      </c>
      <c r="AB89" s="174">
        <f t="shared" ca="1" si="23"/>
        <v>469130963.57251465</v>
      </c>
      <c r="AC89" s="884">
        <f t="shared" ca="1" si="18"/>
        <v>22634633.765592776</v>
      </c>
      <c r="AE89" s="888">
        <f t="shared" ca="1" si="19"/>
        <v>216810000</v>
      </c>
      <c r="AF89" s="884">
        <f t="shared" si="20"/>
        <v>0</v>
      </c>
    </row>
    <row r="90" spans="1:32" x14ac:dyDescent="0.25">
      <c r="A90" s="52">
        <f t="shared" si="21"/>
        <v>2037</v>
      </c>
      <c r="B90" s="172">
        <f>IF(MAX($B$65:B89)&lt;(construct+anal_period),B89+1,"")</f>
        <v>26</v>
      </c>
      <c r="C90" s="172">
        <f t="shared" si="22"/>
        <v>23</v>
      </c>
      <c r="D90" s="172">
        <f t="shared" si="1"/>
        <v>23</v>
      </c>
      <c r="E90" s="173">
        <f t="shared" si="2"/>
        <v>1.5129760319802392</v>
      </c>
      <c r="F90" s="53">
        <f t="shared" ca="1" si="3"/>
        <v>558914815.71896434</v>
      </c>
      <c r="G90" s="897"/>
      <c r="H90" s="906">
        <f t="shared" si="24"/>
        <v>0</v>
      </c>
      <c r="I90" s="174">
        <f ca="1">IF(OR(C90&lt;0,C90=""),"",-E90*INDEX('Replacement Costs'!$A$16:$H$57,MATCH(C90,'Replacement Costs'!$C$16:$C$57,0),MATCH("Total Yearly Replacement Costs",'Replacement Costs'!$A$16:$H$16,0)))</f>
        <v>-5741678.0269977003</v>
      </c>
      <c r="J90" s="174">
        <f ca="1">IF(AND(C90&gt;=1,C90&lt;anal_period),WorkingCap*SUM(N90:R90)-WorkingCap*SUM(N89:R89),IF(C90&lt;0,0,IF(B90="","",-SUM(J$65:J89))))</f>
        <v>-1506021.5623642206</v>
      </c>
      <c r="K90" s="174" t="str">
        <f t="shared" si="4"/>
        <v/>
      </c>
      <c r="L90" s="174" t="str">
        <f t="shared" si="5"/>
        <v/>
      </c>
      <c r="M90" s="174" t="str">
        <f t="shared" si="6"/>
        <v/>
      </c>
      <c r="N90" s="174">
        <f t="shared" ca="1" si="7"/>
        <v>-49167846.227276392</v>
      </c>
      <c r="O90" s="174">
        <f t="shared" ca="1" si="8"/>
        <v>-389901921.87416822</v>
      </c>
      <c r="P90" s="174">
        <f t="shared" ca="1" si="9"/>
        <v>-7507801.7265350493</v>
      </c>
      <c r="Q90" s="174">
        <f t="shared" ca="1" si="10"/>
        <v>0</v>
      </c>
      <c r="R90" s="174">
        <f t="shared" ca="1" si="11"/>
        <v>-66281157.190251239</v>
      </c>
      <c r="S90" s="174">
        <f ca="1">IF(B90="","",IF($B$31=0,"",-'Debt Financing Calculations'!E39))</f>
        <v>-15924551.331836978</v>
      </c>
      <c r="T90" s="174">
        <f t="shared" ca="1" si="12"/>
        <v>30131537.368896484</v>
      </c>
      <c r="U90" s="174">
        <f ca="1">IF(C90="","",IF(C90&lt;-1,0,IF(C90=anal_period,-LOOKUP(C90,depr_yr,depr_cost)-Depreciation!$C$141-Depreciation!$B$166,-LOOKUP(C90,depr_yr,depr_cost))))</f>
        <v>-4862363.5682925656</v>
      </c>
      <c r="V90" s="174">
        <f t="shared" ca="1" si="13"/>
        <v>25269173.800603919</v>
      </c>
      <c r="W90" s="175">
        <f t="shared" si="14"/>
        <v>0.25739999999999996</v>
      </c>
      <c r="X90" s="174">
        <f t="shared" ca="1" si="15"/>
        <v>-6504285.3362754481</v>
      </c>
      <c r="Y90" s="174">
        <f t="shared" ca="1" si="16"/>
        <v>23627252.032621037</v>
      </c>
      <c r="Z90" s="174">
        <f>IF(C90="","",IF($B$31=0,"",-'Debt Financing Calculations'!F39))</f>
        <v>0</v>
      </c>
      <c r="AA90" s="174">
        <f t="shared" ca="1" si="17"/>
        <v>16379552.443259116</v>
      </c>
      <c r="AB90" s="174">
        <f t="shared" ca="1" si="23"/>
        <v>485510516.01577377</v>
      </c>
      <c r="AC90" s="884">
        <f t="shared" ca="1" si="18"/>
        <v>22883837.779534563</v>
      </c>
      <c r="AE90" s="888">
        <f t="shared" ca="1" si="19"/>
        <v>216810000</v>
      </c>
      <c r="AF90" s="884">
        <f t="shared" si="20"/>
        <v>0</v>
      </c>
    </row>
    <row r="91" spans="1:32" x14ac:dyDescent="0.25">
      <c r="A91" s="52">
        <f t="shared" si="21"/>
        <v>2038</v>
      </c>
      <c r="B91" s="172">
        <f>IF(MAX($B$65:B90)&lt;(construct+anal_period),B90+1,"")</f>
        <v>27</v>
      </c>
      <c r="C91" s="172">
        <f t="shared" si="22"/>
        <v>24</v>
      </c>
      <c r="D91" s="172">
        <f t="shared" si="1"/>
        <v>24</v>
      </c>
      <c r="E91" s="173">
        <f t="shared" si="2"/>
        <v>1.5417225765878635</v>
      </c>
      <c r="F91" s="53">
        <f t="shared" ca="1" si="3"/>
        <v>569534197.21762455</v>
      </c>
      <c r="G91" s="897"/>
      <c r="H91" s="906">
        <f t="shared" si="24"/>
        <v>0</v>
      </c>
      <c r="I91" s="174">
        <f ca="1">IF(OR(C91&lt;0,C91=""),"",-E91*INDEX('Replacement Costs'!$A$16:$H$57,MATCH(C91,'Replacement Costs'!$C$16:$C$57,0),MATCH("Total Yearly Replacement Costs",'Replacement Costs'!$A$16:$H$16,0)))</f>
        <v>-5850769.9095106563</v>
      </c>
      <c r="J91" s="174">
        <f ca="1">IF(AND(C91&gt;=1,C91&lt;anal_period),WorkingCap*SUM(N91:R91)-WorkingCap*SUM(N90:R90),IF(C91&lt;0,0,IF(B91="","",-SUM(J$65:J90))))</f>
        <v>-1419563.8170149326</v>
      </c>
      <c r="K91" s="174" t="str">
        <f t="shared" si="4"/>
        <v/>
      </c>
      <c r="L91" s="174" t="str">
        <f t="shared" si="5"/>
        <v/>
      </c>
      <c r="M91" s="174" t="str">
        <f t="shared" si="6"/>
        <v/>
      </c>
      <c r="N91" s="174">
        <f t="shared" ca="1" si="7"/>
        <v>-50102035.305594631</v>
      </c>
      <c r="O91" s="174">
        <f t="shared" ca="1" si="8"/>
        <v>-397029501.35653061</v>
      </c>
      <c r="P91" s="174">
        <f t="shared" ca="1" si="9"/>
        <v>-7650449.9593392136</v>
      </c>
      <c r="Q91" s="174">
        <f t="shared" ca="1" si="10"/>
        <v>0</v>
      </c>
      <c r="R91" s="174">
        <f t="shared" ca="1" si="11"/>
        <v>-67540499.176865995</v>
      </c>
      <c r="S91" s="174">
        <f ca="1">IF(B91="","",IF($B$31=0,"",-'Debt Financing Calculations'!E40))</f>
        <v>-15924551.331836978</v>
      </c>
      <c r="T91" s="174">
        <f t="shared" ca="1" si="12"/>
        <v>31287160.08745718</v>
      </c>
      <c r="U91" s="174">
        <f ca="1">IF(C91="","",IF(C91&lt;-1,0,IF(C91=anal_period,-LOOKUP(C91,depr_yr,depr_cost)-Depreciation!$C$141-Depreciation!$B$166,-LOOKUP(C91,depr_yr,depr_cost))))</f>
        <v>-4954748.4760901239</v>
      </c>
      <c r="V91" s="174">
        <f t="shared" ca="1" si="13"/>
        <v>26332411.611367054</v>
      </c>
      <c r="W91" s="175">
        <f t="shared" si="14"/>
        <v>0.25739999999999996</v>
      </c>
      <c r="X91" s="174">
        <f t="shared" ca="1" si="15"/>
        <v>-6777962.7487658784</v>
      </c>
      <c r="Y91" s="174">
        <f t="shared" ca="1" si="16"/>
        <v>24509197.338691302</v>
      </c>
      <c r="Z91" s="174">
        <f>IF(C91="","",IF($B$31=0,"",-'Debt Financing Calculations'!F40))</f>
        <v>0</v>
      </c>
      <c r="AA91" s="174">
        <f t="shared" ca="1" si="17"/>
        <v>17238863.612165712</v>
      </c>
      <c r="AB91" s="174">
        <f t="shared" ca="1" si="23"/>
        <v>502749379.62793946</v>
      </c>
      <c r="AC91" s="884">
        <f t="shared" ca="1" si="18"/>
        <v>24016826.36093159</v>
      </c>
      <c r="AE91" s="888">
        <f t="shared" ca="1" si="19"/>
        <v>216810000</v>
      </c>
      <c r="AF91" s="884">
        <f t="shared" si="20"/>
        <v>0</v>
      </c>
    </row>
    <row r="92" spans="1:32" x14ac:dyDescent="0.25">
      <c r="A92" s="52">
        <f t="shared" si="21"/>
        <v>2039</v>
      </c>
      <c r="B92" s="172">
        <f>IF(MAX($B$65:B91)&lt;(construct+anal_period),B91+1,"")</f>
        <v>28</v>
      </c>
      <c r="C92" s="172">
        <f t="shared" si="22"/>
        <v>25</v>
      </c>
      <c r="D92" s="172">
        <f t="shared" si="1"/>
        <v>25</v>
      </c>
      <c r="E92" s="173">
        <f t="shared" si="2"/>
        <v>1.5710153055430329</v>
      </c>
      <c r="F92" s="53">
        <f t="shared" ca="1" si="3"/>
        <v>580355346.96475947</v>
      </c>
      <c r="G92" s="897"/>
      <c r="H92" s="906">
        <f t="shared" si="24"/>
        <v>0</v>
      </c>
      <c r="I92" s="174">
        <f ca="1">IF(OR(C92&lt;0,C92=""),"",-E92*INDEX('Replacement Costs'!$A$16:$H$57,MATCH(C92,'Replacement Costs'!$C$16:$C$57,0),MATCH("Total Yearly Replacement Costs",'Replacement Costs'!$A$16:$H$16,0)))</f>
        <v>-5961934.5377913583</v>
      </c>
      <c r="J92" s="174">
        <f ca="1">IF(AND(C92&gt;=1,C92&lt;anal_period),WorkingCap*SUM(N92:R92)-WorkingCap*SUM(N91:R91),IF(C92&lt;0,0,IF(B92="","",-SUM(J$65:J91))))</f>
        <v>-1677871.4901483655</v>
      </c>
      <c r="K92" s="174" t="str">
        <f t="shared" si="4"/>
        <v/>
      </c>
      <c r="L92" s="174" t="str">
        <f t="shared" si="5"/>
        <v/>
      </c>
      <c r="M92" s="174" t="str">
        <f t="shared" si="6"/>
        <v/>
      </c>
      <c r="N92" s="174">
        <f t="shared" ca="1" si="7"/>
        <v>-51053973.976400934</v>
      </c>
      <c r="O92" s="174">
        <f t="shared" ca="1" si="8"/>
        <v>-405834744.58645886</v>
      </c>
      <c r="P92" s="174">
        <f t="shared" ca="1" si="9"/>
        <v>-7795808.5085666589</v>
      </c>
      <c r="Q92" s="174">
        <f t="shared" ca="1" si="10"/>
        <v>0</v>
      </c>
      <c r="R92" s="174">
        <f t="shared" ca="1" si="11"/>
        <v>-68823768.661226451</v>
      </c>
      <c r="S92" s="174">
        <f ca="1">IF(B92="","",IF($B$31=0,"",-'Debt Financing Calculations'!E41))</f>
        <v>-15924551.331836978</v>
      </c>
      <c r="T92" s="174">
        <f t="shared" ca="1" si="12"/>
        <v>30922499.900269628</v>
      </c>
      <c r="U92" s="174">
        <f ca="1">IF(C92="","",IF(C92&lt;-1,0,IF(C92=anal_period,-LOOKUP(C92,depr_yr,depr_cost)-Depreciation!$C$141-Depreciation!$B$166,-LOOKUP(C92,depr_yr,depr_cost))))</f>
        <v>-5048888.6971358359</v>
      </c>
      <c r="V92" s="174">
        <f t="shared" ca="1" si="13"/>
        <v>25873611.203133792</v>
      </c>
      <c r="W92" s="175">
        <f t="shared" si="14"/>
        <v>0.25739999999999996</v>
      </c>
      <c r="X92" s="174">
        <f t="shared" ca="1" si="15"/>
        <v>-6659867.5236866372</v>
      </c>
      <c r="Y92" s="174">
        <f t="shared" ca="1" si="16"/>
        <v>24262632.376582991</v>
      </c>
      <c r="Z92" s="174">
        <f>IF(C92="","",IF($B$31=0,"",-'Debt Financing Calculations'!F41))</f>
        <v>0</v>
      </c>
      <c r="AA92" s="174">
        <f t="shared" ca="1" si="17"/>
        <v>16622826.348643269</v>
      </c>
      <c r="AB92" s="174">
        <f t="shared" ca="1" si="23"/>
        <v>519372205.97658271</v>
      </c>
      <c r="AC92" s="884">
        <f t="shared" ca="1" si="18"/>
        <v>23282693.872329906</v>
      </c>
      <c r="AE92" s="888">
        <f t="shared" ca="1" si="19"/>
        <v>216810000</v>
      </c>
      <c r="AF92" s="884">
        <f t="shared" si="20"/>
        <v>0</v>
      </c>
    </row>
    <row r="93" spans="1:32" x14ac:dyDescent="0.25">
      <c r="A93" s="52">
        <f t="shared" si="21"/>
        <v>2040</v>
      </c>
      <c r="B93" s="172">
        <f>IF(MAX($B$65:B92)&lt;(construct+anal_period),B92+1,"")</f>
        <v>29</v>
      </c>
      <c r="C93" s="172">
        <f t="shared" si="22"/>
        <v>26</v>
      </c>
      <c r="D93" s="172">
        <f t="shared" si="1"/>
        <v>26</v>
      </c>
      <c r="E93" s="173">
        <f t="shared" si="2"/>
        <v>1.6008645963483503</v>
      </c>
      <c r="F93" s="53">
        <f t="shared" ca="1" si="3"/>
        <v>591382098.55708981</v>
      </c>
      <c r="G93" s="897"/>
      <c r="H93" s="906">
        <f t="shared" si="24"/>
        <v>0</v>
      </c>
      <c r="I93" s="174">
        <f ca="1">IF(OR(C93&lt;0,C93=""),"",-E93*INDEX('Replacement Costs'!$A$16:$H$57,MATCH(C93,'Replacement Costs'!$C$16:$C$57,0),MATCH("Total Yearly Replacement Costs",'Replacement Costs'!$A$16:$H$16,0)))</f>
        <v>-6075211.2940093931</v>
      </c>
      <c r="J93" s="174">
        <f ca="1">IF(AND(C93&gt;=1,C93&lt;anal_period),WorkingCap*SUM(N93:R93)-WorkingCap*SUM(N92:R92),IF(C93&lt;0,0,IF(B93="","",-SUM(J$65:J92))))</f>
        <v>-1123243.0084278435</v>
      </c>
      <c r="K93" s="174" t="str">
        <f t="shared" si="4"/>
        <v/>
      </c>
      <c r="L93" s="174" t="str">
        <f t="shared" si="5"/>
        <v/>
      </c>
      <c r="M93" s="174" t="str">
        <f t="shared" si="6"/>
        <v/>
      </c>
      <c r="N93" s="174">
        <f t="shared" ca="1" si="7"/>
        <v>-52023999.481952541</v>
      </c>
      <c r="O93" s="174">
        <f t="shared" ca="1" si="8"/>
        <v>-410897233.83753347</v>
      </c>
      <c r="P93" s="174">
        <f t="shared" ca="1" si="9"/>
        <v>-7943928.870229424</v>
      </c>
      <c r="Q93" s="174">
        <f t="shared" ca="1" si="10"/>
        <v>0</v>
      </c>
      <c r="R93" s="174">
        <f t="shared" ca="1" si="11"/>
        <v>-70131420.265789747</v>
      </c>
      <c r="S93" s="174">
        <f ca="1">IF(B93="","",IF($B$31=0,"",-'Debt Financing Calculations'!E42))</f>
        <v>-15924551.331836978</v>
      </c>
      <c r="T93" s="174">
        <f t="shared" ca="1" si="12"/>
        <v>34460964.769747734</v>
      </c>
      <c r="U93" s="174">
        <f ca="1">IF(C93="","",IF(C93&lt;-1,0,IF(C93=anal_period,-LOOKUP(C93,depr_yr,depr_cost)-Depreciation!$C$141-Depreciation!$B$166,-LOOKUP(C93,depr_yr,depr_cost))))</f>
        <v>-5144817.5823814152</v>
      </c>
      <c r="V93" s="174">
        <f t="shared" ca="1" si="13"/>
        <v>29316147.187366318</v>
      </c>
      <c r="W93" s="175">
        <f t="shared" si="14"/>
        <v>0.25739999999999996</v>
      </c>
      <c r="X93" s="174">
        <f t="shared" ca="1" si="15"/>
        <v>-7545976.286028089</v>
      </c>
      <c r="Y93" s="174">
        <f t="shared" ca="1" si="16"/>
        <v>26914988.483719647</v>
      </c>
      <c r="Z93" s="174">
        <f>IF(C93="","",IF($B$31=0,"",-'Debt Financing Calculations'!F42))</f>
        <v>0</v>
      </c>
      <c r="AA93" s="174">
        <f t="shared" ca="1" si="17"/>
        <v>19716534.181282409</v>
      </c>
      <c r="AB93" s="174">
        <f t="shared" ca="1" si="23"/>
        <v>539088740.15786517</v>
      </c>
      <c r="AC93" s="884">
        <f t="shared" ca="1" si="18"/>
        <v>27262510.467310496</v>
      </c>
      <c r="AE93" s="888">
        <f t="shared" ca="1" si="19"/>
        <v>216810000</v>
      </c>
      <c r="AF93" s="884">
        <f t="shared" si="20"/>
        <v>0</v>
      </c>
    </row>
    <row r="94" spans="1:32" x14ac:dyDescent="0.25">
      <c r="A94" s="52">
        <f t="shared" si="21"/>
        <v>2041</v>
      </c>
      <c r="B94" s="172">
        <f>IF(MAX($B$65:B93)&lt;(construct+anal_period),B93+1,"")</f>
        <v>30</v>
      </c>
      <c r="C94" s="172">
        <f t="shared" si="22"/>
        <v>27</v>
      </c>
      <c r="D94" s="172">
        <f t="shared" si="1"/>
        <v>27</v>
      </c>
      <c r="E94" s="173">
        <f t="shared" si="2"/>
        <v>1.631281023678969</v>
      </c>
      <c r="F94" s="53">
        <f t="shared" ca="1" si="3"/>
        <v>602618358.42967451</v>
      </c>
      <c r="G94" s="897"/>
      <c r="H94" s="906">
        <f t="shared" si="24"/>
        <v>0</v>
      </c>
      <c r="I94" s="174">
        <f ca="1">IF(OR(C94&lt;0,C94=""),"",-E94*INDEX('Replacement Costs'!$A$16:$H$57,MATCH(C94,'Replacement Costs'!$C$16:$C$57,0),MATCH("Total Yearly Replacement Costs",'Replacement Costs'!$A$16:$H$16,0)))</f>
        <v>-6190640.3085955717</v>
      </c>
      <c r="J94" s="174">
        <f ca="1">IF(AND(C94&gt;=1,C94&lt;anal_period),WorkingCap*SUM(N94:R94)-WorkingCap*SUM(N93:R93),IF(C94&lt;0,0,IF(B94="","",-SUM(J$65:J93))))</f>
        <v>-1539694.6340384781</v>
      </c>
      <c r="K94" s="174" t="str">
        <f t="shared" si="4"/>
        <v/>
      </c>
      <c r="L94" s="174" t="str">
        <f t="shared" si="5"/>
        <v/>
      </c>
      <c r="M94" s="174" t="str">
        <f t="shared" si="6"/>
        <v/>
      </c>
      <c r="N94" s="174">
        <f t="shared" ca="1" si="7"/>
        <v>-53012455.472109638</v>
      </c>
      <c r="O94" s="174">
        <f t="shared" ca="1" si="8"/>
        <v>-418689977.10738188</v>
      </c>
      <c r="P94" s="174">
        <f t="shared" ca="1" si="9"/>
        <v>-8094863.5187637834</v>
      </c>
      <c r="Q94" s="174">
        <f t="shared" ca="1" si="10"/>
        <v>0</v>
      </c>
      <c r="R94" s="174">
        <f t="shared" ca="1" si="11"/>
        <v>-71463917.250839755</v>
      </c>
      <c r="S94" s="174">
        <f ca="1">IF(B94="","",IF($B$31=0,"",-'Debt Financing Calculations'!E43))</f>
        <v>-15924551.331836978</v>
      </c>
      <c r="T94" s="174">
        <f t="shared" ca="1" si="12"/>
        <v>35432593.74874258</v>
      </c>
      <c r="U94" s="174">
        <f ca="1">IF(C94="","",IF(C94&lt;-1,0,IF(C94=anal_period,-LOOKUP(C94,depr_yr,depr_cost)-Depreciation!$C$141-Depreciation!$B$166,-LOOKUP(C94,depr_yr,depr_cost))))</f>
        <v>-5242569.1164466636</v>
      </c>
      <c r="V94" s="174">
        <f t="shared" ca="1" si="13"/>
        <v>30190024.632295918</v>
      </c>
      <c r="W94" s="175">
        <f t="shared" si="14"/>
        <v>0.25739999999999996</v>
      </c>
      <c r="X94" s="174">
        <f t="shared" ca="1" si="15"/>
        <v>-7770912.3403529683</v>
      </c>
      <c r="Y94" s="174">
        <f t="shared" ca="1" si="16"/>
        <v>27661681.408389613</v>
      </c>
      <c r="Z94" s="174">
        <f>IF(C94="","",IF($B$31=0,"",-'Debt Financing Calculations'!F43))</f>
        <v>0</v>
      </c>
      <c r="AA94" s="174">
        <f t="shared" ca="1" si="17"/>
        <v>19931346.465755563</v>
      </c>
      <c r="AB94" s="174">
        <f t="shared" ca="1" si="23"/>
        <v>559020086.62362075</v>
      </c>
      <c r="AC94" s="884">
        <f t="shared" ca="1" si="18"/>
        <v>27702258.806108531</v>
      </c>
      <c r="AE94" s="888">
        <f t="shared" ca="1" si="19"/>
        <v>216810000</v>
      </c>
      <c r="AF94" s="884">
        <f t="shared" si="20"/>
        <v>0</v>
      </c>
    </row>
    <row r="95" spans="1:32" x14ac:dyDescent="0.25">
      <c r="A95" s="52">
        <f t="shared" si="21"/>
        <v>2042</v>
      </c>
      <c r="B95" s="172">
        <f>IF(MAX($B$65:B94)&lt;(construct+anal_period),B94+1,"")</f>
        <v>31</v>
      </c>
      <c r="C95" s="172">
        <f t="shared" si="22"/>
        <v>28</v>
      </c>
      <c r="D95" s="172">
        <f t="shared" si="1"/>
        <v>28</v>
      </c>
      <c r="E95" s="173">
        <f t="shared" si="2"/>
        <v>1.6622753631288694</v>
      </c>
      <c r="F95" s="53">
        <f t="shared" ca="1" si="3"/>
        <v>614068107.23983824</v>
      </c>
      <c r="G95" s="897"/>
      <c r="H95" s="906">
        <f t="shared" si="24"/>
        <v>0</v>
      </c>
      <c r="I95" s="174">
        <f ca="1">IF(OR(C95&lt;0,C95=""),"",-E95*INDEX('Replacement Costs'!$A$16:$H$57,MATCH(C95,'Replacement Costs'!$C$16:$C$57,0),MATCH("Total Yearly Replacement Costs",'Replacement Costs'!$A$16:$H$16,0)))</f>
        <v>-6308262.4744588882</v>
      </c>
      <c r="J95" s="174">
        <f ca="1">IF(AND(C95&gt;=1,C95&lt;anal_period),WorkingCap*SUM(N95:R95)-WorkingCap*SUM(N94:R94),IF(C95&lt;0,0,IF(B95="","",-SUM(J$65:J94))))</f>
        <v>-2065803.512074545</v>
      </c>
      <c r="K95" s="174" t="str">
        <f t="shared" si="4"/>
        <v/>
      </c>
      <c r="L95" s="174" t="str">
        <f t="shared" si="5"/>
        <v/>
      </c>
      <c r="M95" s="174" t="str">
        <f t="shared" si="6"/>
        <v/>
      </c>
      <c r="N95" s="174">
        <f t="shared" ca="1" si="7"/>
        <v>-54019692.126079723</v>
      </c>
      <c r="O95" s="174">
        <f t="shared" ca="1" si="8"/>
        <v>-429943147.03261948</v>
      </c>
      <c r="P95" s="174">
        <f t="shared" ca="1" si="9"/>
        <v>-8248665.9256202951</v>
      </c>
      <c r="Q95" s="174">
        <f t="shared" ca="1" si="10"/>
        <v>0</v>
      </c>
      <c r="R95" s="174">
        <f t="shared" ca="1" si="11"/>
        <v>-72821731.678605705</v>
      </c>
      <c r="S95" s="174">
        <f ca="1">IF(B95="","",IF($B$31=0,"",-'Debt Financing Calculations'!E44))</f>
        <v>-15924551.331836978</v>
      </c>
      <c r="T95" s="174">
        <f t="shared" ca="1" si="12"/>
        <v>33110319.145076036</v>
      </c>
      <c r="U95" s="174">
        <f ca="1">IF(C95="","",IF(C95&lt;-1,0,IF(C95=anal_period,-LOOKUP(C95,depr_yr,depr_cost)-Depreciation!$C$141-Depreciation!$B$166,-LOOKUP(C95,depr_yr,depr_cost))))</f>
        <v>-5342177.9296591505</v>
      </c>
      <c r="V95" s="174">
        <f t="shared" ca="1" si="13"/>
        <v>27768141.215416886</v>
      </c>
      <c r="W95" s="175">
        <f t="shared" si="14"/>
        <v>0.25739999999999996</v>
      </c>
      <c r="X95" s="174">
        <f t="shared" ca="1" si="15"/>
        <v>-7147519.5488483058</v>
      </c>
      <c r="Y95" s="174">
        <f t="shared" ca="1" si="16"/>
        <v>25962799.596227732</v>
      </c>
      <c r="Z95" s="174">
        <f>IF(C95="","",IF($B$31=0,"",-'Debt Financing Calculations'!F44))</f>
        <v>0</v>
      </c>
      <c r="AA95" s="174">
        <f t="shared" ca="1" si="17"/>
        <v>17588733.609694298</v>
      </c>
      <c r="AB95" s="174">
        <f t="shared" ca="1" si="23"/>
        <v>576608820.23331499</v>
      </c>
      <c r="AC95" s="884">
        <f t="shared" ca="1" si="18"/>
        <v>24736253.158542603</v>
      </c>
      <c r="AE95" s="888">
        <f t="shared" ca="1" si="19"/>
        <v>216810000</v>
      </c>
      <c r="AF95" s="884">
        <f t="shared" si="20"/>
        <v>0</v>
      </c>
    </row>
    <row r="96" spans="1:32" x14ac:dyDescent="0.25">
      <c r="A96" s="52">
        <f t="shared" si="21"/>
        <v>2043</v>
      </c>
      <c r="B96" s="172">
        <f>IF(MAX($B$65:B95)&lt;(construct+anal_period),B95+1,"")</f>
        <v>32</v>
      </c>
      <c r="C96" s="172">
        <f t="shared" si="22"/>
        <v>29</v>
      </c>
      <c r="D96" s="172">
        <f t="shared" si="1"/>
        <v>29</v>
      </c>
      <c r="E96" s="173">
        <f t="shared" si="2"/>
        <v>1.6938585950283176</v>
      </c>
      <c r="F96" s="53">
        <f t="shared" ca="1" si="3"/>
        <v>625735401.27739513</v>
      </c>
      <c r="G96" s="897"/>
      <c r="H96" s="906">
        <f t="shared" si="24"/>
        <v>0</v>
      </c>
      <c r="I96" s="174">
        <f ca="1">IF(OR(C96&lt;0,C96=""),"",-E96*INDEX('Replacement Costs'!$A$16:$H$57,MATCH(C96,'Replacement Costs'!$C$16:$C$57,0),MATCH("Total Yearly Replacement Costs",'Replacement Costs'!$A$16:$H$16,0)))</f>
        <v>-6428119.4614736056</v>
      </c>
      <c r="J96" s="174">
        <f ca="1">IF(AND(C96&gt;=1,C96&lt;anal_period),WorkingCap*SUM(N96:R96)-WorkingCap*SUM(N95:R95),IF(C96&lt;0,0,IF(B96="","",-SUM(J$65:J95))))</f>
        <v>-2400658.3684610724</v>
      </c>
      <c r="K96" s="174" t="str">
        <f t="shared" si="4"/>
        <v/>
      </c>
      <c r="L96" s="174" t="str">
        <f t="shared" si="5"/>
        <v/>
      </c>
      <c r="M96" s="174" t="str">
        <f t="shared" si="6"/>
        <v/>
      </c>
      <c r="N96" s="174">
        <f t="shared" ca="1" si="7"/>
        <v>-55046066.276475228</v>
      </c>
      <c r="O96" s="174">
        <f t="shared" ca="1" si="8"/>
        <v>-443380824.45081758</v>
      </c>
      <c r="P96" s="174">
        <f t="shared" ca="1" si="9"/>
        <v>-8405390.5782070793</v>
      </c>
      <c r="Q96" s="174">
        <f t="shared" ca="1" si="10"/>
        <v>0</v>
      </c>
      <c r="R96" s="174">
        <f t="shared" ca="1" si="11"/>
        <v>-74205344.580499202</v>
      </c>
      <c r="S96" s="174">
        <f ca="1">IF(B96="","",IF($B$31=0,"",-'Debt Financing Calculations'!E45))</f>
        <v>-15924551.331836978</v>
      </c>
      <c r="T96" s="174">
        <f t="shared" ca="1" si="12"/>
        <v>28773224.059559107</v>
      </c>
      <c r="U96" s="174">
        <f ca="1">IF(C96="","",IF(C96&lt;-1,0,IF(C96=anal_period,-LOOKUP(C96,depr_yr,depr_cost)-Depreciation!$C$141-Depreciation!$B$166,-LOOKUP(C96,depr_yr,depr_cost))))</f>
        <v>-5443679.310322674</v>
      </c>
      <c r="V96" s="174">
        <f t="shared" ca="1" si="13"/>
        <v>23329544.749236435</v>
      </c>
      <c r="W96" s="175">
        <f t="shared" si="14"/>
        <v>0.25739999999999996</v>
      </c>
      <c r="X96" s="174">
        <f t="shared" ca="1" si="15"/>
        <v>-6005024.8184534572</v>
      </c>
      <c r="Y96" s="174">
        <f t="shared" ca="1" si="16"/>
        <v>22768199.24110565</v>
      </c>
      <c r="Z96" s="174">
        <f>IF(C96="","",IF($B$31=0,"",-'Debt Financing Calculations'!F45))</f>
        <v>0</v>
      </c>
      <c r="AA96" s="174">
        <f t="shared" ca="1" si="17"/>
        <v>13939421.411170971</v>
      </c>
      <c r="AB96" s="174">
        <f t="shared" ca="1" si="23"/>
        <v>590548241.64448595</v>
      </c>
      <c r="AC96" s="884">
        <f t="shared" ca="1" si="18"/>
        <v>19944446.229624428</v>
      </c>
      <c r="AE96" s="888">
        <f t="shared" ca="1" si="19"/>
        <v>216810000</v>
      </c>
      <c r="AF96" s="884">
        <f t="shared" si="20"/>
        <v>0</v>
      </c>
    </row>
    <row r="97" spans="1:32" x14ac:dyDescent="0.25">
      <c r="A97" s="52">
        <f t="shared" si="21"/>
        <v>2044</v>
      </c>
      <c r="B97" s="172">
        <f>IF(MAX($B$65:B96)&lt;(construct+anal_period),B96+1,"")</f>
        <v>33</v>
      </c>
      <c r="C97" s="172">
        <f t="shared" si="22"/>
        <v>30</v>
      </c>
      <c r="D97" s="172">
        <f t="shared" ref="D97:D113" si="25">IF(C97="","",IF(C97&lt;=plant_life,C97,IF(D96=plant_life,1,D96+1)))</f>
        <v>30</v>
      </c>
      <c r="E97" s="173">
        <f t="shared" ref="E97:E113" si="26">IF(C97="","",(1+inflation_rate)^(A97-$B$25))</f>
        <v>1.7260419083338554</v>
      </c>
      <c r="F97" s="53">
        <f t="shared" ref="F97:F113" ca="1" si="27">IF(C97="","",IF(C97&lt;0,0,IF(AND(C97=1,start_time&lt;1),E97*(H2_price_nominal*output_kgyear*start_time*percnt_revs+H2_price_nominal*output_kgyear*(1-start_time)),IF(C97&lt;=start_time,H2_price_nominal*E97*output_kgyear*percnt_revs,H2_price_nominal*output_kgyear*E97))))</f>
        <v>637624373.90166557</v>
      </c>
      <c r="G97" s="897"/>
      <c r="H97" s="906">
        <f t="shared" si="24"/>
        <v>0</v>
      </c>
      <c r="I97" s="174">
        <f ca="1">IF(OR(C97&lt;0,C97=""),"",-E97*INDEX('Replacement Costs'!$A$16:$H$57,MATCH(C97,'Replacement Costs'!$C$16:$C$57,0),MATCH("Total Yearly Replacement Costs",'Replacement Costs'!$A$16:$H$16,0)))</f>
        <v>-6550253.7312416034</v>
      </c>
      <c r="J97" s="174">
        <f ca="1">IF(AND(C97&gt;=1,C97&lt;anal_period),WorkingCap*SUM(N97:R97)-WorkingCap*SUM(N96:R96),IF(C97&lt;0,0,IF(B97="","",-SUM(J$65:J96))))</f>
        <v>-2233090.9812876284</v>
      </c>
      <c r="K97" s="174" t="str">
        <f t="shared" ref="K97:K113" si="28">IF(C97=-construct,-E97*non_dep_infl,"")</f>
        <v/>
      </c>
      <c r="L97" s="174" t="str">
        <f t="shared" ref="L97:L113" si="29">IF(C97=anal_period,salvage*E97,"")</f>
        <v/>
      </c>
      <c r="M97" s="174" t="str">
        <f t="shared" ref="M97:M113" si="30">IF(D97=plant_life,-E97*decom,"")</f>
        <v/>
      </c>
      <c r="N97" s="174">
        <f t="shared" ref="N97:N113" ca="1" si="31">IF(C97="","",IF(C97&lt;0,0,IF(AND(C97=1,start_time&lt;1),-(inflated_fixed*percnt_fixed*start_time+(inflated_fixed*(1-start_time))),IF(C97&lt;=start_time,-inflated_fixed*percnt_fixed*E97,-inflated_fixed*E97))))</f>
        <v>-56091941.535728246</v>
      </c>
      <c r="O97" s="174">
        <f t="shared" ref="O97:O109" ca="1" si="32">IF(C97="","",IF(C97&lt;0,0,IF(AND(C97=1,start_time&lt;1),-(SUM(B171:E171)*output_kgyear*E97*percnt_var*start_time+SUM(B171:E171)*output_kgyear*E97*(1-start_time)),IF(C97&lt;=start_time,-SUM(B171:E171)*output_kgyear*E97*percnt_var,-SUM(B171:E171)*output_kgyear*E97))))</f>
        <v>-455652618.43213326</v>
      </c>
      <c r="P97" s="174">
        <f t="shared" ref="P97:P113" ca="1" si="33">IF(C97="","",IF(C97&lt;0,0,IF(AND(C97=1,start_time&lt;1),-(inflated_otherraw*E97*percnt_var*start_time+inflated_otherraw*E97*(1-start_time)),IF(C97&lt;=start_time,-inflated_otherraw*E97*percnt_var,-(inflated_otherraw*E97)))))</f>
        <v>-8565092.9991930127</v>
      </c>
      <c r="Q97" s="174">
        <f t="shared" ca="1" si="10"/>
        <v>0</v>
      </c>
      <c r="R97" s="174">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-75615246.127528682</v>
      </c>
      <c r="S97" s="174">
        <f ca="1">IF(B97="","",IF($B$31=0,"",-'Debt Financing Calculations'!E46))</f>
        <v>-15924551.331836978</v>
      </c>
      <c r="T97" s="174">
        <f t="shared" ref="T97:T113" ca="1" si="35">IF(C97="","",F97+SUM(L97:S97))</f>
        <v>25774923.475245357</v>
      </c>
      <c r="U97" s="174">
        <f ca="1">IF(C97="","",IF(C97&lt;-1,0,IF(C97=anal_period,-LOOKUP(C97,depr_yr,depr_cost)-Depreciation!$C$141-Depreciation!$B$166,-LOOKUP(C97,depr_yr,depr_cost))))</f>
        <v>-5547109.2172188032</v>
      </c>
      <c r="V97" s="174">
        <f t="shared" ref="V97:V113" ca="1" si="36">IF(C97="","",SUM(T97:U97))</f>
        <v>20227814.258026555</v>
      </c>
      <c r="W97" s="175">
        <f t="shared" ref="W97:W113" si="37">IF(C97="","",$B$33)</f>
        <v>0.25739999999999996</v>
      </c>
      <c r="X97" s="174">
        <f t="shared" ref="X97:X113" ca="1" si="38">IF(C97="","",tax_credit-(V97*W97 +Upstream_CO2_taxpYear + Proc_CO2_taxpYear))</f>
        <v>-5206639.3900160342</v>
      </c>
      <c r="Y97" s="174">
        <f t="shared" ref="Y97:Y113" ca="1" si="39">IF(C97="","",SUM(T97,X97))</f>
        <v>20568284.085229322</v>
      </c>
      <c r="Z97" s="174">
        <f>IF(C97="","",IF($B$31=0,"",-'Debt Financing Calculations'!F46))</f>
        <v>0</v>
      </c>
      <c r="AA97" s="174">
        <f t="shared" ref="AA97:AA113" ca="1" si="40">IF(C97="","",SUM(H97,I97,J97,K97,T97,X97,Z97))</f>
        <v>11784939.372700091</v>
      </c>
      <c r="AB97" s="174">
        <f t="shared" ca="1" si="23"/>
        <v>602333181.01718605</v>
      </c>
      <c r="AC97" s="884">
        <f t="shared" ref="AC97:AC113" ca="1" si="41">IF(C97="","",SUM(H97,I97,J97,K97,T97,Z97))</f>
        <v>16991578.762716126</v>
      </c>
      <c r="AE97" s="888">
        <f t="shared" ref="AE97:AE113" ca="1" si="42">IF(C97="","",IF(C97&lt;0,0,IF(AND(C97=1,start_time&lt;1),(output_kgyear*start_time*percnt_revs+output_kgyear*(1-start_time)),IF(C97&lt;=start_time,output_kgyear*percnt_revs,output_kgyear))))</f>
        <v>216810000</v>
      </c>
      <c r="AF97" s="884">
        <f t="shared" ref="AF97:AF113" si="43">IF(C97="","",tax_credit)</f>
        <v>0</v>
      </c>
    </row>
    <row r="98" spans="1:32" x14ac:dyDescent="0.25">
      <c r="A98" s="52">
        <f t="shared" si="21"/>
        <v>2045</v>
      </c>
      <c r="B98" s="172">
        <f>IF(MAX($B$65:B97)&lt;(construct+anal_period),B97+1,"")</f>
        <v>34</v>
      </c>
      <c r="C98" s="172">
        <f t="shared" si="22"/>
        <v>31</v>
      </c>
      <c r="D98" s="172">
        <f t="shared" si="25"/>
        <v>31</v>
      </c>
      <c r="E98" s="173">
        <f t="shared" si="26"/>
        <v>1.7588367045921991</v>
      </c>
      <c r="F98" s="53">
        <f t="shared" ca="1" si="27"/>
        <v>649739237.00579739</v>
      </c>
      <c r="G98" s="897"/>
      <c r="H98" s="906">
        <f t="shared" si="24"/>
        <v>0</v>
      </c>
      <c r="I98" s="174">
        <f ca="1">IF(OR(C98&lt;0,C98=""),"",-E98*INDEX('Replacement Costs'!$A$16:$H$57,MATCH(C98,'Replacement Costs'!$C$16:$C$57,0),MATCH("Total Yearly Replacement Costs",'Replacement Costs'!$A$16:$H$16,0)))</f>
        <v>-6674708.5521351956</v>
      </c>
      <c r="J98" s="174">
        <f ca="1">IF(AND(C98&gt;=1,C98&lt;anal_period),WorkingCap*SUM(N98:R98)-WorkingCap*SUM(N97:R97),IF(C98&lt;0,0,IF(B98="","",-SUM(J$65:J97))))</f>
        <v>-2452123.8584465235</v>
      </c>
      <c r="K98" s="174" t="str">
        <f t="shared" si="28"/>
        <v/>
      </c>
      <c r="L98" s="174" t="str">
        <f t="shared" si="29"/>
        <v/>
      </c>
      <c r="M98" s="174" t="str">
        <f t="shared" si="30"/>
        <v/>
      </c>
      <c r="N98" s="174">
        <f t="shared" ca="1" si="31"/>
        <v>-57157688.424907103</v>
      </c>
      <c r="O98" s="174">
        <f t="shared" ca="1" si="32"/>
        <v>-469334937.48919034</v>
      </c>
      <c r="P98" s="174">
        <f t="shared" ca="1" si="33"/>
        <v>-8727829.7661776822</v>
      </c>
      <c r="Q98" s="174">
        <f t="shared" ca="1" si="10"/>
        <v>0</v>
      </c>
      <c r="R98" s="174">
        <f t="shared" ca="1" si="34"/>
        <v>-77051935.80395174</v>
      </c>
      <c r="S98" s="174">
        <f ca="1">IF(B98="","",IF($B$31=0,"",-'Debt Financing Calculations'!E47))</f>
        <v>-15924551.331836978</v>
      </c>
      <c r="T98" s="174">
        <f t="shared" ca="1" si="35"/>
        <v>21542294.189733624</v>
      </c>
      <c r="U98" s="174">
        <f ca="1">IF(C98="","",IF(C98&lt;-1,0,IF(C98=anal_period,-LOOKUP(C98,depr_yr,depr_cost)-Depreciation!$C$141-Depreciation!$B$166,-LOOKUP(C98,depr_yr,depr_cost))))</f>
        <v>-5652504.2923459625</v>
      </c>
      <c r="V98" s="174">
        <f t="shared" ca="1" si="36"/>
        <v>15889789.897387661</v>
      </c>
      <c r="W98" s="175">
        <f t="shared" si="37"/>
        <v>0.25739999999999996</v>
      </c>
      <c r="X98" s="174">
        <f t="shared" ca="1" si="38"/>
        <v>-4090031.9195875833</v>
      </c>
      <c r="Y98" s="174">
        <f t="shared" ca="1" si="39"/>
        <v>17452262.270146042</v>
      </c>
      <c r="Z98" s="174">
        <f>IF(C98="","",IF($B$31=0,"",-'Debt Financing Calculations'!F47))</f>
        <v>0</v>
      </c>
      <c r="AA98" s="174">
        <f t="shared" ca="1" si="40"/>
        <v>8325429.859564322</v>
      </c>
      <c r="AB98" s="174">
        <f t="shared" ca="1" si="23"/>
        <v>610658610.87675035</v>
      </c>
      <c r="AC98" s="884">
        <f t="shared" ca="1" si="41"/>
        <v>12415461.779151905</v>
      </c>
      <c r="AE98" s="888">
        <f t="shared" ca="1" si="42"/>
        <v>216810000</v>
      </c>
      <c r="AF98" s="884">
        <f t="shared" si="43"/>
        <v>0</v>
      </c>
    </row>
    <row r="99" spans="1:32" x14ac:dyDescent="0.25">
      <c r="A99" s="52">
        <f t="shared" si="21"/>
        <v>2046</v>
      </c>
      <c r="B99" s="172">
        <f>IF(MAX($B$65:B98)&lt;(construct+anal_period),B98+1,"")</f>
        <v>35</v>
      </c>
      <c r="C99" s="172">
        <f t="shared" si="22"/>
        <v>32</v>
      </c>
      <c r="D99" s="172">
        <f t="shared" si="25"/>
        <v>32</v>
      </c>
      <c r="E99" s="173">
        <f t="shared" si="26"/>
        <v>1.7922546019794507</v>
      </c>
      <c r="F99" s="53">
        <f t="shared" ca="1" si="27"/>
        <v>662084282.50890744</v>
      </c>
      <c r="G99" s="897"/>
      <c r="H99" s="906">
        <f t="shared" si="24"/>
        <v>0</v>
      </c>
      <c r="I99" s="174">
        <f ca="1">IF(OR(C99&lt;0,C99=""),"",-E99*INDEX('Replacement Costs'!$A$16:$H$57,MATCH(C99,'Replacement Costs'!$C$16:$C$57,0),MATCH("Total Yearly Replacement Costs",'Replacement Costs'!$A$16:$H$16,0)))</f>
        <v>-6801528.0146257635</v>
      </c>
      <c r="J99" s="174">
        <f ca="1">IF(AND(C99&gt;=1,C99&lt;anal_period),WorkingCap*SUM(N99:R99)-WorkingCap*SUM(N98:R98),IF(C99&lt;0,0,IF(B99="","",-SUM(J$65:J98))))</f>
        <v>-2346498.1161181033</v>
      </c>
      <c r="K99" s="174" t="str">
        <f t="shared" si="28"/>
        <v/>
      </c>
      <c r="L99" s="174" t="str">
        <f t="shared" si="29"/>
        <v/>
      </c>
      <c r="M99" s="174" t="str">
        <f t="shared" si="30"/>
        <v/>
      </c>
      <c r="N99" s="174">
        <f t="shared" ca="1" si="31"/>
        <v>-58243684.504980333</v>
      </c>
      <c r="O99" s="174">
        <f t="shared" ca="1" si="32"/>
        <v>-482262446.63740522</v>
      </c>
      <c r="P99" s="174">
        <f t="shared" ca="1" si="33"/>
        <v>-8893658.531735057</v>
      </c>
      <c r="Q99" s="174">
        <f t="shared" ca="1" si="10"/>
        <v>0</v>
      </c>
      <c r="R99" s="174">
        <f t="shared" ca="1" si="34"/>
        <v>-78515922.584226817</v>
      </c>
      <c r="S99" s="174">
        <f ca="1">IF(B99="","",IF($B$31=0,"",-'Debt Financing Calculations'!E48))</f>
        <v>-15924551.331836978</v>
      </c>
      <c r="T99" s="174">
        <f t="shared" ca="1" si="35"/>
        <v>18244018.918722987</v>
      </c>
      <c r="U99" s="174">
        <f ca="1">IF(C99="","",IF(C99&lt;-1,0,IF(C99=anal_period,-LOOKUP(C99,depr_yr,depr_cost)-Depreciation!$C$141-Depreciation!$B$166,-LOOKUP(C99,depr_yr,depr_cost))))</f>
        <v>-5759901.8739005327</v>
      </c>
      <c r="V99" s="174">
        <f t="shared" ca="1" si="36"/>
        <v>12484117.044822454</v>
      </c>
      <c r="W99" s="175">
        <f t="shared" si="37"/>
        <v>0.25739999999999996</v>
      </c>
      <c r="X99" s="174">
        <f t="shared" ca="1" si="38"/>
        <v>-3213411.7273372994</v>
      </c>
      <c r="Y99" s="174">
        <f t="shared" ca="1" si="39"/>
        <v>15030607.191385688</v>
      </c>
      <c r="Z99" s="174">
        <f>IF(C99="","",IF($B$31=0,"",-'Debt Financing Calculations'!F48))</f>
        <v>0</v>
      </c>
      <c r="AA99" s="174">
        <f t="shared" ca="1" si="40"/>
        <v>5882581.0606418215</v>
      </c>
      <c r="AB99" s="174">
        <f t="shared" ca="1" si="23"/>
        <v>616541191.93739212</v>
      </c>
      <c r="AC99" s="884">
        <f t="shared" ca="1" si="41"/>
        <v>9095992.7879791204</v>
      </c>
      <c r="AE99" s="888">
        <f t="shared" ca="1" si="42"/>
        <v>216810000</v>
      </c>
      <c r="AF99" s="884">
        <f t="shared" si="43"/>
        <v>0</v>
      </c>
    </row>
    <row r="100" spans="1:32" x14ac:dyDescent="0.25">
      <c r="A100" s="52">
        <f t="shared" si="21"/>
        <v>2047</v>
      </c>
      <c r="B100" s="172">
        <f>IF(MAX($B$65:B99)&lt;(construct+anal_period),B99+1,"")</f>
        <v>36</v>
      </c>
      <c r="C100" s="172">
        <f t="shared" si="22"/>
        <v>33</v>
      </c>
      <c r="D100" s="172">
        <f t="shared" si="25"/>
        <v>33</v>
      </c>
      <c r="E100" s="173">
        <f t="shared" si="26"/>
        <v>1.8263074394170602</v>
      </c>
      <c r="F100" s="53">
        <f t="shared" ca="1" si="27"/>
        <v>674663883.87657666</v>
      </c>
      <c r="G100" s="897"/>
      <c r="H100" s="906">
        <f t="shared" si="24"/>
        <v>0</v>
      </c>
      <c r="I100" s="174">
        <f ca="1">IF(OR(C100&lt;0,C100=""),"",-E100*INDEX('Replacement Costs'!$A$16:$H$57,MATCH(C100,'Replacement Costs'!$C$16:$C$57,0),MATCH("Total Yearly Replacement Costs",'Replacement Costs'!$A$16:$H$16,0)))</f>
        <v>-6930757.0469036531</v>
      </c>
      <c r="J100" s="174">
        <f ca="1">IF(AND(C100&gt;=1,C100&lt;anal_period),WorkingCap*SUM(N100:R100)-WorkingCap*SUM(N99:R99),IF(C100&lt;0,0,IF(B100="","",-SUM(J$65:J99))))</f>
        <v>-2450107.2894177586</v>
      </c>
      <c r="K100" s="174" t="str">
        <f t="shared" si="28"/>
        <v/>
      </c>
      <c r="L100" s="174" t="str">
        <f t="shared" si="29"/>
        <v/>
      </c>
      <c r="M100" s="174" t="str">
        <f t="shared" si="30"/>
        <v/>
      </c>
      <c r="N100" s="174">
        <f t="shared" ca="1" si="31"/>
        <v>-59350314.510574952</v>
      </c>
      <c r="O100" s="174">
        <f t="shared" ca="1" si="32"/>
        <v>-495829083.18672568</v>
      </c>
      <c r="P100" s="174">
        <f t="shared" ca="1" si="33"/>
        <v>-9062638.0438380223</v>
      </c>
      <c r="Q100" s="174">
        <f t="shared" ca="1" si="10"/>
        <v>0</v>
      </c>
      <c r="R100" s="174">
        <f t="shared" ca="1" si="34"/>
        <v>-80007725.113327131</v>
      </c>
      <c r="S100" s="174">
        <f ca="1">IF(B100="","",IF($B$31=0,"",-'Debt Financing Calculations'!E49))</f>
        <v>-15924551.331836978</v>
      </c>
      <c r="T100" s="174">
        <f t="shared" ca="1" si="35"/>
        <v>14489571.690273881</v>
      </c>
      <c r="U100" s="174">
        <f ca="1">IF(C100="","",IF(C100&lt;-1,0,IF(C100=anal_period,-LOOKUP(C100,depr_yr,depr_cost)-Depreciation!$C$141-Depreciation!$B$166,-LOOKUP(C100,depr_yr,depr_cost))))</f>
        <v>-5869340.0095046451</v>
      </c>
      <c r="V100" s="174">
        <f t="shared" ca="1" si="36"/>
        <v>8620231.6807692349</v>
      </c>
      <c r="W100" s="175">
        <f t="shared" si="37"/>
        <v>0.25739999999999996</v>
      </c>
      <c r="X100" s="174">
        <f t="shared" ca="1" si="38"/>
        <v>-2218847.6346300007</v>
      </c>
      <c r="Y100" s="174">
        <f t="shared" ca="1" si="39"/>
        <v>12270724.055643881</v>
      </c>
      <c r="Z100" s="174">
        <f>IF(C100="","",IF($B$31=0,"",-'Debt Financing Calculations'!F49))</f>
        <v>0</v>
      </c>
      <c r="AA100" s="174">
        <f t="shared" ca="1" si="40"/>
        <v>2889859.7193224686</v>
      </c>
      <c r="AB100" s="174">
        <f t="shared" ca="1" si="23"/>
        <v>619431051.65671456</v>
      </c>
      <c r="AC100" s="884">
        <f t="shared" ca="1" si="41"/>
        <v>5108707.3539524693</v>
      </c>
      <c r="AE100" s="888">
        <f t="shared" ca="1" si="42"/>
        <v>216810000</v>
      </c>
      <c r="AF100" s="884">
        <f t="shared" si="43"/>
        <v>0</v>
      </c>
    </row>
    <row r="101" spans="1:32" x14ac:dyDescent="0.25">
      <c r="A101" s="52">
        <f t="shared" si="21"/>
        <v>2048</v>
      </c>
      <c r="B101" s="172">
        <f>IF(MAX($B$65:B100)&lt;(construct+anal_period),B100+1,"")</f>
        <v>37</v>
      </c>
      <c r="C101" s="172">
        <f t="shared" si="22"/>
        <v>34</v>
      </c>
      <c r="D101" s="172">
        <f t="shared" si="25"/>
        <v>34</v>
      </c>
      <c r="E101" s="173">
        <f t="shared" si="26"/>
        <v>1.8610072807659841</v>
      </c>
      <c r="F101" s="53">
        <f t="shared" ca="1" si="27"/>
        <v>687482497.67023146</v>
      </c>
      <c r="G101" s="897"/>
      <c r="H101" s="906">
        <f t="shared" si="24"/>
        <v>0</v>
      </c>
      <c r="I101" s="174">
        <f ca="1">IF(OR(C101&lt;0,C101=""),"",-E101*INDEX('Replacement Costs'!$A$16:$H$57,MATCH(C101,'Replacement Costs'!$C$16:$C$57,0),MATCH("Total Yearly Replacement Costs",'Replacement Costs'!$A$16:$H$16,0)))</f>
        <v>-7062441.4307948211</v>
      </c>
      <c r="J101" s="174">
        <f ca="1">IF(AND(C101&gt;=1,C101&lt;anal_period),WorkingCap*SUM(N101:R101)-WorkingCap*SUM(N100:R100),IF(C101&lt;0,0,IF(B101="","",-SUM(J$65:J100))))</f>
        <v>-2986049.8163261861</v>
      </c>
      <c r="K101" s="174" t="str">
        <f t="shared" si="28"/>
        <v/>
      </c>
      <c r="L101" s="174" t="str">
        <f t="shared" si="29"/>
        <v/>
      </c>
      <c r="M101" s="174" t="str">
        <f t="shared" si="30"/>
        <v/>
      </c>
      <c r="N101" s="174">
        <f t="shared" ca="1" si="31"/>
        <v>-60477970.486275867</v>
      </c>
      <c r="O101" s="174">
        <f t="shared" ca="1" si="32"/>
        <v>-512916089.08654666</v>
      </c>
      <c r="P101" s="174">
        <f t="shared" ca="1" si="33"/>
        <v>-9234828.1666709445</v>
      </c>
      <c r="Q101" s="174">
        <f t="shared" ca="1" si="10"/>
        <v>0</v>
      </c>
      <c r="R101" s="174">
        <f t="shared" ca="1" si="34"/>
        <v>-81527871.890480325</v>
      </c>
      <c r="S101" s="174">
        <f ca="1">IF(B101="","",IF($B$31=0,"",-'Debt Financing Calculations'!E50))</f>
        <v>-15924551.331836978</v>
      </c>
      <c r="T101" s="174">
        <f t="shared" ca="1" si="35"/>
        <v>7401186.7084207535</v>
      </c>
      <c r="U101" s="174">
        <f ca="1">IF(C101="","",IF(C101&lt;-1,0,IF(C101=anal_period,-LOOKUP(C101,depr_yr,depr_cost)-Depreciation!$C$141-Depreciation!$B$166,-LOOKUP(C101,depr_yr,depr_cost))))</f>
        <v>-5980857.4696852323</v>
      </c>
      <c r="V101" s="174">
        <f t="shared" ca="1" si="36"/>
        <v>1420329.2387355212</v>
      </c>
      <c r="W101" s="175">
        <f t="shared" si="37"/>
        <v>0.25739999999999996</v>
      </c>
      <c r="X101" s="174">
        <f t="shared" ca="1" si="38"/>
        <v>-365592.74605052313</v>
      </c>
      <c r="Y101" s="174">
        <f t="shared" ca="1" si="39"/>
        <v>7035593.9623702299</v>
      </c>
      <c r="Z101" s="174">
        <f>IF(C101="","",IF($B$31=0,"",-'Debt Financing Calculations'!F50))</f>
        <v>0</v>
      </c>
      <c r="AA101" s="174">
        <f t="shared" ca="1" si="40"/>
        <v>-3012897.2847507759</v>
      </c>
      <c r="AB101" s="174">
        <f t="shared" ca="1" si="23"/>
        <v>616418154.37196374</v>
      </c>
      <c r="AC101" s="884">
        <f t="shared" ca="1" si="41"/>
        <v>-2647304.5387002528</v>
      </c>
      <c r="AE101" s="888">
        <f t="shared" ca="1" si="42"/>
        <v>216810000</v>
      </c>
      <c r="AF101" s="884">
        <f t="shared" si="43"/>
        <v>0</v>
      </c>
    </row>
    <row r="102" spans="1:32" x14ac:dyDescent="0.25">
      <c r="A102" s="52">
        <f t="shared" si="21"/>
        <v>2049</v>
      </c>
      <c r="B102" s="172">
        <f>IF(MAX($B$65:B101)&lt;(construct+anal_period),B101+1,"")</f>
        <v>38</v>
      </c>
      <c r="C102" s="172">
        <f t="shared" si="22"/>
        <v>35</v>
      </c>
      <c r="D102" s="172">
        <f t="shared" si="25"/>
        <v>35</v>
      </c>
      <c r="E102" s="173">
        <f t="shared" si="26"/>
        <v>1.8963664191005378</v>
      </c>
      <c r="F102" s="53">
        <f t="shared" ca="1" si="27"/>
        <v>700544665.12596595</v>
      </c>
      <c r="G102" s="897"/>
      <c r="H102" s="906">
        <f t="shared" si="24"/>
        <v>0</v>
      </c>
      <c r="I102" s="174">
        <f ca="1">IF(OR(C102&lt;0,C102=""),"",-E102*INDEX('Replacement Costs'!$A$16:$H$57,MATCH(C102,'Replacement Costs'!$C$16:$C$57,0),MATCH("Total Yearly Replacement Costs",'Replacement Costs'!$A$16:$H$16,0)))</f>
        <v>-7196627.8179799225</v>
      </c>
      <c r="J102" s="174">
        <f ca="1">IF(AND(C102&gt;=1,C102&lt;anal_period),WorkingCap*SUM(N102:R102)-WorkingCap*SUM(N101:R101),IF(C102&lt;0,0,IF(B102="","",-SUM(J$65:J101))))</f>
        <v>-2307572.0546752065</v>
      </c>
      <c r="K102" s="174" t="str">
        <f t="shared" si="28"/>
        <v/>
      </c>
      <c r="L102" s="174" t="str">
        <f t="shared" si="29"/>
        <v/>
      </c>
      <c r="M102" s="174" t="str">
        <f t="shared" si="30"/>
        <v/>
      </c>
      <c r="N102" s="174">
        <f t="shared" ca="1" si="31"/>
        <v>-61627051.925515115</v>
      </c>
      <c r="O102" s="174">
        <f t="shared" ca="1" si="32"/>
        <v>-525426330.04405618</v>
      </c>
      <c r="P102" s="174">
        <f t="shared" ca="1" si="33"/>
        <v>-9410289.9018376917</v>
      </c>
      <c r="Q102" s="174">
        <f t="shared" ca="1" si="10"/>
        <v>0</v>
      </c>
      <c r="R102" s="174">
        <f t="shared" ca="1" si="34"/>
        <v>-83076901.456399456</v>
      </c>
      <c r="S102" s="174">
        <f ca="1">IF(B102="","",IF($B$31=0,"",-'Debt Financing Calculations'!E51))</f>
        <v>-15924551.331836978</v>
      </c>
      <c r="T102" s="174">
        <f t="shared" ca="1" si="35"/>
        <v>5079540.4663205147</v>
      </c>
      <c r="U102" s="174">
        <f ca="1">IF(C102="","",IF(C102&lt;-1,0,IF(C102=anal_period,-LOOKUP(C102,depr_yr,depr_cost)-Depreciation!$C$141-Depreciation!$B$166,-LOOKUP(C102,depr_yr,depr_cost))))</f>
        <v>-6094493.7616092516</v>
      </c>
      <c r="V102" s="174">
        <f t="shared" ca="1" si="36"/>
        <v>-1014953.2952887369</v>
      </c>
      <c r="W102" s="175">
        <f t="shared" si="37"/>
        <v>0.25739999999999996</v>
      </c>
      <c r="X102" s="174">
        <f t="shared" ca="1" si="38"/>
        <v>261248.97820732085</v>
      </c>
      <c r="Y102" s="174">
        <f t="shared" ca="1" si="39"/>
        <v>5340789.4445278356</v>
      </c>
      <c r="Z102" s="174">
        <f>IF(C102="","",IF($B$31=0,"",-'Debt Financing Calculations'!F51))</f>
        <v>0</v>
      </c>
      <c r="AA102" s="174">
        <f t="shared" ca="1" si="40"/>
        <v>-4163410.4281272935</v>
      </c>
      <c r="AB102" s="174">
        <f t="shared" ca="1" si="23"/>
        <v>612254743.94383645</v>
      </c>
      <c r="AC102" s="884">
        <f t="shared" ca="1" si="41"/>
        <v>-4424659.4063346144</v>
      </c>
      <c r="AE102" s="888">
        <f t="shared" ca="1" si="42"/>
        <v>216810000</v>
      </c>
      <c r="AF102" s="884">
        <f t="shared" si="43"/>
        <v>0</v>
      </c>
    </row>
    <row r="103" spans="1:32" x14ac:dyDescent="0.25">
      <c r="A103" s="52">
        <f t="shared" si="21"/>
        <v>2050</v>
      </c>
      <c r="B103" s="172">
        <f>IF(MAX($B$65:B102)&lt;(construct+anal_period),B102+1,"")</f>
        <v>39</v>
      </c>
      <c r="C103" s="172">
        <f t="shared" si="22"/>
        <v>36</v>
      </c>
      <c r="D103" s="172">
        <f t="shared" si="25"/>
        <v>36</v>
      </c>
      <c r="E103" s="173">
        <f t="shared" si="26"/>
        <v>1.932397381063448</v>
      </c>
      <c r="F103" s="53">
        <f t="shared" ca="1" si="27"/>
        <v>713855013.76335931</v>
      </c>
      <c r="G103" s="897"/>
      <c r="H103" s="906">
        <f t="shared" si="24"/>
        <v>0</v>
      </c>
      <c r="I103" s="174">
        <f ca="1">IF(OR(C103&lt;0,C103=""),"",-E103*INDEX('Replacement Costs'!$A$16:$H$57,MATCH(C103,'Replacement Costs'!$C$16:$C$57,0),MATCH("Total Yearly Replacement Costs",'Replacement Costs'!$A$16:$H$16,0)))</f>
        <v>-7333363.7465215418</v>
      </c>
      <c r="J103" s="174">
        <f ca="1">IF(AND(C103&gt;=1,C103&lt;anal_period),WorkingCap*SUM(N103:R103)-WorkingCap*SUM(N102:R102),IF(C103&lt;0,0,IF(B103="","",-SUM(J$65:J102))))</f>
        <v>-2789872.6070180982</v>
      </c>
      <c r="K103" s="174" t="str">
        <f t="shared" si="28"/>
        <v/>
      </c>
      <c r="L103" s="174" t="str">
        <f t="shared" si="29"/>
        <v/>
      </c>
      <c r="M103" s="174" t="str">
        <f t="shared" si="30"/>
        <v/>
      </c>
      <c r="N103" s="174">
        <f t="shared" ca="1" si="31"/>
        <v>-62797965.912099898</v>
      </c>
      <c r="O103" s="174">
        <f t="shared" ca="1" si="32"/>
        <v>-541097310.13511884</v>
      </c>
      <c r="P103" s="174">
        <f t="shared" ca="1" si="33"/>
        <v>-9589085.4099726081</v>
      </c>
      <c r="Q103" s="174">
        <f t="shared" ca="1" si="10"/>
        <v>0</v>
      </c>
      <c r="R103" s="174">
        <f t="shared" ca="1" si="34"/>
        <v>-84655362.58407104</v>
      </c>
      <c r="S103" s="174">
        <f ca="1">IF(B103="","",IF($B$31=0,"",-'Debt Financing Calculations'!E52))</f>
        <v>-15924551.331836978</v>
      </c>
      <c r="T103" s="174">
        <f t="shared" ca="1" si="35"/>
        <v>-209261.60974013805</v>
      </c>
      <c r="U103" s="174">
        <f ca="1">IF(C103="","",IF(C103&lt;-1,0,IF(C103=anal_period,-LOOKUP(C103,depr_yr,depr_cost)-Depreciation!$C$141-Depreciation!$B$166,-LOOKUP(C103,depr_yr,depr_cost))))</f>
        <v>-6210289.1430798266</v>
      </c>
      <c r="V103" s="174">
        <f t="shared" ca="1" si="36"/>
        <v>-6419550.7528199647</v>
      </c>
      <c r="W103" s="175">
        <f t="shared" si="37"/>
        <v>0.25739999999999996</v>
      </c>
      <c r="X103" s="174">
        <f t="shared" ca="1" si="38"/>
        <v>1652392.3637758587</v>
      </c>
      <c r="Y103" s="174">
        <f t="shared" ca="1" si="39"/>
        <v>1443130.7540357206</v>
      </c>
      <c r="Z103" s="174">
        <f>IF(C103="","",IF($B$31=0,"",-'Debt Financing Calculations'!F52))</f>
        <v>0</v>
      </c>
      <c r="AA103" s="174">
        <f t="shared" ca="1" si="40"/>
        <v>-8680105.5995039195</v>
      </c>
      <c r="AB103" s="174">
        <f t="shared" ca="1" si="23"/>
        <v>603574638.34433258</v>
      </c>
      <c r="AC103" s="884">
        <f t="shared" ca="1" si="41"/>
        <v>-10332497.963279778</v>
      </c>
      <c r="AE103" s="888">
        <f t="shared" ca="1" si="42"/>
        <v>216810000</v>
      </c>
      <c r="AF103" s="884">
        <f t="shared" si="43"/>
        <v>0</v>
      </c>
    </row>
    <row r="104" spans="1:32" x14ac:dyDescent="0.25">
      <c r="A104" s="52">
        <f t="shared" si="21"/>
        <v>2051</v>
      </c>
      <c r="B104" s="172">
        <f>IF(MAX($B$65:B103)&lt;(construct+anal_period),B103+1,"")</f>
        <v>40</v>
      </c>
      <c r="C104" s="172">
        <f t="shared" si="22"/>
        <v>37</v>
      </c>
      <c r="D104" s="172">
        <f t="shared" si="25"/>
        <v>37</v>
      </c>
      <c r="E104" s="173">
        <f t="shared" si="26"/>
        <v>1.9691129313036535</v>
      </c>
      <c r="F104" s="53">
        <f t="shared" ca="1" si="27"/>
        <v>727418259.02486312</v>
      </c>
      <c r="G104" s="897"/>
      <c r="H104" s="906">
        <f t="shared" si="24"/>
        <v>0</v>
      </c>
      <c r="I104" s="174">
        <f ca="1">IF(OR(C104&lt;0,C104=""),"",-E104*INDEX('Replacement Costs'!$A$16:$H$57,MATCH(C104,'Replacement Costs'!$C$16:$C$57,0),MATCH("Total Yearly Replacement Costs",'Replacement Costs'!$A$16:$H$16,0)))</f>
        <v>-7472697.6577054504</v>
      </c>
      <c r="J104" s="174">
        <f ca="1">IF(AND(C104&gt;=1,C104&lt;anal_period),WorkingCap*SUM(N104:R104)-WorkingCap*SUM(N103:R103),IF(C104&lt;0,0,IF(B104="","",-SUM(J$65:J103))))</f>
        <v>-2368141.8171334863</v>
      </c>
      <c r="K104" s="174" t="str">
        <f t="shared" si="28"/>
        <v/>
      </c>
      <c r="L104" s="174" t="str">
        <f t="shared" si="29"/>
        <v/>
      </c>
      <c r="M104" s="174" t="str">
        <f t="shared" si="30"/>
        <v/>
      </c>
      <c r="N104" s="174">
        <f t="shared" ca="1" si="31"/>
        <v>-63991127.264429793</v>
      </c>
      <c r="O104" s="174">
        <f t="shared" ca="1" si="32"/>
        <v>-553901116.38512552</v>
      </c>
      <c r="P104" s="174">
        <f t="shared" ca="1" si="33"/>
        <v>-9771278.0327620879</v>
      </c>
      <c r="Q104" s="174">
        <f t="shared" ca="1" si="10"/>
        <v>0</v>
      </c>
      <c r="R104" s="174">
        <f t="shared" ca="1" si="34"/>
        <v>-86263814.473168388</v>
      </c>
      <c r="S104" s="174">
        <f ca="1">IF(B104="","",IF($B$31=0,"",-'Debt Financing Calculations'!E53))</f>
        <v>-15924551.331836978</v>
      </c>
      <c r="T104" s="174">
        <f t="shared" ca="1" si="35"/>
        <v>-2433628.4624595642</v>
      </c>
      <c r="U104" s="174">
        <f ca="1">IF(C104="","",IF(C104&lt;-1,0,IF(C104=anal_period,-LOOKUP(C104,depr_yr,depr_cost)-Depreciation!$C$141-Depreciation!$B$166,-LOOKUP(C104,depr_yr,depr_cost))))</f>
        <v>-6328284.6367983427</v>
      </c>
      <c r="V104" s="174">
        <f t="shared" ca="1" si="36"/>
        <v>-8761913.0992579069</v>
      </c>
      <c r="W104" s="175">
        <f t="shared" si="37"/>
        <v>0.25739999999999996</v>
      </c>
      <c r="X104" s="174">
        <f t="shared" ca="1" si="38"/>
        <v>2255316.4317489848</v>
      </c>
      <c r="Y104" s="174">
        <f t="shared" ca="1" si="39"/>
        <v>-178312.03071057936</v>
      </c>
      <c r="Z104" s="174">
        <f>IF(C104="","",IF($B$31=0,"",-'Debt Financing Calculations'!F53))</f>
        <v>0</v>
      </c>
      <c r="AA104" s="174">
        <f t="shared" ca="1" si="40"/>
        <v>-10019151.505549517</v>
      </c>
      <c r="AB104" s="174">
        <f t="shared" ca="1" si="23"/>
        <v>593555486.83878303</v>
      </c>
      <c r="AC104" s="884">
        <f t="shared" ca="1" si="41"/>
        <v>-12274467.937298501</v>
      </c>
      <c r="AE104" s="888">
        <f t="shared" ca="1" si="42"/>
        <v>216810000</v>
      </c>
      <c r="AF104" s="884">
        <f t="shared" si="43"/>
        <v>0</v>
      </c>
    </row>
    <row r="105" spans="1:32" x14ac:dyDescent="0.25">
      <c r="A105" s="52">
        <f t="shared" si="21"/>
        <v>2052</v>
      </c>
      <c r="B105" s="172">
        <f>IF(MAX($B$65:B104)&lt;(construct+anal_period),B104+1,"")</f>
        <v>41</v>
      </c>
      <c r="C105" s="172">
        <f t="shared" si="22"/>
        <v>38</v>
      </c>
      <c r="D105" s="172">
        <f t="shared" si="25"/>
        <v>38</v>
      </c>
      <c r="E105" s="173">
        <f t="shared" si="26"/>
        <v>2.0065260769984223</v>
      </c>
      <c r="F105" s="53">
        <f t="shared" ca="1" si="27"/>
        <v>741239205.9463352</v>
      </c>
      <c r="G105" s="897"/>
      <c r="H105" s="906">
        <f t="shared" si="24"/>
        <v>0</v>
      </c>
      <c r="I105" s="174">
        <f ca="1">IF(OR(C105&lt;0,C105=""),"",-E105*INDEX('Replacement Costs'!$A$16:$H$57,MATCH(C105,'Replacement Costs'!$C$16:$C$57,0),MATCH("Total Yearly Replacement Costs",'Replacement Costs'!$A$16:$H$16,0)))</f>
        <v>-7614678.9132018518</v>
      </c>
      <c r="J105" s="174">
        <f ca="1">IF(AND(C105&gt;=1,C105&lt;anal_period),WorkingCap*SUM(N105:R105)-WorkingCap*SUM(N104:R104),IF(C105&lt;0,0,IF(B105="","",-SUM(J$65:J104))))</f>
        <v>-2422395.6274799705</v>
      </c>
      <c r="K105" s="174" t="str">
        <f t="shared" si="28"/>
        <v/>
      </c>
      <c r="L105" s="174" t="str">
        <f t="shared" si="29"/>
        <v/>
      </c>
      <c r="M105" s="174" t="str">
        <f t="shared" si="30"/>
        <v/>
      </c>
      <c r="N105" s="174">
        <f t="shared" ca="1" si="31"/>
        <v>-65206958.682453945</v>
      </c>
      <c r="O105" s="174">
        <f t="shared" ca="1" si="32"/>
        <v>-567009922.39268851</v>
      </c>
      <c r="P105" s="174">
        <f t="shared" ca="1" si="33"/>
        <v>-9956932.3153845649</v>
      </c>
      <c r="Q105" s="174">
        <f t="shared" ca="1" si="10"/>
        <v>0</v>
      </c>
      <c r="R105" s="174">
        <f t="shared" ca="1" si="34"/>
        <v>-87902826.948158562</v>
      </c>
      <c r="S105" s="174">
        <f ca="1">IF(B105="","",IF($B$31=0,"",-'Debt Financing Calculations'!E54))</f>
        <v>-15924551.331836978</v>
      </c>
      <c r="T105" s="174">
        <f t="shared" ca="1" si="35"/>
        <v>-4761985.7241872549</v>
      </c>
      <c r="U105" s="174">
        <f ca="1">IF(C105="","",IF(C105&lt;-1,0,IF(C105=anal_period,-LOOKUP(C105,depr_yr,depr_cost)-Depreciation!$C$141-Depreciation!$B$166,-LOOKUP(C105,depr_yr,depr_cost))))</f>
        <v>-6448522.0448975116</v>
      </c>
      <c r="V105" s="174">
        <f t="shared" ca="1" si="36"/>
        <v>-11210507.769084767</v>
      </c>
      <c r="W105" s="175">
        <f t="shared" si="37"/>
        <v>0.25739999999999996</v>
      </c>
      <c r="X105" s="174">
        <f t="shared" ca="1" si="38"/>
        <v>2885584.6997624184</v>
      </c>
      <c r="Y105" s="174">
        <f t="shared" ca="1" si="39"/>
        <v>-1876401.0244248365</v>
      </c>
      <c r="Z105" s="174">
        <f>IF(C105="","",IF($B$31=0,"",-'Debt Financing Calculations'!F54))</f>
        <v>0</v>
      </c>
      <c r="AA105" s="174">
        <f t="shared" ca="1" si="40"/>
        <v>-11913475.565106658</v>
      </c>
      <c r="AB105" s="174">
        <f t="shared" ca="1" si="23"/>
        <v>581642011.2736764</v>
      </c>
      <c r="AC105" s="884">
        <f t="shared" ca="1" si="41"/>
        <v>-14799060.264869077</v>
      </c>
      <c r="AE105" s="888">
        <f t="shared" ca="1" si="42"/>
        <v>216810000</v>
      </c>
      <c r="AF105" s="884">
        <f t="shared" si="43"/>
        <v>0</v>
      </c>
    </row>
    <row r="106" spans="1:32" x14ac:dyDescent="0.25">
      <c r="A106" s="52">
        <f t="shared" si="21"/>
        <v>2053</v>
      </c>
      <c r="B106" s="172">
        <f>IF(MAX($B$65:B105)&lt;(construct+anal_period),B105+1,"")</f>
        <v>42</v>
      </c>
      <c r="C106" s="172">
        <f t="shared" si="22"/>
        <v>39</v>
      </c>
      <c r="D106" s="172">
        <f t="shared" si="25"/>
        <v>39</v>
      </c>
      <c r="E106" s="173">
        <f t="shared" si="26"/>
        <v>2.0446500724613927</v>
      </c>
      <c r="F106" s="53">
        <f t="shared" ca="1" si="27"/>
        <v>755322750.85931575</v>
      </c>
      <c r="G106" s="897"/>
      <c r="H106" s="906">
        <f t="shared" si="24"/>
        <v>0</v>
      </c>
      <c r="I106" s="174">
        <f ca="1">IF(OR(C106&lt;0,C106=""),"",-E106*INDEX('Replacement Costs'!$A$16:$H$57,MATCH(C106,'Replacement Costs'!$C$16:$C$57,0),MATCH("Total Yearly Replacement Costs",'Replacement Costs'!$A$16:$H$16,0)))</f>
        <v>-7759357.8125526886</v>
      </c>
      <c r="J106" s="174">
        <f ca="1">IF(AND(C106&gt;=1,C106&lt;anal_period),WorkingCap*SUM(N106:R106)-WorkingCap*SUM(N105:R105),IF(C106&lt;0,0,IF(B106="","",-SUM(J$65:J105))))</f>
        <v>-2477907.1380487233</v>
      </c>
      <c r="K106" s="174" t="str">
        <f t="shared" si="28"/>
        <v/>
      </c>
      <c r="L106" s="174" t="str">
        <f t="shared" si="29"/>
        <v/>
      </c>
      <c r="M106" s="174" t="str">
        <f t="shared" si="30"/>
        <v/>
      </c>
      <c r="N106" s="174">
        <f t="shared" ca="1" si="31"/>
        <v>-66445890.897420578</v>
      </c>
      <c r="O106" s="174">
        <f t="shared" ca="1" si="32"/>
        <v>-580431035.67203939</v>
      </c>
      <c r="P106" s="174">
        <f t="shared" ca="1" si="33"/>
        <v>-10146114.029376872</v>
      </c>
      <c r="Q106" s="174">
        <f t="shared" ca="1" si="10"/>
        <v>0</v>
      </c>
      <c r="R106" s="174">
        <f t="shared" ca="1" si="34"/>
        <v>-89572980.660173595</v>
      </c>
      <c r="S106" s="174">
        <f ca="1">IF(B106="","",IF($B$31=0,"",-'Debt Financing Calculations'!E55))</f>
        <v>-15924551.331836978</v>
      </c>
      <c r="T106" s="174">
        <f ca="1">IF(C106="","",F106+SUM(L106:S106))</f>
        <v>-7197821.7315315008</v>
      </c>
      <c r="U106" s="174">
        <f ca="1">IF(C106="","",IF(C106&lt;-1,0,IF(C106=anal_period,-LOOKUP(C106,depr_yr,depr_cost)-Depreciation!$C$141-Depreciation!$B$166,-LOOKUP(C106,depr_yr,depr_cost))))</f>
        <v>-6571043.9637505636</v>
      </c>
      <c r="V106" s="174">
        <f t="shared" ca="1" si="36"/>
        <v>-13768865.695282064</v>
      </c>
      <c r="W106" s="175">
        <f t="shared" si="37"/>
        <v>0.25739999999999996</v>
      </c>
      <c r="X106" s="174">
        <f t="shared" ca="1" si="38"/>
        <v>3544106.0299656028</v>
      </c>
      <c r="Y106" s="174">
        <f t="shared" ca="1" si="39"/>
        <v>-3653715.701565898</v>
      </c>
      <c r="Z106" s="174">
        <f>IF(C106="","",IF($B$31=0,"",-'Debt Financing Calculations'!F55))</f>
        <v>0</v>
      </c>
      <c r="AA106" s="174">
        <f t="shared" ca="1" si="40"/>
        <v>-13890980.652167313</v>
      </c>
      <c r="AB106" s="174">
        <f t="shared" ca="1" si="23"/>
        <v>567751030.62150908</v>
      </c>
      <c r="AC106" s="884">
        <f ca="1">IF(C106="","",SUM(H106,I106,J106,K106,T106,Z106))</f>
        <v>-17435086.682132915</v>
      </c>
      <c r="AE106" s="888">
        <f t="shared" ca="1" si="42"/>
        <v>216810000</v>
      </c>
      <c r="AF106" s="884">
        <f t="shared" si="43"/>
        <v>0</v>
      </c>
    </row>
    <row r="107" spans="1:32" x14ac:dyDescent="0.25">
      <c r="A107" s="52">
        <f t="shared" si="21"/>
        <v>2054</v>
      </c>
      <c r="B107" s="172">
        <f>IF(MAX($B$65:B106)&lt;(construct+anal_period),B106+1,"")</f>
        <v>43</v>
      </c>
      <c r="C107" s="172">
        <f t="shared" si="22"/>
        <v>40</v>
      </c>
      <c r="D107" s="172">
        <f t="shared" si="25"/>
        <v>40</v>
      </c>
      <c r="E107" s="173">
        <f t="shared" si="26"/>
        <v>2.0834984238381593</v>
      </c>
      <c r="F107" s="53">
        <f t="shared" ca="1" si="27"/>
        <v>769673883.12564278</v>
      </c>
      <c r="G107" s="897"/>
      <c r="H107" s="906">
        <f t="shared" si="24"/>
        <v>0</v>
      </c>
      <c r="I107" s="174">
        <f ca="1">IF(OR(C107&lt;0,C107=""),"",-E107*INDEX('Replacement Costs'!$A$16:$H$57,MATCH(C107,'Replacement Costs'!$C$16:$C$57,0),MATCH("Total Yearly Replacement Costs",'Replacement Costs'!$A$16:$H$16,0)))</f>
        <v>-7906785.6109911902</v>
      </c>
      <c r="J107" s="174">
        <f ca="1">IF(AND(C107&gt;=1,C107&lt;anal_period),WorkingCap*SUM(N107:R107)-WorkingCap*SUM(N106:R106),IF(C107&lt;0,0,IF(B107="","",-SUM(J$65:J106))))</f>
        <v>111989403.18885155</v>
      </c>
      <c r="K107" s="174" t="str">
        <f t="shared" si="28"/>
        <v/>
      </c>
      <c r="L107" s="174">
        <f t="shared" ca="1" si="29"/>
        <v>159115593.57759279</v>
      </c>
      <c r="M107" s="174">
        <f t="shared" ca="1" si="30"/>
        <v>-158135712.21982378</v>
      </c>
      <c r="N107" s="174">
        <f t="shared" ca="1" si="31"/>
        <v>-67708362.824471578</v>
      </c>
      <c r="O107" s="174">
        <f t="shared" ca="1" si="32"/>
        <v>-594171939.68743622</v>
      </c>
      <c r="P107" s="174">
        <f t="shared" ca="1" si="33"/>
        <v>-10338890.195935033</v>
      </c>
      <c r="Q107" s="174">
        <f t="shared" ca="1" si="10"/>
        <v>0</v>
      </c>
      <c r="R107" s="174">
        <f t="shared" ca="1" si="34"/>
        <v>-91274867.292716905</v>
      </c>
      <c r="S107" s="174">
        <f ca="1">IF(B107="","",IF($B$31=0,"",-'Debt Financing Calculations'!E56))</f>
        <v>-15924551.331836978</v>
      </c>
      <c r="T107" s="174">
        <f t="shared" ca="1" si="35"/>
        <v>-8764846.8489848375</v>
      </c>
      <c r="U107" s="174">
        <f ca="1">IF(C107="","",IF(C107&lt;-1,0,IF(C107=anal_period,-LOOKUP(C107,depr_yr,depr_cost)-Depreciation!$C$141-Depreciation!$B$166,-LOOKUP(C107,depr_yr,depr_cost))))</f>
        <v>-71637933.607273668</v>
      </c>
      <c r="V107" s="174">
        <f t="shared" ca="1" si="36"/>
        <v>-80402780.456258506</v>
      </c>
      <c r="W107" s="175">
        <f t="shared" si="37"/>
        <v>0.25739999999999996</v>
      </c>
      <c r="X107" s="174">
        <f t="shared" ca="1" si="38"/>
        <v>20695675.689440936</v>
      </c>
      <c r="Y107" s="174">
        <f t="shared" ca="1" si="39"/>
        <v>11930828.840456098</v>
      </c>
      <c r="Z107" s="174">
        <f ca="1">IF(C107="","",IF($B$31=0,"",-'Debt Financing Calculations'!F56))</f>
        <v>-430393279.23883724</v>
      </c>
      <c r="AA107" s="174">
        <f t="shared" ca="1" si="40"/>
        <v>-314379832.82052076</v>
      </c>
      <c r="AB107" s="174">
        <f t="shared" ca="1" si="23"/>
        <v>253371197.80098832</v>
      </c>
      <c r="AC107" s="884">
        <f t="shared" ca="1" si="41"/>
        <v>-335075508.50996172</v>
      </c>
      <c r="AE107" s="888">
        <f t="shared" ca="1" si="42"/>
        <v>216810000</v>
      </c>
      <c r="AF107" s="884">
        <f t="shared" si="43"/>
        <v>0</v>
      </c>
    </row>
    <row r="108" spans="1:32" x14ac:dyDescent="0.25">
      <c r="A108" s="52" t="str">
        <f t="shared" si="21"/>
        <v/>
      </c>
      <c r="B108" s="172" t="str">
        <f>IF(MAX($B$65:B107)&lt;(construct+anal_period),B107+1,"")</f>
        <v/>
      </c>
      <c r="C108" s="172" t="str">
        <f t="shared" si="22"/>
        <v/>
      </c>
      <c r="D108" s="172" t="str">
        <f t="shared" si="25"/>
        <v/>
      </c>
      <c r="E108" s="173" t="str">
        <f t="shared" si="26"/>
        <v/>
      </c>
      <c r="F108" s="53" t="str">
        <f t="shared" si="27"/>
        <v/>
      </c>
      <c r="G108" s="897"/>
      <c r="H108" s="906" t="str">
        <f t="shared" si="24"/>
        <v/>
      </c>
      <c r="I108" s="174" t="str">
        <f>IF(OR(C108&lt;0,C108=""),"",-E108*INDEX('Replacement Costs'!$A$16:$H$57,MATCH(C108,'Replacement Costs'!$C$16:$C$57,0),MATCH("Total Yearly Replacement Costs",'Replacement Costs'!$A$16:$H$16,0)))</f>
        <v/>
      </c>
      <c r="J108" s="174" t="str">
        <f>IF(AND(C108&gt;=1,C108&lt;anal_period),WorkingCap*SUM(N108:R108)-WorkingCap*SUM(N107:R107),IF(C108&lt;0,0,IF(B108="","",-SUM(J$65:J107))))</f>
        <v/>
      </c>
      <c r="K108" s="174" t="str">
        <f t="shared" si="28"/>
        <v/>
      </c>
      <c r="L108" s="174" t="str">
        <f t="shared" si="29"/>
        <v/>
      </c>
      <c r="M108" s="174" t="str">
        <f t="shared" si="30"/>
        <v/>
      </c>
      <c r="N108" s="174" t="str">
        <f t="shared" si="31"/>
        <v/>
      </c>
      <c r="O108" s="174" t="str">
        <f t="shared" si="32"/>
        <v/>
      </c>
      <c r="P108" s="174" t="str">
        <f t="shared" si="33"/>
        <v/>
      </c>
      <c r="Q108" s="174" t="str">
        <f t="shared" si="10"/>
        <v/>
      </c>
      <c r="R108" s="174" t="str">
        <f t="shared" si="34"/>
        <v/>
      </c>
      <c r="S108" s="174" t="str">
        <f>IF(B108="","",IF($B$31=0,"",-'Debt Financing Calculations'!E57))</f>
        <v/>
      </c>
      <c r="T108" s="174" t="str">
        <f t="shared" si="35"/>
        <v/>
      </c>
      <c r="U108" s="174" t="str">
        <f>IF(C108="","",IF(C108&lt;-1,0,IF(C108=anal_period,-LOOKUP(C108,depr_yr,depr_cost)-Depreciation!$C$141-Depreciation!$B$166,-LOOKUP(C108,depr_yr,depr_cost))))</f>
        <v/>
      </c>
      <c r="V108" s="174" t="str">
        <f t="shared" si="36"/>
        <v/>
      </c>
      <c r="W108" s="175" t="str">
        <f t="shared" si="37"/>
        <v/>
      </c>
      <c r="X108" s="174" t="str">
        <f t="shared" si="38"/>
        <v/>
      </c>
      <c r="Y108" s="174" t="str">
        <f t="shared" si="39"/>
        <v/>
      </c>
      <c r="Z108" s="174" t="str">
        <f>IF(C108="","",IF($B$31=0,"",-'Debt Financing Calculations'!F57))</f>
        <v/>
      </c>
      <c r="AA108" s="174" t="str">
        <f t="shared" si="40"/>
        <v/>
      </c>
      <c r="AB108" s="174" t="str">
        <f t="shared" si="23"/>
        <v/>
      </c>
      <c r="AC108" s="884" t="str">
        <f t="shared" si="41"/>
        <v/>
      </c>
      <c r="AE108" s="888" t="str">
        <f t="shared" si="42"/>
        <v/>
      </c>
      <c r="AF108" s="884" t="str">
        <f t="shared" si="43"/>
        <v/>
      </c>
    </row>
    <row r="109" spans="1:32" x14ac:dyDescent="0.25">
      <c r="A109" s="52" t="str">
        <f t="shared" si="21"/>
        <v/>
      </c>
      <c r="B109" s="172" t="str">
        <f>IF(MAX($B$65:B108)&lt;(construct+anal_period),B108+1,"")</f>
        <v/>
      </c>
      <c r="C109" s="172" t="str">
        <f t="shared" si="22"/>
        <v/>
      </c>
      <c r="D109" s="172" t="str">
        <f t="shared" si="25"/>
        <v/>
      </c>
      <c r="E109" s="173" t="str">
        <f t="shared" si="26"/>
        <v/>
      </c>
      <c r="F109" s="53" t="str">
        <f t="shared" si="27"/>
        <v/>
      </c>
      <c r="G109" s="897"/>
      <c r="H109" s="906" t="str">
        <f t="shared" si="24"/>
        <v/>
      </c>
      <c r="I109" s="174" t="str">
        <f>IF(OR(C109&lt;0,C109=""),"",-E109*INDEX('Replacement Costs'!$A$16:$H$57,MATCH(C109,'Replacement Costs'!$C$16:$C$57,0),MATCH("Total Yearly Replacement Costs",'Replacement Costs'!$A$16:$H$16,0)))</f>
        <v/>
      </c>
      <c r="J109" s="174" t="str">
        <f>IF(AND(C109&gt;=1,C109&lt;anal_period),WorkingCap*SUM(N109:R109)-WorkingCap*SUM(N108:R108),IF(C109&lt;0,0,IF(B109="","",-SUM(J$65:J108))))</f>
        <v/>
      </c>
      <c r="K109" s="174" t="str">
        <f t="shared" si="28"/>
        <v/>
      </c>
      <c r="L109" s="174" t="str">
        <f t="shared" si="29"/>
        <v/>
      </c>
      <c r="M109" s="174" t="str">
        <f t="shared" si="30"/>
        <v/>
      </c>
      <c r="N109" s="174" t="str">
        <f t="shared" si="31"/>
        <v/>
      </c>
      <c r="O109" s="174" t="str">
        <f t="shared" si="32"/>
        <v/>
      </c>
      <c r="P109" s="174" t="str">
        <f t="shared" si="33"/>
        <v/>
      </c>
      <c r="Q109" s="174" t="str">
        <f t="shared" si="10"/>
        <v/>
      </c>
      <c r="R109" s="174" t="str">
        <f t="shared" si="34"/>
        <v/>
      </c>
      <c r="S109" s="174" t="str">
        <f>IF(B109="","",IF($B$31=0,"",-'Debt Financing Calculations'!E58))</f>
        <v/>
      </c>
      <c r="T109" s="174" t="str">
        <f t="shared" si="35"/>
        <v/>
      </c>
      <c r="U109" s="174" t="str">
        <f>IF(C109="","",IF(C109&lt;-1,0,IF(C109=anal_period,-LOOKUP(C109,depr_yr,depr_cost)-Depreciation!$C$141-Depreciation!$B$166,-LOOKUP(C109,depr_yr,depr_cost))))</f>
        <v/>
      </c>
      <c r="V109" s="174" t="str">
        <f t="shared" si="36"/>
        <v/>
      </c>
      <c r="W109" s="175" t="str">
        <f t="shared" si="37"/>
        <v/>
      </c>
      <c r="X109" s="174" t="str">
        <f t="shared" si="38"/>
        <v/>
      </c>
      <c r="Y109" s="174" t="str">
        <f t="shared" si="39"/>
        <v/>
      </c>
      <c r="Z109" s="174" t="str">
        <f>IF(C109="","",IF($B$31=0,"",-'Debt Financing Calculations'!F58))</f>
        <v/>
      </c>
      <c r="AA109" s="174" t="str">
        <f t="shared" si="40"/>
        <v/>
      </c>
      <c r="AB109" s="174" t="str">
        <f t="shared" si="23"/>
        <v/>
      </c>
      <c r="AC109" s="884" t="str">
        <f t="shared" si="41"/>
        <v/>
      </c>
      <c r="AE109" s="888" t="str">
        <f t="shared" si="42"/>
        <v/>
      </c>
      <c r="AF109" s="884" t="str">
        <f t="shared" si="43"/>
        <v/>
      </c>
    </row>
    <row r="110" spans="1:32" x14ac:dyDescent="0.25">
      <c r="A110" s="52" t="str">
        <f t="shared" si="21"/>
        <v/>
      </c>
      <c r="B110" s="172" t="str">
        <f>IF(MAX($B$65:B109)&lt;(construct+anal_period),B109+1,"")</f>
        <v/>
      </c>
      <c r="C110" s="172" t="str">
        <f t="shared" si="22"/>
        <v/>
      </c>
      <c r="D110" s="172" t="str">
        <f t="shared" si="25"/>
        <v/>
      </c>
      <c r="E110" s="173" t="str">
        <f t="shared" si="26"/>
        <v/>
      </c>
      <c r="F110" s="53" t="str">
        <f t="shared" si="27"/>
        <v/>
      </c>
      <c r="G110" s="897"/>
      <c r="H110" s="906" t="str">
        <f t="shared" si="24"/>
        <v/>
      </c>
      <c r="I110" s="174" t="str">
        <f>IF(OR(C110&lt;0,C110=""),"",-E110*INDEX('Replacement Costs'!$A$16:$H$57,MATCH(C110,'Replacement Costs'!$C$16:$C$57,0),MATCH("Total Yearly Replacement Costs",'Replacement Costs'!$A$16:$H$16,0)))</f>
        <v/>
      </c>
      <c r="J110" s="174" t="str">
        <f>IF(AND(C110&gt;=1,C110&lt;anal_period),WorkingCap*SUM(N110:R110)-WorkingCap*SUM(N109:R109),IF(C110&lt;0,0,IF(B110="","",-SUM(J$65:J109))))</f>
        <v/>
      </c>
      <c r="K110" s="174" t="str">
        <f t="shared" si="28"/>
        <v/>
      </c>
      <c r="L110" s="174" t="str">
        <f t="shared" si="29"/>
        <v/>
      </c>
      <c r="M110" s="174" t="str">
        <f t="shared" si="30"/>
        <v/>
      </c>
      <c r="N110" s="174" t="str">
        <f t="shared" si="31"/>
        <v/>
      </c>
      <c r="O110" s="174" t="str">
        <f>IF(C110="","",IF(C110&lt;0,0,IF(AND(C110=1,start_time&lt;1),-(SUM(B185:E185)*output_kgyear*E110*percnt_var*start_time+SUM(B185:E185)*output_kgyear*E110*(1-start_time)),IF(C110&lt;=start_time,-SUM(B185:E185)*output_kgyear*E110*percnt_var,-SUM(B185:E185)*output_kgyear*E110))))</f>
        <v/>
      </c>
      <c r="P110" s="174" t="str">
        <f t="shared" si="33"/>
        <v/>
      </c>
      <c r="Q110" s="174" t="str">
        <f>IF(C110="","",IF(C110&lt;0,0,IF(AND(C110=1,start_time&lt;1),SUM(K185:N185,T185:V185)*output_kgyear*E110*percnt_revs*start_time+SUM(K185:N185,T185:V185)*output_kgyear*E110*(1-start_time),IF(C110&lt;=start_time,SUM(K185:N185,T185:V185)*output_kgyear*E110*percnt_revs,SUM(K185:N185,T185:V185)*output_kgyear*E110))))</f>
        <v/>
      </c>
      <c r="R110" s="174"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74" t="str">
        <f>IF(B110="","",IF($B$31=0,"",-'Debt Financing Calculations'!E59))</f>
        <v/>
      </c>
      <c r="T110" s="174" t="str">
        <f t="shared" si="35"/>
        <v/>
      </c>
      <c r="U110" s="174" t="str">
        <f>IF(C110="","",IF(C110&lt;-1,0,IF(C110=anal_period,-LOOKUP(C110,depr_yr,depr_cost)-Depreciation!$C$141-Depreciation!$B$166,-LOOKUP(C110,depr_yr,depr_cost))))</f>
        <v/>
      </c>
      <c r="V110" s="174" t="str">
        <f t="shared" si="36"/>
        <v/>
      </c>
      <c r="W110" s="175" t="str">
        <f t="shared" si="37"/>
        <v/>
      </c>
      <c r="X110" s="174" t="str">
        <f t="shared" si="38"/>
        <v/>
      </c>
      <c r="Y110" s="174" t="str">
        <f t="shared" si="39"/>
        <v/>
      </c>
      <c r="Z110" s="174" t="str">
        <f>IF(C110="","",IF($B$31=0,"",-'Debt Financing Calculations'!F59))</f>
        <v/>
      </c>
      <c r="AA110" s="174" t="str">
        <f t="shared" si="40"/>
        <v/>
      </c>
      <c r="AB110" s="174" t="str">
        <f t="shared" si="23"/>
        <v/>
      </c>
      <c r="AC110" s="884" t="str">
        <f t="shared" si="41"/>
        <v/>
      </c>
      <c r="AE110" s="888" t="str">
        <f t="shared" si="42"/>
        <v/>
      </c>
      <c r="AF110" s="884" t="str">
        <f t="shared" si="43"/>
        <v/>
      </c>
    </row>
    <row r="111" spans="1:32" x14ac:dyDescent="0.25">
      <c r="A111" s="52" t="str">
        <f t="shared" si="21"/>
        <v/>
      </c>
      <c r="B111" s="172" t="str">
        <f>IF(MAX($B$65:B110)&lt;(construct+anal_period),B110+1,"")</f>
        <v/>
      </c>
      <c r="C111" s="172" t="str">
        <f t="shared" si="22"/>
        <v/>
      </c>
      <c r="D111" s="172" t="str">
        <f t="shared" si="25"/>
        <v/>
      </c>
      <c r="E111" s="173" t="str">
        <f t="shared" si="26"/>
        <v/>
      </c>
      <c r="F111" s="53" t="str">
        <f t="shared" si="27"/>
        <v/>
      </c>
      <c r="G111" s="897"/>
      <c r="H111" s="906" t="str">
        <f t="shared" si="24"/>
        <v/>
      </c>
      <c r="I111" s="174" t="str">
        <f>IF(OR(C111&lt;0,C111=""),"",-E111*INDEX('Replacement Costs'!$A$16:$H$57,MATCH(C111,'Replacement Costs'!$C$16:$C$57,0),MATCH("Total Yearly Replacement Costs",'Replacement Costs'!$A$16:$H$16,0)))</f>
        <v/>
      </c>
      <c r="J111" s="174" t="str">
        <f>IF(AND(C111&gt;=1,C111&lt;anal_period),WorkingCap*SUM(N111:R111)-WorkingCap*SUM(N110:R110),IF(C111&lt;0,0,IF(B111="","",-SUM(J$65:J110))))</f>
        <v/>
      </c>
      <c r="K111" s="174" t="str">
        <f t="shared" si="28"/>
        <v/>
      </c>
      <c r="L111" s="174" t="str">
        <f t="shared" si="29"/>
        <v/>
      </c>
      <c r="M111" s="174" t="str">
        <f t="shared" si="30"/>
        <v/>
      </c>
      <c r="N111" s="174" t="str">
        <f t="shared" si="31"/>
        <v/>
      </c>
      <c r="O111" s="174" t="str">
        <f>IF(C111="","",IF(C111&lt;0,0,IF(AND(C111=1,start_time&lt;1),-(SUM(B278:E278)*output_kgyear*E111*percnt_var*start_time+SUM(B278:E278)*output_kgyear*E111*(1-start_time)),IF(C111&lt;=start_time,-SUM(B278:E278)*output_kgyear*E111*percnt_var,-SUM(B278:E278)*output_kgyear*E111))))</f>
        <v/>
      </c>
      <c r="P111" s="174" t="str">
        <f t="shared" si="33"/>
        <v/>
      </c>
      <c r="Q111" s="174" t="str">
        <f>IF(C111="","",IF(C111&lt;0,0,IF(AND(C111=1,start_time&lt;1),SUM(K278:N278,T278:V278)*output_kgyear*E111*percnt_revs*start_time+SUM(K278:N278,T278:V278)*output_kgyear*E111*(1-start_time),IF(C111&lt;=start_time,SUM(K278:N278,T278:V278)*output_kgyear*E111*percnt_revs,SUM(K278:N278,T278:V278)*output_kgyear*E111))))</f>
        <v/>
      </c>
      <c r="R111" s="174"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74" t="str">
        <f>IF(B111="","",IF($B$31=0,"",-'Debt Financing Calculations'!E60))</f>
        <v/>
      </c>
      <c r="T111" s="174" t="str">
        <f t="shared" si="35"/>
        <v/>
      </c>
      <c r="U111" s="174" t="str">
        <f>IF(C111="","",IF(C111&lt;-1,0,IF(C111=anal_period,-LOOKUP(C111,depr_yr,depr_cost)-Depreciation!$C$141-Depreciation!$B$166,-LOOKUP(C111,depr_yr,depr_cost))))</f>
        <v/>
      </c>
      <c r="V111" s="174" t="str">
        <f t="shared" si="36"/>
        <v/>
      </c>
      <c r="W111" s="175" t="str">
        <f t="shared" si="37"/>
        <v/>
      </c>
      <c r="X111" s="174" t="str">
        <f t="shared" si="38"/>
        <v/>
      </c>
      <c r="Y111" s="174" t="str">
        <f t="shared" si="39"/>
        <v/>
      </c>
      <c r="Z111" s="174" t="str">
        <f>IF(C111="","",IF($B$31=0,"",-'Debt Financing Calculations'!F60))</f>
        <v/>
      </c>
      <c r="AA111" s="174" t="str">
        <f t="shared" si="40"/>
        <v/>
      </c>
      <c r="AB111" s="174" t="str">
        <f t="shared" si="23"/>
        <v/>
      </c>
      <c r="AC111" s="884" t="str">
        <f t="shared" si="41"/>
        <v/>
      </c>
      <c r="AE111" s="888" t="str">
        <f t="shared" si="42"/>
        <v/>
      </c>
      <c r="AF111" s="884" t="str">
        <f t="shared" si="43"/>
        <v/>
      </c>
    </row>
    <row r="112" spans="1:32" x14ac:dyDescent="0.25">
      <c r="A112" s="52" t="str">
        <f t="shared" si="21"/>
        <v/>
      </c>
      <c r="B112" s="172" t="str">
        <f>IF(MAX($B$65:B111)&lt;(construct+anal_period),B111+1,"")</f>
        <v/>
      </c>
      <c r="C112" s="172" t="str">
        <f t="shared" si="22"/>
        <v/>
      </c>
      <c r="D112" s="172" t="str">
        <f t="shared" si="25"/>
        <v/>
      </c>
      <c r="E112" s="173" t="str">
        <f t="shared" si="26"/>
        <v/>
      </c>
      <c r="F112" s="53" t="str">
        <f t="shared" si="27"/>
        <v/>
      </c>
      <c r="G112" s="897"/>
      <c r="H112" s="906" t="str">
        <f t="shared" si="24"/>
        <v/>
      </c>
      <c r="I112" s="174" t="str">
        <f>IF(OR(C112&lt;0,C112=""),"",-E112*INDEX('Replacement Costs'!$A$16:$H$57,MATCH(C112,'Replacement Costs'!$C$16:$C$57,0),MATCH("Total Yearly Replacement Costs",'Replacement Costs'!$A$16:$H$16,0)))</f>
        <v/>
      </c>
      <c r="J112" s="174" t="str">
        <f>IF(AND(C112&gt;=1,C112&lt;anal_period),WorkingCap*SUM(N112:R112)-WorkingCap*SUM(N111:R111),IF(C112&lt;0,0,IF(B112="","",-SUM(J$65:J111))))</f>
        <v/>
      </c>
      <c r="K112" s="174" t="str">
        <f t="shared" si="28"/>
        <v/>
      </c>
      <c r="L112" s="174" t="str">
        <f t="shared" si="29"/>
        <v/>
      </c>
      <c r="M112" s="174" t="str">
        <f t="shared" si="30"/>
        <v/>
      </c>
      <c r="N112" s="174" t="str">
        <f t="shared" si="31"/>
        <v/>
      </c>
      <c r="O112" s="174" t="str">
        <f>IF(C112="","",IF(C112&lt;0,0,IF(AND(C112=1,start_time&lt;1),-(SUM(B279:E279)*output_kgyear*E112*percnt_var*start_time+SUM(B279:E279)*output_kgyear*E112*(1-start_time)),IF(C112&lt;=start_time,-SUM(B279:E279)*output_kgyear*E112*percnt_var,-SUM(B279:E279)*output_kgyear*E112))))</f>
        <v/>
      </c>
      <c r="P112" s="174" t="str">
        <f t="shared" si="33"/>
        <v/>
      </c>
      <c r="Q112" s="174" t="str">
        <f>IF(C112="","",IF(C112&lt;0,0,IF(AND(C112=1,start_time&lt;1),SUM(K279:N279,T279:V279)*output_kgyear*E112*percnt_revs*start_time+SUM(K279:N279,T279:V279)*output_kgyear*E112*(1-start_time),IF(C112&lt;=start_time,SUM(K279:N279,T279:V279)*output_kgyear*E112*percnt_revs,SUM(K279:N279,T279:V279)*output_kgyear*E112))))</f>
        <v/>
      </c>
      <c r="R112" s="174"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74" t="str">
        <f>IF(B112="","",IF($B$31=0,"",-'Debt Financing Calculations'!E61))</f>
        <v/>
      </c>
      <c r="T112" s="174" t="str">
        <f t="shared" si="35"/>
        <v/>
      </c>
      <c r="U112" s="174" t="str">
        <f>IF(C112="","",IF(C112&lt;-1,0,IF(C112=anal_period,-LOOKUP(C112,depr_yr,depr_cost)-Depreciation!$C$141-Depreciation!$B$166,-LOOKUP(C112,depr_yr,depr_cost))))</f>
        <v/>
      </c>
      <c r="V112" s="174" t="str">
        <f t="shared" si="36"/>
        <v/>
      </c>
      <c r="W112" s="175" t="str">
        <f t="shared" si="37"/>
        <v/>
      </c>
      <c r="X112" s="174" t="str">
        <f t="shared" si="38"/>
        <v/>
      </c>
      <c r="Y112" s="174" t="str">
        <f t="shared" si="39"/>
        <v/>
      </c>
      <c r="Z112" s="174" t="str">
        <f>IF(C112="","",IF($B$31=0,"",-'Debt Financing Calculations'!F61))</f>
        <v/>
      </c>
      <c r="AA112" s="174" t="str">
        <f t="shared" si="40"/>
        <v/>
      </c>
      <c r="AB112" s="174" t="str">
        <f t="shared" si="23"/>
        <v/>
      </c>
      <c r="AC112" s="884" t="str">
        <f t="shared" si="41"/>
        <v/>
      </c>
      <c r="AE112" s="888" t="str">
        <f t="shared" si="42"/>
        <v/>
      </c>
      <c r="AF112" s="884" t="str">
        <f t="shared" si="43"/>
        <v/>
      </c>
    </row>
    <row r="113" spans="1:33" ht="13.8" thickBot="1" x14ac:dyDescent="0.3">
      <c r="A113" s="55" t="str">
        <f t="shared" si="21"/>
        <v/>
      </c>
      <c r="B113" s="176" t="str">
        <f>IF(MAX($B$65:B112)&lt;(construct+anal_period),B112+1,"")</f>
        <v/>
      </c>
      <c r="C113" s="176" t="str">
        <f t="shared" si="22"/>
        <v/>
      </c>
      <c r="D113" s="176" t="str">
        <f t="shared" si="25"/>
        <v/>
      </c>
      <c r="E113" s="891" t="str">
        <f t="shared" si="26"/>
        <v/>
      </c>
      <c r="F113" s="892" t="str">
        <f t="shared" si="27"/>
        <v/>
      </c>
      <c r="G113" s="899"/>
      <c r="H113" s="908" t="str">
        <f t="shared" si="24"/>
        <v/>
      </c>
      <c r="I113" s="893" t="str">
        <f>IF(OR(C113&lt;0,C113=""),"",-E113*INDEX('Replacement Costs'!$A$16:$H$57,MATCH(C113,'Replacement Costs'!$C$16:$C$57,0),MATCH("Total Yearly Replacement Costs",'Replacement Costs'!$A$16:$H$16,0)))</f>
        <v/>
      </c>
      <c r="J113" s="893" t="str">
        <f>IF(AND(C113&gt;=1,C113&lt;anal_period),WorkingCap*SUM(N113:R113)-WorkingCap*SUM(N112:R112),IF(C113&lt;0,0,IF(B113="","",-SUM(J$65:J112))))</f>
        <v/>
      </c>
      <c r="K113" s="893" t="str">
        <f t="shared" si="28"/>
        <v/>
      </c>
      <c r="L113" s="893" t="str">
        <f t="shared" si="29"/>
        <v/>
      </c>
      <c r="M113" s="893" t="str">
        <f t="shared" si="30"/>
        <v/>
      </c>
      <c r="N113" s="893" t="str">
        <f t="shared" si="31"/>
        <v/>
      </c>
      <c r="O113" s="893" t="str">
        <f>IF(C113="","",IF(C113&lt;0,0,IF(AND(C113=1,start_time&lt;1),-(SUM(B280:E280)*output_kgyear*E113*percnt_var*start_time+SUM(B280:E280)*output_kgyear*E113*(1-start_time)),IF(C113&lt;=start_time,-SUM(B280:E280)*output_kgyear*E113*percnt_var,-SUM(B280:E280)*output_kgyear*E113))))</f>
        <v/>
      </c>
      <c r="P113" s="893" t="str">
        <f t="shared" si="33"/>
        <v/>
      </c>
      <c r="Q113" s="893" t="str">
        <f>IF(C113="","",IF(C113&lt;0,0,IF(AND(C113=1,start_time&lt;1),SUM(K280:N280,T280:V280)*output_kgyear*E113*percnt_revs*start_time+SUM(K280:N280,T280:V280)*output_kgyear*E113*(1-start_time),IF(C113&lt;=start_time,SUM(K280:N280,T280:V280)*output_kgyear*E113*percnt_revs,SUM(K280:N280,T280:V280)*output_kgyear*E113))))</f>
        <v/>
      </c>
      <c r="R113" s="893"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893" t="str">
        <f>IF(B113="","",IF($B$31=0,"",-'Debt Financing Calculations'!E62))</f>
        <v/>
      </c>
      <c r="T113" s="893" t="str">
        <f t="shared" si="35"/>
        <v/>
      </c>
      <c r="U113" s="893" t="str">
        <f>IF(C113="","",IF(C113&lt;-1,0,IF(C113=anal_period,-LOOKUP(C113,depr_yr,depr_cost)-Depreciation!$C$141-Depreciation!$B$166,-LOOKUP(C113,depr_yr,depr_cost))))</f>
        <v/>
      </c>
      <c r="V113" s="893" t="str">
        <f t="shared" si="36"/>
        <v/>
      </c>
      <c r="W113" s="894" t="str">
        <f t="shared" si="37"/>
        <v/>
      </c>
      <c r="X113" s="893" t="str">
        <f t="shared" si="38"/>
        <v/>
      </c>
      <c r="Y113" s="893" t="str">
        <f t="shared" si="39"/>
        <v/>
      </c>
      <c r="Z113" s="893" t="str">
        <f>IF(C113="","",IF($B$31=0,"",-'Debt Financing Calculations'!F62))</f>
        <v/>
      </c>
      <c r="AA113" s="893" t="str">
        <f t="shared" si="40"/>
        <v/>
      </c>
      <c r="AB113" s="893" t="str">
        <f t="shared" si="23"/>
        <v/>
      </c>
      <c r="AC113" s="895" t="str">
        <f t="shared" si="41"/>
        <v/>
      </c>
      <c r="AE113" s="890" t="str">
        <f t="shared" si="42"/>
        <v/>
      </c>
      <c r="AF113" s="886" t="str">
        <f t="shared" si="43"/>
        <v/>
      </c>
    </row>
    <row r="114" spans="1:33" ht="13.8" thickTop="1" x14ac:dyDescent="0.25">
      <c r="E114" s="909" t="s">
        <v>146</v>
      </c>
      <c r="F114" s="910">
        <f t="shared" ref="F114:AC114" ca="1" si="44">SUM(F65:F113)</f>
        <v>21835973508.252533</v>
      </c>
      <c r="G114" s="910">
        <f t="shared" ca="1" si="44"/>
        <v>-430393279.23883724</v>
      </c>
      <c r="H114" s="910">
        <f t="shared" ca="1" si="44"/>
        <v>-286928852.82589149</v>
      </c>
      <c r="I114" s="910">
        <f t="shared" ca="1" si="44"/>
        <v>-224318851.03843632</v>
      </c>
      <c r="J114" s="910">
        <f t="shared" ca="1" si="44"/>
        <v>0</v>
      </c>
      <c r="K114" s="910">
        <f t="shared" ca="1" si="44"/>
        <v>-4444856.7300741849</v>
      </c>
      <c r="L114" s="910">
        <f t="shared" ca="1" si="44"/>
        <v>159115593.57759279</v>
      </c>
      <c r="M114" s="910">
        <f t="shared" ca="1" si="44"/>
        <v>-158135712.21982378</v>
      </c>
      <c r="N114" s="910">
        <f t="shared" ca="1" si="44"/>
        <v>-1920914882.7009931</v>
      </c>
      <c r="O114" s="910">
        <f t="shared" ca="1" si="44"/>
        <v>-15059636299.686855</v>
      </c>
      <c r="P114" s="910">
        <f t="shared" ca="1" si="44"/>
        <v>-293318686.48882782</v>
      </c>
      <c r="Q114" s="910">
        <f t="shared" ca="1" si="44"/>
        <v>0</v>
      </c>
      <c r="R114" s="910">
        <f t="shared" ca="1" si="44"/>
        <v>-2589506579.1750131</v>
      </c>
      <c r="S114" s="910">
        <f t="shared" ca="1" si="44"/>
        <v>-684755707.26898992</v>
      </c>
      <c r="T114" s="910">
        <f t="shared" ca="1" si="44"/>
        <v>1288821234.2896214</v>
      </c>
      <c r="U114" s="910">
        <f t="shared" ca="1" si="44"/>
        <v>-941640983.10316479</v>
      </c>
      <c r="V114" s="910">
        <f t="shared" ca="1" si="44"/>
        <v>347180251.18645668</v>
      </c>
      <c r="W114" s="910">
        <f t="shared" si="44"/>
        <v>11.068200000000001</v>
      </c>
      <c r="X114" s="910">
        <f t="shared" ca="1" si="44"/>
        <v>-89364196.655393898</v>
      </c>
      <c r="Y114" s="910">
        <f t="shared" ca="1" si="44"/>
        <v>1199457037.6342275</v>
      </c>
      <c r="Z114" s="910">
        <f t="shared" ca="1" si="44"/>
        <v>-430393279.23883724</v>
      </c>
      <c r="AA114" s="910">
        <f t="shared" ca="1" si="44"/>
        <v>253371197.80098832</v>
      </c>
      <c r="AB114" s="910">
        <f t="shared" ca="1" si="44"/>
        <v>12985540428.048527</v>
      </c>
      <c r="AC114" s="911">
        <f t="shared" ca="1" si="44"/>
        <v>342735394.45638251</v>
      </c>
    </row>
    <row r="115" spans="1:33" ht="13.8" thickBot="1" x14ac:dyDescent="0.3">
      <c r="E115" s="912" t="s">
        <v>147</v>
      </c>
      <c r="F115" s="893">
        <f t="shared" ref="F115:AC115" ca="1" si="45">NPV(nominal_irr,F65:F113)</f>
        <v>3243320573.650558</v>
      </c>
      <c r="G115" s="893">
        <f t="shared" ca="1" si="45"/>
        <v>-391081742.48431402</v>
      </c>
      <c r="H115" s="893">
        <f t="shared" ca="1" si="45"/>
        <v>-260721161.65620935</v>
      </c>
      <c r="I115" s="893">
        <f t="shared" ca="1" si="45"/>
        <v>-33318319.623150986</v>
      </c>
      <c r="J115" s="893">
        <f t="shared" ca="1" si="45"/>
        <v>-37025179.178127699</v>
      </c>
      <c r="K115" s="893">
        <f t="shared" ca="1" si="45"/>
        <v>-4038869.561729169</v>
      </c>
      <c r="L115" s="893">
        <f t="shared" ca="1" si="45"/>
        <v>2588220.9311415469</v>
      </c>
      <c r="M115" s="893">
        <f t="shared" ca="1" si="45"/>
        <v>-2572281.8934696899</v>
      </c>
      <c r="N115" s="893">
        <f t="shared" ca="1" si="45"/>
        <v>-285315548.53467399</v>
      </c>
      <c r="O115" s="893">
        <f t="shared" ca="1" si="45"/>
        <v>-2001325349.8132958</v>
      </c>
      <c r="P115" s="893">
        <f t="shared" ca="1" si="45"/>
        <v>-43566939.214587167</v>
      </c>
      <c r="Q115" s="893">
        <f t="shared" ca="1" si="45"/>
        <v>0</v>
      </c>
      <c r="R115" s="893">
        <f t="shared" ca="1" si="45"/>
        <v>-384622190.5640108</v>
      </c>
      <c r="S115" s="893">
        <f t="shared" ca="1" si="45"/>
        <v>-155844786.18643567</v>
      </c>
      <c r="T115" s="893">
        <f t="shared" ca="1" si="45"/>
        <v>372661698.37522495</v>
      </c>
      <c r="U115" s="893">
        <f t="shared" ca="1" si="45"/>
        <v>-253946605.15658033</v>
      </c>
      <c r="V115" s="893">
        <f t="shared" ca="1" si="45"/>
        <v>118715093.21864486</v>
      </c>
      <c r="W115" s="893">
        <f t="shared" ca="1" si="45"/>
        <v>2.5190315964626389</v>
      </c>
      <c r="X115" s="893">
        <f t="shared" ca="1" si="45"/>
        <v>-30557264.994479164</v>
      </c>
      <c r="Y115" s="893">
        <f t="shared" ca="1" si="45"/>
        <v>342104433.38074595</v>
      </c>
      <c r="Z115" s="893">
        <f t="shared" ca="1" si="45"/>
        <v>-7000903.361526208</v>
      </c>
      <c r="AA115" s="893">
        <f t="shared" ca="1" si="45"/>
        <v>2.5142290636995121E-6</v>
      </c>
      <c r="AB115" s="893">
        <f t="shared" ca="1" si="45"/>
        <v>-41000897.780693479</v>
      </c>
      <c r="AC115" s="895">
        <f t="shared" ca="1" si="45"/>
        <v>30557264.994481757</v>
      </c>
    </row>
    <row r="116" spans="1:33" ht="13.8" thickBot="1" x14ac:dyDescent="0.3">
      <c r="D116" s="178"/>
      <c r="E116" s="913" t="s">
        <v>1089</v>
      </c>
      <c r="F116" s="914">
        <f t="shared" ref="F116:AC116" ca="1" si="46">+F65+NPV($X$59,F66:F113)</f>
        <v>3569339157.713912</v>
      </c>
      <c r="G116" s="914">
        <f t="shared" ca="1" si="46"/>
        <v>-430393279.23883724</v>
      </c>
      <c r="H116" s="914">
        <f ca="1">+H65+NPV($X$59,H66:H113)</f>
        <v>-286928852.82589149</v>
      </c>
      <c r="I116" s="914">
        <f t="shared" ca="1" si="46"/>
        <v>-36667477.111670122</v>
      </c>
      <c r="J116" s="914">
        <f t="shared" ca="1" si="46"/>
        <v>-40746950.189113073</v>
      </c>
      <c r="K116" s="914">
        <f t="shared" ca="1" si="46"/>
        <v>-4444856.7300741849</v>
      </c>
      <c r="L116" s="914">
        <f t="shared" ca="1" si="46"/>
        <v>2848388.8991398956</v>
      </c>
      <c r="M116" s="914">
        <f t="shared" ca="1" si="46"/>
        <v>-2830847.6694012634</v>
      </c>
      <c r="N116" s="914">
        <f t="shared" ca="1" si="46"/>
        <v>-313995467.47337914</v>
      </c>
      <c r="O116" s="914">
        <f t="shared" ca="1" si="46"/>
        <v>-2202498573.9765296</v>
      </c>
      <c r="P116" s="914">
        <f t="shared" ca="1" si="46"/>
        <v>-47946287.944437452</v>
      </c>
      <c r="Q116" s="914">
        <f t="shared" ca="1" si="46"/>
        <v>0</v>
      </c>
      <c r="R116" s="914">
        <f t="shared" ca="1" si="46"/>
        <v>-423284413.15950507</v>
      </c>
      <c r="S116" s="914">
        <f t="shared" ca="1" si="46"/>
        <v>-171510304.09389615</v>
      </c>
      <c r="T116" s="914">
        <f t="shared" ca="1" si="46"/>
        <v>410121652.29590285</v>
      </c>
      <c r="U116" s="914">
        <f t="shared" ca="1" si="46"/>
        <v>-279473317.90691984</v>
      </c>
      <c r="V116" s="914">
        <f t="shared" ca="1" si="46"/>
        <v>130648334.388983</v>
      </c>
      <c r="W116" s="914">
        <f t="shared" ca="1" si="46"/>
        <v>2.7722446525390634</v>
      </c>
      <c r="X116" s="914">
        <f t="shared" ca="1" si="46"/>
        <v>-33628881.271724209</v>
      </c>
      <c r="Y116" s="914">
        <f t="shared" ca="1" si="46"/>
        <v>376492771.02417845</v>
      </c>
      <c r="Z116" s="914">
        <f t="shared" ca="1" si="46"/>
        <v>-7704634.1674268208</v>
      </c>
      <c r="AA116" s="914">
        <f t="shared" ca="1" si="46"/>
        <v>2.9802322387695313E-6</v>
      </c>
      <c r="AB116" s="914">
        <f t="shared" ca="1" si="46"/>
        <v>-45122308.025608599</v>
      </c>
      <c r="AC116" s="915">
        <f t="shared" ca="1" si="46"/>
        <v>33628881.271727085</v>
      </c>
      <c r="AD116" s="916"/>
      <c r="AE116" s="917">
        <f ca="1">+AE65+NPV(real_irr,AE66:AE113)</f>
        <v>2216542709.9533076</v>
      </c>
      <c r="AF116" s="918">
        <f ca="1">+AF65+NPV($X$59,AF66:AF113)</f>
        <v>0</v>
      </c>
      <c r="AG116" s="919"/>
    </row>
    <row r="117" spans="1:33" ht="16.8" thickTop="1" thickBot="1" x14ac:dyDescent="0.35">
      <c r="A117" s="43" t="s">
        <v>76</v>
      </c>
      <c r="B117" s="138"/>
      <c r="C117" s="138"/>
      <c r="D117" s="138"/>
      <c r="E117" s="920" t="s">
        <v>1145</v>
      </c>
      <c r="F117" s="930"/>
      <c r="G117" s="930"/>
      <c r="H117" s="930">
        <f ca="1">-H116/$AE$116*(1+inflation_rate)^construct/INFLATION_FACTOR</f>
        <v>0.13957089196592026</v>
      </c>
      <c r="I117" s="930">
        <f ca="1">-I116/$AE$116*(1+inflation_rate)^construct/INFLATION_FACTOR</f>
        <v>1.783617240376029E-2</v>
      </c>
      <c r="J117" s="930">
        <f ca="1">-J116/$AE$116*(1+inflation_rate)^construct/INFLATION_FACTOR</f>
        <v>1.982055177363554E-2</v>
      </c>
      <c r="K117" s="930">
        <f ca="1">-K116/$AE$116*(1+inflation_rate)^construct/INFLATION_FACTOR</f>
        <v>2.1621130547425983E-3</v>
      </c>
      <c r="L117" s="930"/>
      <c r="M117" s="930">
        <f ca="1">-M116/$AE$116*(1+inflation_rate)^construct/INFLATION_FACTOR</f>
        <v>1.3770101206159633E-3</v>
      </c>
      <c r="N117" s="930">
        <f ca="1">-N116/$AE$116*(1+inflation_rate)^construct/INFLATION_FACTOR</f>
        <v>0.15273691382688664</v>
      </c>
      <c r="O117" s="930">
        <f ca="1">-O116/$AE$116*(1+inflation_rate)^construct/INFLATION_FACTOR</f>
        <v>1.0713620728484385</v>
      </c>
      <c r="P117" s="930">
        <f ca="1">-P116/$AE$116*(1+inflation_rate)^construct/INFLATION_FACTOR</f>
        <v>2.3322527898303188E-2</v>
      </c>
      <c r="Q117" s="930"/>
      <c r="R117" s="930">
        <f ca="1">-R116/$AE$116*(1+inflation_rate)^construct/INFLATION_FACTOR</f>
        <v>0.20589836998997063</v>
      </c>
      <c r="S117" s="930">
        <f ca="1">-S116/$AE$116*(1+inflation_rate)^construct/INFLATION_FACTOR</f>
        <v>8.3427811068748803E-2</v>
      </c>
      <c r="T117" s="930"/>
      <c r="U117" s="930"/>
      <c r="V117" s="930"/>
      <c r="W117" s="930"/>
      <c r="X117" s="930">
        <f ca="1">-X116/$AE$116*(1+inflation_rate)^construct/INFLATION_FACTOR</f>
        <v>1.6358107275320492E-2</v>
      </c>
      <c r="Y117" s="930"/>
      <c r="Z117" s="930">
        <f ca="1">-Z116/$AE$116*(1+inflation_rate)^construct/INFLATION_FACTOR</f>
        <v>3.7477676170523879E-3</v>
      </c>
      <c r="AA117" s="930"/>
      <c r="AB117" s="930"/>
      <c r="AC117" s="931"/>
      <c r="AD117" s="932"/>
      <c r="AE117" s="933"/>
      <c r="AF117" s="933"/>
      <c r="AG117" s="931">
        <f ca="1">+SUM(F117:AC117)</f>
        <v>1.7376203098433951</v>
      </c>
    </row>
    <row r="118" spans="1:33" ht="15" customHeight="1" thickTop="1" thickBot="1" x14ac:dyDescent="0.3">
      <c r="A118" s="48" t="s">
        <v>77</v>
      </c>
      <c r="B118" s="50" t="s">
        <v>148</v>
      </c>
      <c r="C118" s="50" t="s">
        <v>149</v>
      </c>
      <c r="D118" s="820" t="s">
        <v>150</v>
      </c>
      <c r="E118" s="921" t="s">
        <v>1146</v>
      </c>
      <c r="F118" s="934">
        <f ca="1">F116/$AE$116*(1+inflation_rate)^construct/INFLATION_FACTOR</f>
        <v>1.7362347671368916</v>
      </c>
      <c r="G118" s="934"/>
      <c r="H118" s="934"/>
      <c r="I118" s="934"/>
      <c r="J118" s="934"/>
      <c r="K118" s="934"/>
      <c r="L118" s="934">
        <f ca="1">L116/$AE$116*(1+inflation_rate)^construct/INFLATION_FACTOR</f>
        <v>1.385542706505071E-3</v>
      </c>
      <c r="M118" s="934"/>
      <c r="N118" s="934"/>
      <c r="O118" s="934"/>
      <c r="P118" s="934"/>
      <c r="Q118" s="934">
        <f ca="1">Q116/$AE$116*(1+inflation_rate)^construct/INFLATION_FACTOR</f>
        <v>0</v>
      </c>
      <c r="R118" s="934"/>
      <c r="S118" s="934"/>
      <c r="T118" s="934"/>
      <c r="U118" s="934"/>
      <c r="V118" s="934"/>
      <c r="W118" s="934"/>
      <c r="X118" s="934"/>
      <c r="Y118" s="934"/>
      <c r="Z118" s="934"/>
      <c r="AA118" s="934"/>
      <c r="AB118" s="934"/>
      <c r="AC118" s="935"/>
      <c r="AD118" s="936"/>
      <c r="AE118" s="937"/>
      <c r="AF118" s="937"/>
      <c r="AG118" s="935">
        <f ca="1">+SUM(F118:AC118)</f>
        <v>1.7376203098433967</v>
      </c>
    </row>
    <row r="119" spans="1:33" ht="15" customHeight="1" x14ac:dyDescent="0.25">
      <c r="A119" s="181" t="s">
        <v>151</v>
      </c>
      <c r="B119" s="174">
        <f ca="1">(SUM(H115:K115)+L115*(1-total_tax_rate)+S115*(1-total_tax_rate)+U115*(-total_tax_rate)+Z115)/(1-total_tax_rate)</f>
        <v>-525918263.63051581</v>
      </c>
      <c r="C119" s="182">
        <f t="shared" ref="C119:C125" ca="1" si="47">B119/SUM($B$118:$B$125)</f>
        <v>0.16215426495400762</v>
      </c>
      <c r="D119" s="183">
        <f t="shared" ref="D119:D125" ca="1" si="48">H2_price_real*C119</f>
        <v>0.28153787245267498</v>
      </c>
      <c r="E119" s="179"/>
    </row>
    <row r="120" spans="1:33" ht="15" customHeight="1" x14ac:dyDescent="0.25">
      <c r="A120" s="181" t="s">
        <v>81</v>
      </c>
      <c r="B120" s="174">
        <f ca="1">M115</f>
        <v>-2572281.8934696899</v>
      </c>
      <c r="C120" s="182">
        <f t="shared" ca="1" si="47"/>
        <v>7.9310134014117244E-4</v>
      </c>
      <c r="D120" s="183">
        <f t="shared" ca="1" si="48"/>
        <v>1.3770101206159637E-3</v>
      </c>
      <c r="E120" s="179"/>
      <c r="V120" s="140"/>
    </row>
    <row r="121" spans="1:33" ht="15" customHeight="1" x14ac:dyDescent="0.25">
      <c r="A121" s="181" t="s">
        <v>82</v>
      </c>
      <c r="B121" s="174">
        <f ca="1">N115</f>
        <v>-285315548.53467399</v>
      </c>
      <c r="C121" s="182">
        <f t="shared" ca="1" si="47"/>
        <v>8.7970196610424517E-2</v>
      </c>
      <c r="D121" s="183">
        <f t="shared" ca="1" si="48"/>
        <v>0.15273691382688684</v>
      </c>
      <c r="E121" s="179"/>
      <c r="V121" s="140"/>
    </row>
    <row r="122" spans="1:33" ht="15" customHeight="1" x14ac:dyDescent="0.25">
      <c r="A122" s="181" t="s">
        <v>977</v>
      </c>
      <c r="B122" s="174">
        <f ca="1">O115</f>
        <v>-2001325349.8132958</v>
      </c>
      <c r="C122" s="182">
        <f t="shared" ca="1" si="47"/>
        <v>0.61706060328186529</v>
      </c>
      <c r="D122" s="183">
        <f t="shared" ca="1" si="48"/>
        <v>1.0713620728484381</v>
      </c>
      <c r="E122" s="179"/>
      <c r="V122" s="140"/>
    </row>
    <row r="123" spans="1:33" ht="15" customHeight="1" x14ac:dyDescent="0.25">
      <c r="A123" s="181" t="s">
        <v>83</v>
      </c>
      <c r="B123" s="174">
        <f ca="1">P115</f>
        <v>-43566939.214587167</v>
      </c>
      <c r="C123" s="182">
        <f t="shared" ca="1" si="47"/>
        <v>1.3432819305169685E-2</v>
      </c>
      <c r="D123" s="183">
        <f t="shared" ca="1" si="48"/>
        <v>2.3322527898303205E-2</v>
      </c>
      <c r="E123" s="179"/>
      <c r="V123" s="140"/>
    </row>
    <row r="124" spans="1:33" ht="15" customHeight="1" x14ac:dyDescent="0.25">
      <c r="A124" s="181" t="s">
        <v>84</v>
      </c>
      <c r="B124" s="174">
        <f ca="1">Q115</f>
        <v>0</v>
      </c>
      <c r="C124" s="182">
        <f t="shared" ca="1" si="47"/>
        <v>0</v>
      </c>
      <c r="D124" s="183">
        <f t="shared" ca="1" si="48"/>
        <v>0</v>
      </c>
      <c r="E124" s="179"/>
      <c r="V124" s="140"/>
    </row>
    <row r="125" spans="1:33" ht="29.25" customHeight="1" thickBot="1" x14ac:dyDescent="0.3">
      <c r="A125" s="184" t="s">
        <v>85</v>
      </c>
      <c r="B125" s="177">
        <f ca="1">R115</f>
        <v>-384622190.5640108</v>
      </c>
      <c r="C125" s="185">
        <f t="shared" ca="1" si="47"/>
        <v>0.11858901450839171</v>
      </c>
      <c r="D125" s="186">
        <f t="shared" ca="1" si="48"/>
        <v>0.20589836998997074</v>
      </c>
      <c r="E125" s="179"/>
      <c r="V125" s="140"/>
    </row>
    <row r="126" spans="1:33" ht="15" customHeight="1" thickTop="1" x14ac:dyDescent="0.25">
      <c r="D126" s="178"/>
      <c r="E126" s="179"/>
      <c r="K126"/>
      <c r="L126"/>
      <c r="M126"/>
      <c r="V126" s="140"/>
    </row>
    <row r="127" spans="1:33" ht="15" customHeight="1" x14ac:dyDescent="0.25">
      <c r="D127" s="178"/>
      <c r="E127" s="179"/>
      <c r="K127"/>
      <c r="L127"/>
      <c r="M127"/>
      <c r="V127" s="140"/>
    </row>
    <row r="128" spans="1:33" ht="42.75" customHeight="1" thickBot="1" x14ac:dyDescent="0.3">
      <c r="A128" s="213" t="s">
        <v>258</v>
      </c>
      <c r="B128" s="380">
        <f>(1+inflation_rate)^(startup_year-ref_year)</f>
        <v>0.9813542688910698</v>
      </c>
      <c r="P128" s="670"/>
    </row>
    <row r="129" spans="1:22" ht="51.75" customHeight="1" thickBot="1" x14ac:dyDescent="0.35">
      <c r="A129" s="187" t="s">
        <v>152</v>
      </c>
      <c r="B129" s="188"/>
      <c r="C129" s="188"/>
      <c r="D129" s="188"/>
      <c r="E129" s="188"/>
      <c r="F129" s="188"/>
      <c r="G129" s="188"/>
      <c r="H129" s="188"/>
      <c r="I129" s="188"/>
      <c r="J129" s="188"/>
      <c r="K129" s="188"/>
      <c r="L129" s="188"/>
      <c r="M129" s="188"/>
      <c r="N129" s="188"/>
      <c r="O129" s="188"/>
      <c r="P129" s="669"/>
      <c r="Q129" s="188"/>
      <c r="R129" s="188"/>
      <c r="S129" s="188"/>
      <c r="T129" s="188"/>
      <c r="U129" s="188"/>
      <c r="V129" s="221"/>
    </row>
    <row r="130" spans="1:22" ht="31.95" customHeight="1" thickTop="1" thickBot="1" x14ac:dyDescent="0.35">
      <c r="A130" s="337"/>
      <c r="B130" s="189" t="s">
        <v>64</v>
      </c>
      <c r="C130" s="215"/>
      <c r="D130" s="215"/>
      <c r="E130" s="138"/>
      <c r="F130" s="190" t="s">
        <v>65</v>
      </c>
      <c r="G130" s="215"/>
      <c r="H130" s="215"/>
      <c r="I130" s="216"/>
      <c r="J130" s="485" t="s">
        <v>976</v>
      </c>
      <c r="K130" s="218" t="s">
        <v>66</v>
      </c>
      <c r="L130" s="138"/>
      <c r="M130" s="138"/>
      <c r="N130" s="180"/>
      <c r="O130" s="358" t="s">
        <v>67</v>
      </c>
      <c r="P130" s="363"/>
      <c r="Q130" s="363"/>
      <c r="R130" s="364"/>
      <c r="S130" s="189" t="s">
        <v>70</v>
      </c>
      <c r="T130" s="374"/>
      <c r="U130" s="374"/>
      <c r="V130" s="375"/>
    </row>
    <row r="131" spans="1:22" ht="30.75" customHeight="1" thickTop="1" thickBot="1" x14ac:dyDescent="0.35">
      <c r="A131" s="338" t="s">
        <v>260</v>
      </c>
      <c r="B131" s="340" t="str">
        <f>Input_Sheet_Template!$B$75</f>
        <v>Industrial Electricity</v>
      </c>
      <c r="C131" s="341" t="str">
        <f>Input_Sheet_Template!$B$77</f>
        <v>Industrial Natural Gas</v>
      </c>
      <c r="D131" s="341"/>
      <c r="E131" s="341"/>
      <c r="F131" s="342"/>
      <c r="G131" s="341"/>
      <c r="H131" s="341"/>
      <c r="I131" s="343"/>
      <c r="J131" s="493" t="str">
        <f>IF(CO2_CashFlow_eUse&gt;0,'HyARC Physical Property Data'!A77,"")</f>
        <v/>
      </c>
      <c r="K131" s="487"/>
      <c r="L131" s="344"/>
      <c r="M131" s="344"/>
      <c r="N131" s="345"/>
      <c r="O131" s="359" t="s">
        <v>68</v>
      </c>
      <c r="P131" s="365" t="str">
        <f>Input_Sheet_Template!$B$137</f>
        <v>Process Water</v>
      </c>
      <c r="Q131" s="365"/>
      <c r="R131" s="366"/>
      <c r="S131" s="359" t="s">
        <v>68</v>
      </c>
      <c r="T131" s="365"/>
      <c r="U131" s="365"/>
      <c r="V131" s="366"/>
    </row>
    <row r="132" spans="1:22" ht="31.5" customHeight="1" thickBot="1" x14ac:dyDescent="0.35">
      <c r="A132" s="339" t="s">
        <v>912</v>
      </c>
      <c r="B132" s="346">
        <f>Input_Sheet_Template!$C$75</f>
        <v>3.5999999999999995E-3</v>
      </c>
      <c r="C132" s="347">
        <f>Input_Sheet_Template!$C$77</f>
        <v>1.0549999999999999</v>
      </c>
      <c r="D132" s="347"/>
      <c r="E132" s="347"/>
      <c r="F132" s="348"/>
      <c r="G132" s="347"/>
      <c r="H132" s="347"/>
      <c r="I132" s="349"/>
      <c r="J132" s="494">
        <f>IF(J131="",0,VLOOKUP(J131,MASTER_PROPERTY_TABLE,9,FALSE))</f>
        <v>0</v>
      </c>
      <c r="K132" s="488"/>
      <c r="L132" s="350"/>
      <c r="M132" s="350"/>
      <c r="N132" s="351"/>
      <c r="O132" s="360" t="s">
        <v>261</v>
      </c>
      <c r="P132" s="671">
        <f>Input_Sheet_Template!$D$137</f>
        <v>8.1163636363636371</v>
      </c>
      <c r="Q132" s="671"/>
      <c r="R132" s="672"/>
      <c r="S132" s="360" t="s">
        <v>261</v>
      </c>
      <c r="T132" s="367"/>
      <c r="U132" s="367"/>
      <c r="V132" s="368"/>
    </row>
    <row r="133" spans="1:22" ht="16.5" customHeight="1" thickBot="1" x14ac:dyDescent="0.35">
      <c r="A133" s="339" t="s">
        <v>261</v>
      </c>
      <c r="B133" s="346">
        <f>feedstockIndustrial_Electricity_Usage</f>
        <v>3.4949090909090907</v>
      </c>
      <c r="C133" s="347">
        <f>feedstockIndustrial_Natural_Gas_Usage</f>
        <v>0.15768017919270516</v>
      </c>
      <c r="D133" s="347"/>
      <c r="E133" s="347"/>
      <c r="F133" s="348"/>
      <c r="G133" s="347"/>
      <c r="H133" s="347"/>
      <c r="I133" s="349"/>
      <c r="J133" s="494">
        <v>0</v>
      </c>
      <c r="K133" s="488"/>
      <c r="L133" s="350"/>
      <c r="M133" s="350"/>
      <c r="N133" s="351"/>
      <c r="O133" s="360" t="s">
        <v>69</v>
      </c>
      <c r="P133" s="367">
        <f>Input_Sheet_Template!$C$137</f>
        <v>2.374951094500801E-3</v>
      </c>
      <c r="Q133" s="367"/>
      <c r="R133" s="368"/>
      <c r="S133" s="360" t="s">
        <v>71</v>
      </c>
      <c r="T133" s="367"/>
      <c r="U133" s="367"/>
      <c r="V133" s="368"/>
    </row>
    <row r="134" spans="1:22" ht="16.5" customHeight="1" thickBot="1" x14ac:dyDescent="0.35">
      <c r="A134" s="339" t="s">
        <v>262</v>
      </c>
      <c r="B134" s="346">
        <f>feedstockIndustrial_Electricity_Price</f>
        <v>6.9980611257164108E-2</v>
      </c>
      <c r="C134" s="347">
        <f>feedstockIndustrial_Natural_Gas_Price</f>
        <v>3.7336748144174337</v>
      </c>
      <c r="D134" s="347"/>
      <c r="E134" s="347"/>
      <c r="F134" s="348"/>
      <c r="G134" s="347"/>
      <c r="H134" s="347"/>
      <c r="I134" s="349"/>
      <c r="J134" s="494"/>
      <c r="K134" s="488"/>
      <c r="L134" s="350"/>
      <c r="M134" s="350"/>
      <c r="N134" s="351"/>
      <c r="O134" s="361" t="s">
        <v>263</v>
      </c>
      <c r="P134" s="369" t="str">
        <f>Input_Sheet_Template!$F$137</f>
        <v>Yes</v>
      </c>
      <c r="Q134" s="369"/>
      <c r="R134" s="370"/>
      <c r="S134" s="361" t="s">
        <v>263</v>
      </c>
      <c r="T134" s="376"/>
      <c r="U134" s="376"/>
      <c r="V134" s="377"/>
    </row>
    <row r="135" spans="1:22" ht="16.5" customHeight="1" thickBot="1" x14ac:dyDescent="0.35">
      <c r="A135" s="381" t="s">
        <v>263</v>
      </c>
      <c r="B135" s="352" t="str">
        <f>Input_Sheet_Template!$G$75</f>
        <v>yes</v>
      </c>
      <c r="C135" s="353" t="str">
        <f>Input_Sheet_Template!$G$77</f>
        <v>yes</v>
      </c>
      <c r="D135" s="353"/>
      <c r="E135" s="353"/>
      <c r="F135" s="354"/>
      <c r="G135" s="353"/>
      <c r="H135" s="353"/>
      <c r="I135" s="355"/>
      <c r="J135" s="495" t="str">
        <f>IF(J131="","","yes")</f>
        <v/>
      </c>
      <c r="K135" s="489"/>
      <c r="L135" s="356"/>
      <c r="M135" s="356"/>
      <c r="N135" s="357"/>
      <c r="O135" s="362"/>
      <c r="P135" s="371"/>
      <c r="Q135" s="371"/>
      <c r="R135" s="372"/>
      <c r="S135" s="373"/>
      <c r="T135" s="378"/>
      <c r="U135" s="378"/>
      <c r="V135" s="379"/>
    </row>
    <row r="136" spans="1:22" ht="30" customHeight="1" thickBot="1" x14ac:dyDescent="0.35">
      <c r="A136" s="339" t="s">
        <v>516</v>
      </c>
      <c r="B136" s="443">
        <f ca="1">IF(B131="",0,VLOOKUP(B131,MASTER_PROPERTY_TABLE,11,FALSE)*B132*B133)</f>
        <v>0</v>
      </c>
      <c r="C136" s="444">
        <f ca="1">IF(C131="",0,VLOOKUP(C131,MASTER_PROPERTY_TABLE,11,FALSE)*C132*C133)</f>
        <v>9.3682023858919941</v>
      </c>
      <c r="D136" s="444">
        <f>IF(D131="",0,VLOOKUP(D131,MASTER_PROPERTY_TABLE,11,FALSE)*D132*D133)</f>
        <v>0</v>
      </c>
      <c r="E136" s="445">
        <f>IF(E131="",0,VLOOKUP(E131,MASTER_PROPERTY_TABLE,11,FALSE)*E132*E133)</f>
        <v>0</v>
      </c>
      <c r="F136" s="443">
        <f>IF(F131="",,VLOOKUP(F131,MASTER_PROPERTY_TABLE,11,FALSE)*F132*F133)</f>
        <v>0</v>
      </c>
      <c r="G136" s="444">
        <f>IF(G131="",,VLOOKUP(G131,MASTER_PROPERTY_TABLE,11,FALSE)*G132*G133)</f>
        <v>0</v>
      </c>
      <c r="H136" s="444">
        <f>IF(H131="",,VLOOKUP(H131,MASTER_PROPERTY_TABLE,11,FALSE)*H132*H133)</f>
        <v>0</v>
      </c>
      <c r="I136" s="444">
        <f>IF(I131="",,VLOOKUP(I131,MASTER_PROPERTY_TABLE,11,FALSE)*I132*I133)</f>
        <v>0</v>
      </c>
      <c r="J136" s="445">
        <f>IF($J$131="",0,VLOOKUP($J$131,MASTER_PROPERTY_TABLE,12,FALSE)*$J$132*$J$133)</f>
        <v>0</v>
      </c>
      <c r="K136" s="347"/>
      <c r="L136" s="350"/>
      <c r="M136" s="350"/>
      <c r="N136" s="351"/>
      <c r="O136" s="384"/>
      <c r="P136" s="382"/>
      <c r="Q136" s="382"/>
      <c r="R136" s="383"/>
      <c r="S136" s="385"/>
      <c r="T136" s="386"/>
      <c r="U136" s="386"/>
      <c r="V136" s="387"/>
    </row>
    <row r="137" spans="1:22" ht="30" customHeight="1" thickBot="1" x14ac:dyDescent="0.35">
      <c r="A137" s="442" t="s">
        <v>913</v>
      </c>
      <c r="B137" s="388">
        <f ca="1">IF(B131="",0,IF(VLOOKUP(B131,MASTER_PROPERTY_TABLE,12,FALSE)="English",mmBTU_to_GJ,1))</f>
        <v>1</v>
      </c>
      <c r="C137" s="389">
        <f ca="1">IF(C131="",0,IF(VLOOKUP(C131,MASTER_PROPERTY_TABLE,12,FALSE)="English",mmBTU_to_GJ,1))</f>
        <v>1</v>
      </c>
      <c r="D137" s="389">
        <f>IF(D131="",0,IF(VLOOKUP(D131,MASTER_PROPERTY_TABLE,12,FALSE)="English",mmBTU_to_GJ,1))</f>
        <v>0</v>
      </c>
      <c r="E137" s="390">
        <f>IF(E131="",,IF(VLOOKUP(E131,MASTER_PROPERTY_TABLE,12,FALSE)="English",mmBTU_to_GJ,1))</f>
        <v>0</v>
      </c>
      <c r="F137" s="388">
        <f>IF(F131="",,IF(VLOOKUP(F131,MASTER_PROPERTY_TABLE,12,FALSE)="English",mmBTU_to_GJ,1))</f>
        <v>0</v>
      </c>
      <c r="G137" s="389">
        <f>IF(G131="",,IF(VLOOKUP(G131,MASTER_PROPERTY_TABLE,12,FALSE)="English",mmBTU_to_GJ,1))</f>
        <v>0</v>
      </c>
      <c r="H137" s="389">
        <f>IF(H131="",,IF(VLOOKUP(H131,MASTER_PROPERTY_TABLE,12,FALSE)="English",mmBTU_to_GJ,1))</f>
        <v>0</v>
      </c>
      <c r="I137" s="389">
        <f>IF(I131="",,IF(VLOOKUP(I131,MASTER_PROPERTY_TABLE,12,FALSE)="English",mmBTU_to_GJ,1))</f>
        <v>0</v>
      </c>
      <c r="J137" s="390">
        <f>IF($J$131="",0,IF(VLOOKUP($J$131,MASTER_PROPERTY_TABLE,12,FALSE)="English",mmBTU_to_GJ,1))</f>
        <v>0</v>
      </c>
      <c r="K137" s="389">
        <f>IF(K131="",,IF(VLOOKUP(K131,MASTER_PROPERTY_TABLE,12,FALSE)="English",mmBTU_to_GJ,1))</f>
        <v>0</v>
      </c>
      <c r="L137" s="389">
        <f>IF(L131="",,IF(VLOOKUP(L131,MASTER_PROPERTY_TABLE,12,FALSE)="English",mmBTU_to_GJ,1))</f>
        <v>0</v>
      </c>
      <c r="M137" s="389">
        <f>IF(M131="",,IF(VLOOKUP(M131,MASTER_PROPERTY_TABLE,12,FALSE)="English",mmBTU_to_GJ,1))</f>
        <v>0</v>
      </c>
      <c r="N137" s="389">
        <f>IF(N131="",,IF(VLOOKUP(N131,MASTER_PROPERTY_TABLE,12,FALSE)="English",mmBTU_to_GJ,1))</f>
        <v>0</v>
      </c>
      <c r="O137" s="441"/>
      <c r="P137" s="439"/>
      <c r="Q137" s="439"/>
      <c r="R137" s="440"/>
      <c r="S137" s="373"/>
      <c r="T137" s="378"/>
      <c r="U137" s="378"/>
      <c r="V137" s="379"/>
    </row>
    <row r="138" spans="1:22" ht="38.25" customHeight="1" thickTop="1" x14ac:dyDescent="0.25">
      <c r="A138" s="191" t="s">
        <v>1007</v>
      </c>
      <c r="B138" s="222" t="str">
        <f t="shared" ref="B138:N138" si="49">IF(B$131="","",B$131&amp;" ($/kg of H2)")</f>
        <v>Industrial Electricity ($/kg of H2)</v>
      </c>
      <c r="C138" s="222" t="str">
        <f t="shared" si="49"/>
        <v>Industrial Natural Gas ($/kg of H2)</v>
      </c>
      <c r="D138" s="222" t="str">
        <f t="shared" si="49"/>
        <v/>
      </c>
      <c r="E138" s="222" t="str">
        <f t="shared" si="49"/>
        <v/>
      </c>
      <c r="F138" s="222" t="str">
        <f t="shared" si="49"/>
        <v/>
      </c>
      <c r="G138" s="222" t="str">
        <f t="shared" si="49"/>
        <v/>
      </c>
      <c r="H138" s="222" t="str">
        <f t="shared" si="49"/>
        <v/>
      </c>
      <c r="I138" s="486" t="str">
        <f t="shared" si="49"/>
        <v/>
      </c>
      <c r="J138" s="492"/>
      <c r="K138" s="490" t="str">
        <f t="shared" si="49"/>
        <v/>
      </c>
      <c r="L138" s="222" t="str">
        <f t="shared" si="49"/>
        <v/>
      </c>
      <c r="M138" s="222" t="str">
        <f t="shared" si="49"/>
        <v/>
      </c>
      <c r="N138" s="222" t="str">
        <f t="shared" si="49"/>
        <v/>
      </c>
      <c r="O138" s="222"/>
      <c r="P138" s="222" t="str">
        <f>IF(P$131="","",P$131&amp;" ($/kg of H2)")</f>
        <v>Process Water ($/kg of H2)</v>
      </c>
      <c r="Q138" s="222" t="str">
        <f>IF(Q$131="","",Q$131&amp;" ($/kg of H2)")</f>
        <v/>
      </c>
      <c r="R138" s="222" t="str">
        <f>IF(R$131="","",R$131&amp;" ($/kg of H2)")</f>
        <v/>
      </c>
      <c r="S138" s="223"/>
      <c r="T138" s="222" t="str">
        <f>IF(T$131="","",T$131&amp;" ($/kg of H2)")</f>
        <v/>
      </c>
      <c r="U138" s="222" t="str">
        <f>IF(U$131="","",U$131&amp;" ($/kg of H2)")</f>
        <v/>
      </c>
      <c r="V138" s="222" t="str">
        <f>IF(V$131="","",V$131&amp;" ($/kg of H2)")</f>
        <v/>
      </c>
    </row>
    <row r="139" spans="1:22" ht="15" customHeight="1" x14ac:dyDescent="0.25">
      <c r="A139" s="192">
        <f t="shared" ref="A139:A182" si="50">IF(A65="","",A65)</f>
        <v>2012</v>
      </c>
      <c r="B139" s="194">
        <f ca="1">IF($A139="","",IF($B$131="","",IF($B$135="no",INFLATION_FACTOR*$B$133*$B$134,INFLATION_FACTOR*$B$133*$B$132*INDEX(FEEDPRICETABLE,MATCH($B$131,List_Energy_Feedstocks,0),MATCH($A139,Feedstock_Year,0)))))</f>
        <v>0.24224229823894211</v>
      </c>
      <c r="C139" s="194">
        <f t="shared" ref="C139:C182" ca="1" si="51">IF($A139="","",IF($C$131="","",IF($C$135="no",INFLATION_FACTOR*$C$133*$C$134,INFLATION_FACTOR*$C$133*$C$132*INDEX(FEEDPRICETABLE,MATCH($C$131,List_Energy_Feedstocks,0),MATCH($A139,Feedstock_Year,0)))))</f>
        <v>0.67896866561854818</v>
      </c>
      <c r="D139" s="194" t="str">
        <f t="shared" ref="D139:D182" si="52">IF($A139="","",IF($D$131="","",IF($D$135="no",INFLATION_FACTOR*$D$133*$D$134,INFLATION_FACTOR*$D$133*$D$132*INDEX(FEEDPRICETABLE,MATCH($D$131,List_Energy_Feedstocks,0),MATCH($A139,Feedstock_Year,0)))))</f>
        <v/>
      </c>
      <c r="E139" s="219" t="str">
        <f t="shared" ref="E139:E182" si="53">IF($A139="","",IF($E$131="","",IF($E$135="no",INFLATION_FACTOR*$E$133*$E$134,INFLATION_FACTOR*$E$133*$E$132*INDEX(FEEDPRICETABLE,MATCH($E$131,List_Energy_Feedstocks,0),MATCH($A139,Feedstock_Year,0)))))</f>
        <v/>
      </c>
      <c r="F139" s="193" t="str">
        <f>IF($A139="","",IF($F$131="","",IF($F$135="no",INFLATION_FACTOR*$F$133*$F$134,INFLATION_FACTOR*$F$133*$F$132*INDEX(FEEDPRICETABLE,MATCH($F$131,List_Energy_Feedstocks,0),MATCH($A139,Feedstock_Year,0)))))</f>
        <v/>
      </c>
      <c r="G139" s="194" t="str">
        <f t="shared" ref="G139:G182" si="54">IF($A139="","",IF($G$131="","",IF($G$135="no",INFLATION_FACTOR*$G$133*$G$134,INFLATION_FACTOR*$G$133*$G$132*INDEX(FEEDPRICETABLE,MATCH($G$131,List_Energy_Feedstocks,0),MATCH($A139,Feedstock_Year,0)))))</f>
        <v/>
      </c>
      <c r="H139" s="194" t="str">
        <f t="shared" ref="H139:H182" si="55">IF($A139="","",IF($H$131="","",IF($H$135="no",INFLATION_FACTOR*$H$133*$H$134,INFLATION_FACTOR*$H$133*$H$132*INDEX(FEEDPRICETABLE,MATCH(H$131,List_Energy_Feedstocks,0),MATCH($A139,Feedstock_Year,0)))))</f>
        <v/>
      </c>
      <c r="I139" s="219" t="str">
        <f t="shared" ref="I139:I182" si="56">IF($A139="","",IF($I$131="","",IF($I$135="no",INFLATION_FACTOR*$I$133*$I$134,INFLATION_FACTOR*$I$133*$I$132*INDEX(FEEDPRICETABLE,MATCH($I$131,List_Energy_Feedstocks,0),MATCH($A139,Feedstock_Year,0)))))</f>
        <v/>
      </c>
      <c r="J139" s="491" t="str">
        <f t="shared" ref="J139:J182" si="57">IF($A139="","",IF($J$131="","",IF($J$135="no",INFLATION_FACTOR*$J$133*$J$134,INFLATION_FACTOR*$J$133*$J$132*INDEX(FEEDPRICETABLE,MATCH($J$131,List_Energy_Feedstocks,0),MATCH($A139,Feedstock_Year,0)))))</f>
        <v/>
      </c>
      <c r="K139" s="217" t="str">
        <f t="shared" ref="K139:K182" si="58">IF($A139="","",IF($K$131="","",IF($K$135="no",INFLATION_FACTOR*$K$133*$K$134,INFLATION_FACTOR*$K$133*$K$132*INDEX(FEEDPRICETABLE,MATCH($K$131,List_Energy_Feedstocks,0),MATCH($A139,Feedstock_Year,0)))))</f>
        <v/>
      </c>
      <c r="L139" s="217" t="str">
        <f t="shared" ref="L139:L182" si="59">IF($A139="","",IF($L$131="","",IF($L$135="no",INFLATION_FACTOR*$L$133*$L$134,INFLATION_FACTOR*$L$133*$L$132*INDEX(FEEDPRICETABLE,MATCH($L$131,List_Energy_Feedstocks,0),MATCH($A139,Feedstock_Year,0)))))</f>
        <v/>
      </c>
      <c r="M139" s="194" t="str">
        <f t="shared" ref="M139:M182" si="60">IF($A139="","",IF(M$131="","",IF($M$135="no",INFLATION_FACTOR*$M$133*$M$134,INFLATION_FACTOR*$M$133*$M$132*INDEX(FEEDPRICETABLE,MATCH($M$131,List_Energy_Feedstocks,0),MATCH($A139,Feedstock_Year,0)))))</f>
        <v/>
      </c>
      <c r="N139" s="220" t="str">
        <f t="shared" ref="N139:N182" si="61">IF($A139="","",IF($N$131="","",IF($N$135="no",INFLATION_FACTOR*$N$133*$N$134,INFLATION_FACTOR*$N$133*$N$132*INDEX(FEEDPRICETABLE,MATCH($N$131,List_Energy_Feedstocks,0),MATCH($A139,Feedstock_Year,0)))))</f>
        <v/>
      </c>
      <c r="O139" s="224"/>
      <c r="P139" s="214">
        <f ca="1">IF(OR($A139="",$P$131=""),"",IF($P$134="No",INFLATION_FACTOR*$P$132*$P$133,INFLATION_FACTOR*$P$132*INDEX(Tbl_Other_Inputs_and_Byproducts,MATCH($P$131,Other_Inputs_List,0),MATCH($A139,Other_Inputs_years,0))))</f>
        <v>1.8916552209566558E-2</v>
      </c>
      <c r="Q139" s="214" t="str">
        <f>IF(OR($A139="",$Q$131=""),"",IF($Q$134="No",INFLATION_FACTOR*$Q$132*$Q$133,INFLATION_FACTOR*$Q$132*INDEX(Tbl_Other_Inputs_and_Byproducts,MATCH($Q$131,Other_Inputs_List,0),MATCH($A139,Other_Inputs_years,0))))</f>
        <v/>
      </c>
      <c r="R139" s="214" t="str">
        <f t="shared" ref="R139:R182" si="62">IF(OR($A139="",$R$131=""),"",IF($R$134="No",INFLATION_FACTOR*$R$132*$R$133,INFLATION_FACTOR*$R$132*INDEX(Tbl_Other_Inputs_and_Byproducts,MATCH($R$131,Other_Inputs_List,0),MATCH($A139,Other_Inputs_years,0))))</f>
        <v/>
      </c>
      <c r="S139" s="224"/>
      <c r="T139" s="214" t="str">
        <f t="shared" ref="T139:T182" si="63">IF(OR($A139="",$T$131=""),"",IF($T$134="No",INFLATION_FACTOR*$T$132*$T$133,INFLATION_FACTOR*$T$132*INDEX(Tbl_Other_Inputs_and_Byproducts,MATCH($T$131,Other_Inputs_List,0),MATCH($A139,Other_Inputs_years,0))))</f>
        <v/>
      </c>
      <c r="U139" s="214" t="str">
        <f t="shared" ref="U139:U182" si="64">IF(OR($A139="",$U$131=""),"",IF($U$134="No",INFLATION_FACTOR*$U$132*$U$133,INFLATION_FACTOR*$U$132*INDEX(Tbl_Other_Inputs_and_Byproducts,MATCH($U$131,Other_Inputs_List,0),MATCH($A139,Other_Inputs_years,0))))</f>
        <v/>
      </c>
      <c r="V139" s="214" t="str">
        <f t="shared" ref="V139:V182" si="65">IF(OR($A139="",$V$131=""),"",IF($V$134="No",INFLATION_FACTOR*$V$132*$V$133,INFLATION_FACTOR*$V$132*INDEX(Tbl_Other_Inputs_and_Byproducts,MATCH($V$131,Other_Inputs_List,0),MATCH($A139,Other_Inputs_years,0))))</f>
        <v/>
      </c>
    </row>
    <row r="140" spans="1:22" ht="15" customHeight="1" x14ac:dyDescent="0.25">
      <c r="A140" s="192">
        <f t="shared" si="50"/>
        <v>2013</v>
      </c>
      <c r="B140" s="194">
        <f t="shared" ref="B140:B182" ca="1" si="66">IF($A140="","",IF($B$131="","",IF($B$135="no",INFLATION_FACTOR*$B$133*$B$134,INFLATION_FACTOR*$B$133*$B$132*INDEX(FEEDPRICETABLE,MATCH($B$131,List_Energy_Feedstocks,0),MATCH($A140,Feedstock_Year,0)))))</f>
        <v>0.24626032067296602</v>
      </c>
      <c r="C140" s="194">
        <f t="shared" ca="1" si="51"/>
        <v>0.79907411330891298</v>
      </c>
      <c r="D140" s="194" t="str">
        <f t="shared" si="52"/>
        <v/>
      </c>
      <c r="E140" s="219" t="str">
        <f t="shared" si="53"/>
        <v/>
      </c>
      <c r="F140" s="193" t="str">
        <f t="shared" ref="F140:F182" si="67">IF($A140="","",IF($F$131="","",IF($F$135="no",INFLATION_FACTOR*$F$133*$F$134,INFLATION_FACTOR*$F$133*$F$132*INDEX(FEEDPRICETABLE,MATCH($F$131,List_Energy_Feedstocks,0),MATCH($A140,Feedstock_Year,0)))))</f>
        <v/>
      </c>
      <c r="G140" s="194" t="str">
        <f t="shared" si="54"/>
        <v/>
      </c>
      <c r="H140" s="194" t="str">
        <f t="shared" si="55"/>
        <v/>
      </c>
      <c r="I140" s="219" t="str">
        <f t="shared" si="56"/>
        <v/>
      </c>
      <c r="J140" s="491" t="str">
        <f t="shared" si="57"/>
        <v/>
      </c>
      <c r="K140" s="217" t="str">
        <f t="shared" si="58"/>
        <v/>
      </c>
      <c r="L140" s="217" t="str">
        <f t="shared" si="59"/>
        <v/>
      </c>
      <c r="M140" s="194" t="str">
        <f t="shared" si="60"/>
        <v/>
      </c>
      <c r="N140" s="220" t="str">
        <f t="shared" si="61"/>
        <v/>
      </c>
      <c r="O140" s="225"/>
      <c r="P140" s="214">
        <f t="shared" ref="P140:P182" ca="1" si="68">IF(OR($A140="",$P$131=""),"",IF($P$134="No",INFLATION_FACTOR*$P$132*$P$133,INFLATION_FACTOR*$P$132*INDEX(Tbl_Other_Inputs_and_Byproducts,MATCH($P$131,Other_Inputs_List,0),MATCH($A140,Other_Inputs_years,0))))</f>
        <v>1.8916552209566558E-2</v>
      </c>
      <c r="Q140" s="214" t="str">
        <f t="shared" ref="Q140:Q182" si="69">IF(OR($A140="",$Q$131=""),"",IF($Q$134="No",INFLATION_FACTOR*$Q$132*$Q$133,INFLATION_FACTOR*$Q$132*INDEX(Tbl_Other_Inputs_and_Byproducts,MATCH($Q$131,Other_Inputs_List,0),MATCH($A140,Other_Inputs_years,0))))</f>
        <v/>
      </c>
      <c r="R140" s="214" t="str">
        <f t="shared" si="62"/>
        <v/>
      </c>
      <c r="S140" s="224"/>
      <c r="T140" s="214" t="str">
        <f t="shared" si="63"/>
        <v/>
      </c>
      <c r="U140" s="214" t="str">
        <f t="shared" si="64"/>
        <v/>
      </c>
      <c r="V140" s="214" t="str">
        <f t="shared" si="65"/>
        <v/>
      </c>
    </row>
    <row r="141" spans="1:22" ht="15" customHeight="1" x14ac:dyDescent="0.25">
      <c r="A141" s="192">
        <f t="shared" si="50"/>
        <v>2014</v>
      </c>
      <c r="B141" s="194">
        <f t="shared" ca="1" si="66"/>
        <v>0.24929595954146669</v>
      </c>
      <c r="C141" s="194">
        <f t="shared" ca="1" si="51"/>
        <v>0.9507953932472667</v>
      </c>
      <c r="D141" s="194" t="str">
        <f t="shared" si="52"/>
        <v/>
      </c>
      <c r="E141" s="219" t="str">
        <f t="shared" si="53"/>
        <v/>
      </c>
      <c r="F141" s="193" t="str">
        <f t="shared" si="67"/>
        <v/>
      </c>
      <c r="G141" s="194" t="str">
        <f t="shared" si="54"/>
        <v/>
      </c>
      <c r="H141" s="194" t="str">
        <f t="shared" si="55"/>
        <v/>
      </c>
      <c r="I141" s="219" t="str">
        <f t="shared" si="56"/>
        <v/>
      </c>
      <c r="J141" s="491" t="str">
        <f t="shared" si="57"/>
        <v/>
      </c>
      <c r="K141" s="217" t="str">
        <f t="shared" si="58"/>
        <v/>
      </c>
      <c r="L141" s="217" t="str">
        <f t="shared" si="59"/>
        <v/>
      </c>
      <c r="M141" s="194" t="str">
        <f t="shared" si="60"/>
        <v/>
      </c>
      <c r="N141" s="220" t="str">
        <f t="shared" si="61"/>
        <v/>
      </c>
      <c r="O141" s="225"/>
      <c r="P141" s="214">
        <f t="shared" ca="1" si="68"/>
        <v>1.8916552209566558E-2</v>
      </c>
      <c r="Q141" s="214" t="str">
        <f t="shared" si="69"/>
        <v/>
      </c>
      <c r="R141" s="214" t="str">
        <f t="shared" si="62"/>
        <v/>
      </c>
      <c r="S141" s="224"/>
      <c r="T141" s="214" t="str">
        <f t="shared" si="63"/>
        <v/>
      </c>
      <c r="U141" s="214" t="str">
        <f t="shared" si="64"/>
        <v/>
      </c>
      <c r="V141" s="214" t="str">
        <f t="shared" si="65"/>
        <v/>
      </c>
    </row>
    <row r="142" spans="1:22" ht="15" customHeight="1" x14ac:dyDescent="0.25">
      <c r="A142" s="192">
        <f t="shared" si="50"/>
        <v>2015</v>
      </c>
      <c r="B142" s="194">
        <f t="shared" ca="1" si="66"/>
        <v>0.24001557847893815</v>
      </c>
      <c r="C142" s="194">
        <f t="shared" ca="1" si="51"/>
        <v>0.57774927751190497</v>
      </c>
      <c r="D142" s="194" t="str">
        <f t="shared" si="52"/>
        <v/>
      </c>
      <c r="E142" s="219" t="str">
        <f t="shared" si="53"/>
        <v/>
      </c>
      <c r="F142" s="193" t="str">
        <f t="shared" si="67"/>
        <v/>
      </c>
      <c r="G142" s="194" t="str">
        <f t="shared" si="54"/>
        <v/>
      </c>
      <c r="H142" s="194" t="str">
        <f t="shared" si="55"/>
        <v/>
      </c>
      <c r="I142" s="219" t="str">
        <f t="shared" si="56"/>
        <v/>
      </c>
      <c r="J142" s="491" t="str">
        <f t="shared" si="57"/>
        <v/>
      </c>
      <c r="K142" s="217" t="str">
        <f t="shared" si="58"/>
        <v/>
      </c>
      <c r="L142" s="217" t="str">
        <f t="shared" si="59"/>
        <v/>
      </c>
      <c r="M142" s="194" t="str">
        <f t="shared" si="60"/>
        <v/>
      </c>
      <c r="N142" s="220" t="str">
        <f t="shared" si="61"/>
        <v/>
      </c>
      <c r="O142" s="225"/>
      <c r="P142" s="214">
        <f t="shared" ca="1" si="68"/>
        <v>1.8916552209566558E-2</v>
      </c>
      <c r="Q142" s="214" t="str">
        <f t="shared" si="69"/>
        <v/>
      </c>
      <c r="R142" s="214" t="str">
        <f t="shared" si="62"/>
        <v/>
      </c>
      <c r="S142" s="224"/>
      <c r="T142" s="214" t="str">
        <f t="shared" si="63"/>
        <v/>
      </c>
      <c r="U142" s="214" t="str">
        <f t="shared" si="64"/>
        <v/>
      </c>
      <c r="V142" s="214" t="str">
        <f t="shared" si="65"/>
        <v/>
      </c>
    </row>
    <row r="143" spans="1:22" ht="15" customHeight="1" x14ac:dyDescent="0.25">
      <c r="A143" s="192">
        <f t="shared" si="50"/>
        <v>2016</v>
      </c>
      <c r="B143" s="194">
        <f t="shared" ca="1" si="66"/>
        <v>0.23185062649049581</v>
      </c>
      <c r="C143" s="194">
        <f t="shared" ca="1" si="51"/>
        <v>0.54147686991164157</v>
      </c>
      <c r="D143" s="194" t="str">
        <f t="shared" si="52"/>
        <v/>
      </c>
      <c r="E143" s="219" t="str">
        <f t="shared" si="53"/>
        <v/>
      </c>
      <c r="F143" s="193" t="str">
        <f t="shared" si="67"/>
        <v/>
      </c>
      <c r="G143" s="194" t="str">
        <f t="shared" si="54"/>
        <v/>
      </c>
      <c r="H143" s="194" t="str">
        <f t="shared" si="55"/>
        <v/>
      </c>
      <c r="I143" s="219" t="str">
        <f t="shared" si="56"/>
        <v/>
      </c>
      <c r="J143" s="491" t="str">
        <f t="shared" si="57"/>
        <v/>
      </c>
      <c r="K143" s="217" t="str">
        <f t="shared" si="58"/>
        <v/>
      </c>
      <c r="L143" s="217" t="str">
        <f t="shared" si="59"/>
        <v/>
      </c>
      <c r="M143" s="194" t="str">
        <f t="shared" si="60"/>
        <v/>
      </c>
      <c r="N143" s="220" t="str">
        <f t="shared" si="61"/>
        <v/>
      </c>
      <c r="O143" s="225"/>
      <c r="P143" s="214">
        <f t="shared" ca="1" si="68"/>
        <v>1.8916552209566558E-2</v>
      </c>
      <c r="Q143" s="214" t="str">
        <f t="shared" si="69"/>
        <v/>
      </c>
      <c r="R143" s="214" t="str">
        <f t="shared" si="62"/>
        <v/>
      </c>
      <c r="S143" s="224"/>
      <c r="T143" s="214" t="str">
        <f t="shared" si="63"/>
        <v/>
      </c>
      <c r="U143" s="214" t="str">
        <f t="shared" si="64"/>
        <v/>
      </c>
      <c r="V143" s="214" t="str">
        <f t="shared" si="65"/>
        <v/>
      </c>
    </row>
    <row r="144" spans="1:22" ht="15" customHeight="1" x14ac:dyDescent="0.25">
      <c r="A144" s="192">
        <f t="shared" si="50"/>
        <v>2017</v>
      </c>
      <c r="B144" s="194">
        <f t="shared" ca="1" si="66"/>
        <v>0.24123096388937998</v>
      </c>
      <c r="C144" s="194">
        <f t="shared" ca="1" si="51"/>
        <v>0.63156147478943903</v>
      </c>
      <c r="D144" s="194" t="str">
        <f t="shared" si="52"/>
        <v/>
      </c>
      <c r="E144" s="219" t="str">
        <f t="shared" si="53"/>
        <v/>
      </c>
      <c r="F144" s="193" t="str">
        <f t="shared" si="67"/>
        <v/>
      </c>
      <c r="G144" s="194" t="str">
        <f t="shared" si="54"/>
        <v/>
      </c>
      <c r="H144" s="194" t="str">
        <f t="shared" si="55"/>
        <v/>
      </c>
      <c r="I144" s="219" t="str">
        <f t="shared" si="56"/>
        <v/>
      </c>
      <c r="J144" s="491" t="str">
        <f t="shared" si="57"/>
        <v/>
      </c>
      <c r="K144" s="217" t="str">
        <f t="shared" si="58"/>
        <v/>
      </c>
      <c r="L144" s="217" t="str">
        <f t="shared" si="59"/>
        <v/>
      </c>
      <c r="M144" s="194" t="str">
        <f t="shared" si="60"/>
        <v/>
      </c>
      <c r="N144" s="220" t="str">
        <f t="shared" si="61"/>
        <v/>
      </c>
      <c r="O144" s="225"/>
      <c r="P144" s="214">
        <f t="shared" ca="1" si="68"/>
        <v>1.8916552209566558E-2</v>
      </c>
      <c r="Q144" s="214" t="str">
        <f t="shared" si="69"/>
        <v/>
      </c>
      <c r="R144" s="214" t="str">
        <f t="shared" si="62"/>
        <v/>
      </c>
      <c r="S144" s="224"/>
      <c r="T144" s="214" t="str">
        <f t="shared" si="63"/>
        <v/>
      </c>
      <c r="U144" s="214" t="str">
        <f t="shared" si="64"/>
        <v/>
      </c>
      <c r="V144" s="214" t="str">
        <f t="shared" si="65"/>
        <v/>
      </c>
    </row>
    <row r="145" spans="1:22" ht="15" customHeight="1" x14ac:dyDescent="0.25">
      <c r="A145" s="192">
        <f t="shared" si="50"/>
        <v>2018</v>
      </c>
      <c r="B145" s="194">
        <f t="shared" ca="1" si="66"/>
        <v>0.23576361675254276</v>
      </c>
      <c r="C145" s="194">
        <f t="shared" ca="1" si="51"/>
        <v>0.6906203214580674</v>
      </c>
      <c r="D145" s="194" t="str">
        <f t="shared" si="52"/>
        <v/>
      </c>
      <c r="E145" s="219" t="str">
        <f t="shared" si="53"/>
        <v/>
      </c>
      <c r="F145" s="193" t="str">
        <f t="shared" si="67"/>
        <v/>
      </c>
      <c r="G145" s="194" t="str">
        <f t="shared" si="54"/>
        <v/>
      </c>
      <c r="H145" s="194" t="str">
        <f t="shared" si="55"/>
        <v/>
      </c>
      <c r="I145" s="219" t="str">
        <f t="shared" si="56"/>
        <v/>
      </c>
      <c r="J145" s="491" t="str">
        <f t="shared" si="57"/>
        <v/>
      </c>
      <c r="K145" s="217" t="str">
        <f t="shared" si="58"/>
        <v/>
      </c>
      <c r="L145" s="217" t="str">
        <f t="shared" si="59"/>
        <v/>
      </c>
      <c r="M145" s="194" t="str">
        <f t="shared" si="60"/>
        <v/>
      </c>
      <c r="N145" s="220" t="str">
        <f t="shared" si="61"/>
        <v/>
      </c>
      <c r="O145" s="225"/>
      <c r="P145" s="214">
        <f t="shared" ca="1" si="68"/>
        <v>1.8916552209566558E-2</v>
      </c>
      <c r="Q145" s="214" t="str">
        <f t="shared" si="69"/>
        <v/>
      </c>
      <c r="R145" s="214" t="str">
        <f t="shared" si="62"/>
        <v/>
      </c>
      <c r="S145" s="224"/>
      <c r="T145" s="214" t="str">
        <f t="shared" si="63"/>
        <v/>
      </c>
      <c r="U145" s="214" t="str">
        <f t="shared" si="64"/>
        <v/>
      </c>
      <c r="V145" s="214" t="str">
        <f t="shared" si="65"/>
        <v/>
      </c>
    </row>
    <row r="146" spans="1:22" ht="15" customHeight="1" x14ac:dyDescent="0.25">
      <c r="A146" s="192">
        <f t="shared" si="50"/>
        <v>2019</v>
      </c>
      <c r="B146" s="194">
        <f t="shared" ca="1" si="66"/>
        <v>0.23880336458081791</v>
      </c>
      <c r="C146" s="194">
        <f t="shared" ca="1" si="51"/>
        <v>0.75707411526893897</v>
      </c>
      <c r="D146" s="194" t="str">
        <f t="shared" si="52"/>
        <v/>
      </c>
      <c r="E146" s="219" t="str">
        <f t="shared" si="53"/>
        <v/>
      </c>
      <c r="F146" s="193" t="str">
        <f t="shared" si="67"/>
        <v/>
      </c>
      <c r="G146" s="194" t="str">
        <f t="shared" si="54"/>
        <v/>
      </c>
      <c r="H146" s="194" t="str">
        <f t="shared" si="55"/>
        <v/>
      </c>
      <c r="I146" s="219" t="str">
        <f t="shared" si="56"/>
        <v/>
      </c>
      <c r="J146" s="491" t="str">
        <f t="shared" si="57"/>
        <v/>
      </c>
      <c r="K146" s="217" t="str">
        <f t="shared" si="58"/>
        <v/>
      </c>
      <c r="L146" s="217" t="str">
        <f t="shared" si="59"/>
        <v/>
      </c>
      <c r="M146" s="194" t="str">
        <f t="shared" si="60"/>
        <v/>
      </c>
      <c r="N146" s="220" t="str">
        <f t="shared" si="61"/>
        <v/>
      </c>
      <c r="O146" s="225"/>
      <c r="P146" s="214">
        <f t="shared" ca="1" si="68"/>
        <v>1.8916552209566558E-2</v>
      </c>
      <c r="Q146" s="214" t="str">
        <f t="shared" si="69"/>
        <v/>
      </c>
      <c r="R146" s="214" t="str">
        <f t="shared" si="62"/>
        <v/>
      </c>
      <c r="S146" s="224"/>
      <c r="T146" s="214" t="str">
        <f t="shared" si="63"/>
        <v/>
      </c>
      <c r="U146" s="214" t="str">
        <f t="shared" si="64"/>
        <v/>
      </c>
      <c r="V146" s="214" t="str">
        <f t="shared" si="65"/>
        <v/>
      </c>
    </row>
    <row r="147" spans="1:22" ht="15" customHeight="1" x14ac:dyDescent="0.25">
      <c r="A147" s="192">
        <f t="shared" si="50"/>
        <v>2020</v>
      </c>
      <c r="B147" s="194">
        <f t="shared" ca="1" si="66"/>
        <v>0.2432464150262042</v>
      </c>
      <c r="C147" s="194">
        <f t="shared" ca="1" si="51"/>
        <v>0.82276415240308398</v>
      </c>
      <c r="D147" s="194" t="str">
        <f t="shared" si="52"/>
        <v/>
      </c>
      <c r="E147" s="219" t="str">
        <f t="shared" si="53"/>
        <v/>
      </c>
      <c r="F147" s="193" t="str">
        <f t="shared" si="67"/>
        <v/>
      </c>
      <c r="G147" s="194" t="str">
        <f t="shared" si="54"/>
        <v/>
      </c>
      <c r="H147" s="194" t="str">
        <f t="shared" si="55"/>
        <v/>
      </c>
      <c r="I147" s="219" t="str">
        <f t="shared" si="56"/>
        <v/>
      </c>
      <c r="J147" s="491" t="str">
        <f t="shared" si="57"/>
        <v/>
      </c>
      <c r="K147" s="217" t="str">
        <f t="shared" si="58"/>
        <v/>
      </c>
      <c r="L147" s="217" t="str">
        <f t="shared" si="59"/>
        <v/>
      </c>
      <c r="M147" s="194" t="str">
        <f t="shared" si="60"/>
        <v/>
      </c>
      <c r="N147" s="220" t="str">
        <f t="shared" si="61"/>
        <v/>
      </c>
      <c r="O147" s="225"/>
      <c r="P147" s="214">
        <f t="shared" ca="1" si="68"/>
        <v>1.8916552209566558E-2</v>
      </c>
      <c r="Q147" s="214" t="str">
        <f t="shared" si="69"/>
        <v/>
      </c>
      <c r="R147" s="214" t="str">
        <f t="shared" si="62"/>
        <v/>
      </c>
      <c r="S147" s="224"/>
      <c r="T147" s="214" t="str">
        <f t="shared" si="63"/>
        <v/>
      </c>
      <c r="U147" s="214" t="str">
        <f t="shared" si="64"/>
        <v/>
      </c>
      <c r="V147" s="214" t="str">
        <f t="shared" si="65"/>
        <v/>
      </c>
    </row>
    <row r="148" spans="1:22" ht="15" customHeight="1" x14ac:dyDescent="0.25">
      <c r="A148" s="192">
        <f t="shared" si="50"/>
        <v>2021</v>
      </c>
      <c r="B148" s="194">
        <f t="shared" ca="1" si="66"/>
        <v>0.24458613649114733</v>
      </c>
      <c r="C148" s="194">
        <f t="shared" ca="1" si="51"/>
        <v>0.82363668560812064</v>
      </c>
      <c r="D148" s="194" t="str">
        <f t="shared" si="52"/>
        <v/>
      </c>
      <c r="E148" s="219" t="str">
        <f t="shared" si="53"/>
        <v/>
      </c>
      <c r="F148" s="193" t="str">
        <f t="shared" si="67"/>
        <v/>
      </c>
      <c r="G148" s="194" t="str">
        <f t="shared" si="54"/>
        <v/>
      </c>
      <c r="H148" s="194" t="str">
        <f t="shared" si="55"/>
        <v/>
      </c>
      <c r="I148" s="219" t="str">
        <f t="shared" si="56"/>
        <v/>
      </c>
      <c r="J148" s="491" t="str">
        <f t="shared" si="57"/>
        <v/>
      </c>
      <c r="K148" s="217" t="str">
        <f t="shared" si="58"/>
        <v/>
      </c>
      <c r="L148" s="217" t="str">
        <f t="shared" si="59"/>
        <v/>
      </c>
      <c r="M148" s="194" t="str">
        <f t="shared" si="60"/>
        <v/>
      </c>
      <c r="N148" s="220" t="str">
        <f t="shared" si="61"/>
        <v/>
      </c>
      <c r="O148" s="225"/>
      <c r="P148" s="214">
        <f t="shared" ca="1" si="68"/>
        <v>1.8916552209566558E-2</v>
      </c>
      <c r="Q148" s="214" t="str">
        <f t="shared" si="69"/>
        <v/>
      </c>
      <c r="R148" s="214" t="str">
        <f t="shared" si="62"/>
        <v/>
      </c>
      <c r="S148" s="224"/>
      <c r="T148" s="214" t="str">
        <f t="shared" si="63"/>
        <v/>
      </c>
      <c r="U148" s="214" t="str">
        <f t="shared" si="64"/>
        <v/>
      </c>
      <c r="V148" s="214" t="str">
        <f t="shared" si="65"/>
        <v/>
      </c>
    </row>
    <row r="149" spans="1:22" ht="15" customHeight="1" x14ac:dyDescent="0.25">
      <c r="A149" s="192">
        <f t="shared" si="50"/>
        <v>2022</v>
      </c>
      <c r="B149" s="194">
        <f t="shared" ca="1" si="66"/>
        <v>0.25248081377282489</v>
      </c>
      <c r="C149" s="194">
        <f t="shared" ca="1" si="51"/>
        <v>0.81453148673413966</v>
      </c>
      <c r="D149" s="194" t="str">
        <f t="shared" si="52"/>
        <v/>
      </c>
      <c r="E149" s="219" t="str">
        <f t="shared" si="53"/>
        <v/>
      </c>
      <c r="F149" s="193" t="str">
        <f t="shared" si="67"/>
        <v/>
      </c>
      <c r="G149" s="194" t="str">
        <f t="shared" si="54"/>
        <v/>
      </c>
      <c r="H149" s="194" t="str">
        <f t="shared" si="55"/>
        <v/>
      </c>
      <c r="I149" s="219" t="str">
        <f t="shared" si="56"/>
        <v/>
      </c>
      <c r="J149" s="491" t="str">
        <f t="shared" si="57"/>
        <v/>
      </c>
      <c r="K149" s="217" t="str">
        <f t="shared" si="58"/>
        <v/>
      </c>
      <c r="L149" s="217" t="str">
        <f t="shared" si="59"/>
        <v/>
      </c>
      <c r="M149" s="194" t="str">
        <f t="shared" si="60"/>
        <v/>
      </c>
      <c r="N149" s="220" t="str">
        <f t="shared" si="61"/>
        <v/>
      </c>
      <c r="O149" s="225"/>
      <c r="P149" s="214">
        <f t="shared" ca="1" si="68"/>
        <v>1.8916552209566558E-2</v>
      </c>
      <c r="Q149" s="214" t="str">
        <f t="shared" si="69"/>
        <v/>
      </c>
      <c r="R149" s="214" t="str">
        <f t="shared" si="62"/>
        <v/>
      </c>
      <c r="S149" s="224"/>
      <c r="T149" s="214" t="str">
        <f t="shared" si="63"/>
        <v/>
      </c>
      <c r="U149" s="214" t="str">
        <f t="shared" si="64"/>
        <v/>
      </c>
      <c r="V149" s="214" t="str">
        <f t="shared" si="65"/>
        <v/>
      </c>
    </row>
    <row r="150" spans="1:22" ht="15" customHeight="1" x14ac:dyDescent="0.25">
      <c r="A150" s="192">
        <f t="shared" si="50"/>
        <v>2023</v>
      </c>
      <c r="B150" s="194">
        <f t="shared" ca="1" si="66"/>
        <v>0.25328102581459566</v>
      </c>
      <c r="C150" s="194">
        <f t="shared" ca="1" si="51"/>
        <v>0.816397089297205</v>
      </c>
      <c r="D150" s="194" t="str">
        <f t="shared" si="52"/>
        <v/>
      </c>
      <c r="E150" s="219" t="str">
        <f t="shared" si="53"/>
        <v/>
      </c>
      <c r="F150" s="193" t="str">
        <f t="shared" si="67"/>
        <v/>
      </c>
      <c r="G150" s="194" t="str">
        <f t="shared" si="54"/>
        <v/>
      </c>
      <c r="H150" s="194" t="str">
        <f t="shared" si="55"/>
        <v/>
      </c>
      <c r="I150" s="219" t="str">
        <f t="shared" si="56"/>
        <v/>
      </c>
      <c r="J150" s="491" t="str">
        <f t="shared" si="57"/>
        <v/>
      </c>
      <c r="K150" s="217" t="str">
        <f t="shared" si="58"/>
        <v/>
      </c>
      <c r="L150" s="217" t="str">
        <f t="shared" si="59"/>
        <v/>
      </c>
      <c r="M150" s="194" t="str">
        <f t="shared" si="60"/>
        <v/>
      </c>
      <c r="N150" s="220" t="str">
        <f t="shared" si="61"/>
        <v/>
      </c>
      <c r="O150" s="225"/>
      <c r="P150" s="214">
        <f t="shared" ca="1" si="68"/>
        <v>1.8916552209566558E-2</v>
      </c>
      <c r="Q150" s="214" t="str">
        <f t="shared" si="69"/>
        <v/>
      </c>
      <c r="R150" s="214" t="str">
        <f t="shared" si="62"/>
        <v/>
      </c>
      <c r="S150" s="224"/>
      <c r="T150" s="214" t="str">
        <f t="shared" si="63"/>
        <v/>
      </c>
      <c r="U150" s="214" t="str">
        <f t="shared" si="64"/>
        <v/>
      </c>
      <c r="V150" s="214" t="str">
        <f t="shared" si="65"/>
        <v/>
      </c>
    </row>
    <row r="151" spans="1:22" ht="15" customHeight="1" x14ac:dyDescent="0.25">
      <c r="A151" s="192">
        <f t="shared" si="50"/>
        <v>2024</v>
      </c>
      <c r="B151" s="194">
        <f t="shared" ca="1" si="66"/>
        <v>0.25261333594605329</v>
      </c>
      <c r="C151" s="194">
        <f t="shared" ca="1" si="51"/>
        <v>0.83039862453227453</v>
      </c>
      <c r="D151" s="194" t="str">
        <f t="shared" si="52"/>
        <v/>
      </c>
      <c r="E151" s="219" t="str">
        <f t="shared" si="53"/>
        <v/>
      </c>
      <c r="F151" s="193" t="str">
        <f t="shared" si="67"/>
        <v/>
      </c>
      <c r="G151" s="194" t="str">
        <f t="shared" si="54"/>
        <v/>
      </c>
      <c r="H151" s="194" t="str">
        <f t="shared" si="55"/>
        <v/>
      </c>
      <c r="I151" s="219" t="str">
        <f t="shared" si="56"/>
        <v/>
      </c>
      <c r="J151" s="491" t="str">
        <f t="shared" si="57"/>
        <v/>
      </c>
      <c r="K151" s="217" t="str">
        <f t="shared" si="58"/>
        <v/>
      </c>
      <c r="L151" s="217" t="str">
        <f t="shared" si="59"/>
        <v/>
      </c>
      <c r="M151" s="194" t="str">
        <f t="shared" si="60"/>
        <v/>
      </c>
      <c r="N151" s="220" t="str">
        <f t="shared" si="61"/>
        <v/>
      </c>
      <c r="O151" s="225"/>
      <c r="P151" s="214">
        <f t="shared" ca="1" si="68"/>
        <v>1.8916552209566558E-2</v>
      </c>
      <c r="Q151" s="214" t="str">
        <f t="shared" si="69"/>
        <v/>
      </c>
      <c r="R151" s="214" t="str">
        <f t="shared" si="62"/>
        <v/>
      </c>
      <c r="S151" s="224"/>
      <c r="T151" s="214" t="str">
        <f t="shared" si="63"/>
        <v/>
      </c>
      <c r="U151" s="214" t="str">
        <f t="shared" si="64"/>
        <v/>
      </c>
      <c r="V151" s="214" t="str">
        <f t="shared" si="65"/>
        <v/>
      </c>
    </row>
    <row r="152" spans="1:22" ht="15" customHeight="1" x14ac:dyDescent="0.25">
      <c r="A152" s="192">
        <f t="shared" si="50"/>
        <v>2025</v>
      </c>
      <c r="B152" s="194">
        <f t="shared" ca="1" si="66"/>
        <v>0.25867897552232266</v>
      </c>
      <c r="C152" s="194">
        <f t="shared" ca="1" si="51"/>
        <v>0.8486682845993585</v>
      </c>
      <c r="D152" s="194" t="str">
        <f t="shared" si="52"/>
        <v/>
      </c>
      <c r="E152" s="219" t="str">
        <f t="shared" si="53"/>
        <v/>
      </c>
      <c r="F152" s="193" t="str">
        <f t="shared" si="67"/>
        <v/>
      </c>
      <c r="G152" s="194" t="str">
        <f t="shared" si="54"/>
        <v/>
      </c>
      <c r="H152" s="194" t="str">
        <f t="shared" si="55"/>
        <v/>
      </c>
      <c r="I152" s="219" t="str">
        <f t="shared" si="56"/>
        <v/>
      </c>
      <c r="J152" s="491" t="str">
        <f t="shared" si="57"/>
        <v/>
      </c>
      <c r="K152" s="217" t="str">
        <f t="shared" si="58"/>
        <v/>
      </c>
      <c r="L152" s="217" t="str">
        <f t="shared" si="59"/>
        <v/>
      </c>
      <c r="M152" s="194" t="str">
        <f t="shared" si="60"/>
        <v/>
      </c>
      <c r="N152" s="220" t="str">
        <f t="shared" si="61"/>
        <v/>
      </c>
      <c r="O152" s="225"/>
      <c r="P152" s="214">
        <f t="shared" ca="1" si="68"/>
        <v>1.8916552209566558E-2</v>
      </c>
      <c r="Q152" s="214" t="str">
        <f t="shared" si="69"/>
        <v/>
      </c>
      <c r="R152" s="214" t="str">
        <f t="shared" si="62"/>
        <v/>
      </c>
      <c r="S152" s="224"/>
      <c r="T152" s="214" t="str">
        <f t="shared" si="63"/>
        <v/>
      </c>
      <c r="U152" s="214" t="str">
        <f t="shared" si="64"/>
        <v/>
      </c>
      <c r="V152" s="214" t="str">
        <f t="shared" si="65"/>
        <v/>
      </c>
    </row>
    <row r="153" spans="1:22" ht="15" customHeight="1" x14ac:dyDescent="0.25">
      <c r="A153" s="192">
        <f t="shared" si="50"/>
        <v>2026</v>
      </c>
      <c r="B153" s="194">
        <f t="shared" ca="1" si="66"/>
        <v>0.26130596663479366</v>
      </c>
      <c r="C153" s="194">
        <f t="shared" ca="1" si="51"/>
        <v>0.86755965745556074</v>
      </c>
      <c r="D153" s="194" t="str">
        <f t="shared" si="52"/>
        <v/>
      </c>
      <c r="E153" s="219" t="str">
        <f t="shared" si="53"/>
        <v/>
      </c>
      <c r="F153" s="193" t="str">
        <f t="shared" si="67"/>
        <v/>
      </c>
      <c r="G153" s="194" t="str">
        <f t="shared" si="54"/>
        <v/>
      </c>
      <c r="H153" s="194" t="str">
        <f t="shared" si="55"/>
        <v/>
      </c>
      <c r="I153" s="219" t="str">
        <f t="shared" si="56"/>
        <v/>
      </c>
      <c r="J153" s="491" t="str">
        <f t="shared" si="57"/>
        <v/>
      </c>
      <c r="K153" s="217" t="str">
        <f t="shared" si="58"/>
        <v/>
      </c>
      <c r="L153" s="217" t="str">
        <f t="shared" si="59"/>
        <v/>
      </c>
      <c r="M153" s="194" t="str">
        <f t="shared" si="60"/>
        <v/>
      </c>
      <c r="N153" s="220" t="str">
        <f t="shared" si="61"/>
        <v/>
      </c>
      <c r="O153" s="225"/>
      <c r="P153" s="214">
        <f t="shared" ca="1" si="68"/>
        <v>1.8916552209566558E-2</v>
      </c>
      <c r="Q153" s="214" t="str">
        <f t="shared" si="69"/>
        <v/>
      </c>
      <c r="R153" s="214" t="str">
        <f t="shared" si="62"/>
        <v/>
      </c>
      <c r="S153" s="224"/>
      <c r="T153" s="214" t="str">
        <f t="shared" si="63"/>
        <v/>
      </c>
      <c r="U153" s="214" t="str">
        <f t="shared" si="64"/>
        <v/>
      </c>
      <c r="V153" s="214" t="str">
        <f t="shared" si="65"/>
        <v/>
      </c>
    </row>
    <row r="154" spans="1:22" ht="15" customHeight="1" x14ac:dyDescent="0.25">
      <c r="A154" s="192">
        <f t="shared" si="50"/>
        <v>2027</v>
      </c>
      <c r="B154" s="194">
        <f t="shared" ca="1" si="66"/>
        <v>0.26281153976337096</v>
      </c>
      <c r="C154" s="194">
        <f t="shared" ca="1" si="51"/>
        <v>0.88269336603009696</v>
      </c>
      <c r="D154" s="194" t="str">
        <f t="shared" si="52"/>
        <v/>
      </c>
      <c r="E154" s="219" t="str">
        <f t="shared" si="53"/>
        <v/>
      </c>
      <c r="F154" s="193" t="str">
        <f t="shared" si="67"/>
        <v/>
      </c>
      <c r="G154" s="194" t="str">
        <f t="shared" si="54"/>
        <v/>
      </c>
      <c r="H154" s="194" t="str">
        <f t="shared" si="55"/>
        <v/>
      </c>
      <c r="I154" s="219" t="str">
        <f t="shared" si="56"/>
        <v/>
      </c>
      <c r="J154" s="491" t="str">
        <f t="shared" si="57"/>
        <v/>
      </c>
      <c r="K154" s="217" t="str">
        <f t="shared" si="58"/>
        <v/>
      </c>
      <c r="L154" s="217" t="str">
        <f t="shared" si="59"/>
        <v/>
      </c>
      <c r="M154" s="194" t="str">
        <f t="shared" si="60"/>
        <v/>
      </c>
      <c r="N154" s="220" t="str">
        <f t="shared" si="61"/>
        <v/>
      </c>
      <c r="O154" s="225"/>
      <c r="P154" s="214">
        <f t="shared" ca="1" si="68"/>
        <v>1.8916552209566558E-2</v>
      </c>
      <c r="Q154" s="214" t="str">
        <f t="shared" si="69"/>
        <v/>
      </c>
      <c r="R154" s="214" t="str">
        <f t="shared" si="62"/>
        <v/>
      </c>
      <c r="S154" s="224"/>
      <c r="T154" s="214" t="str">
        <f t="shared" si="63"/>
        <v/>
      </c>
      <c r="U154" s="214" t="str">
        <f t="shared" si="64"/>
        <v/>
      </c>
      <c r="V154" s="214" t="str">
        <f t="shared" si="65"/>
        <v/>
      </c>
    </row>
    <row r="155" spans="1:22" ht="15" customHeight="1" x14ac:dyDescent="0.25">
      <c r="A155" s="192">
        <f t="shared" si="50"/>
        <v>2028</v>
      </c>
      <c r="B155" s="194">
        <f t="shared" ca="1" si="66"/>
        <v>0.26451916122476249</v>
      </c>
      <c r="C155" s="194">
        <f t="shared" ca="1" si="51"/>
        <v>0.89769725453741822</v>
      </c>
      <c r="D155" s="194" t="str">
        <f t="shared" si="52"/>
        <v/>
      </c>
      <c r="E155" s="219" t="str">
        <f t="shared" si="53"/>
        <v/>
      </c>
      <c r="F155" s="193" t="str">
        <f t="shared" si="67"/>
        <v/>
      </c>
      <c r="G155" s="194" t="str">
        <f t="shared" si="54"/>
        <v/>
      </c>
      <c r="H155" s="194" t="str">
        <f t="shared" si="55"/>
        <v/>
      </c>
      <c r="I155" s="219" t="str">
        <f t="shared" si="56"/>
        <v/>
      </c>
      <c r="J155" s="491" t="str">
        <f t="shared" si="57"/>
        <v/>
      </c>
      <c r="K155" s="217" t="str">
        <f t="shared" si="58"/>
        <v/>
      </c>
      <c r="L155" s="217" t="str">
        <f t="shared" si="59"/>
        <v/>
      </c>
      <c r="M155" s="194" t="str">
        <f t="shared" si="60"/>
        <v/>
      </c>
      <c r="N155" s="220" t="str">
        <f t="shared" si="61"/>
        <v/>
      </c>
      <c r="O155" s="225"/>
      <c r="P155" s="214">
        <f t="shared" ca="1" si="68"/>
        <v>1.8916552209566558E-2</v>
      </c>
      <c r="Q155" s="214" t="str">
        <f t="shared" si="69"/>
        <v/>
      </c>
      <c r="R155" s="214" t="str">
        <f t="shared" si="62"/>
        <v/>
      </c>
      <c r="S155" s="224"/>
      <c r="T155" s="214" t="str">
        <f t="shared" si="63"/>
        <v/>
      </c>
      <c r="U155" s="214" t="str">
        <f t="shared" si="64"/>
        <v/>
      </c>
      <c r="V155" s="214" t="str">
        <f t="shared" si="65"/>
        <v/>
      </c>
    </row>
    <row r="156" spans="1:22" ht="15" customHeight="1" x14ac:dyDescent="0.25">
      <c r="A156" s="192">
        <f t="shared" si="50"/>
        <v>2029</v>
      </c>
      <c r="B156" s="194">
        <f t="shared" ca="1" si="66"/>
        <v>0.26586077853852785</v>
      </c>
      <c r="C156" s="194">
        <f t="shared" ca="1" si="51"/>
        <v>0.91030419112432404</v>
      </c>
      <c r="D156" s="194" t="str">
        <f t="shared" si="52"/>
        <v/>
      </c>
      <c r="E156" s="219" t="str">
        <f t="shared" si="53"/>
        <v/>
      </c>
      <c r="F156" s="193" t="str">
        <f t="shared" si="67"/>
        <v/>
      </c>
      <c r="G156" s="194" t="str">
        <f t="shared" si="54"/>
        <v/>
      </c>
      <c r="H156" s="194" t="str">
        <f t="shared" si="55"/>
        <v/>
      </c>
      <c r="I156" s="219" t="str">
        <f t="shared" si="56"/>
        <v/>
      </c>
      <c r="J156" s="491" t="str">
        <f t="shared" si="57"/>
        <v/>
      </c>
      <c r="K156" s="217" t="str">
        <f t="shared" si="58"/>
        <v/>
      </c>
      <c r="L156" s="217" t="str">
        <f t="shared" si="59"/>
        <v/>
      </c>
      <c r="M156" s="194" t="str">
        <f t="shared" si="60"/>
        <v/>
      </c>
      <c r="N156" s="220" t="str">
        <f t="shared" si="61"/>
        <v/>
      </c>
      <c r="O156" s="225"/>
      <c r="P156" s="214">
        <f t="shared" ca="1" si="68"/>
        <v>1.8916552209566558E-2</v>
      </c>
      <c r="Q156" s="214" t="str">
        <f t="shared" si="69"/>
        <v/>
      </c>
      <c r="R156" s="214" t="str">
        <f t="shared" si="62"/>
        <v/>
      </c>
      <c r="S156" s="224"/>
      <c r="T156" s="214" t="str">
        <f t="shared" si="63"/>
        <v/>
      </c>
      <c r="U156" s="214" t="str">
        <f t="shared" si="64"/>
        <v/>
      </c>
      <c r="V156" s="214" t="str">
        <f t="shared" si="65"/>
        <v/>
      </c>
    </row>
    <row r="157" spans="1:22" ht="15" customHeight="1" x14ac:dyDescent="0.25">
      <c r="A157" s="192">
        <f t="shared" si="50"/>
        <v>2030</v>
      </c>
      <c r="B157" s="194">
        <f t="shared" ca="1" si="66"/>
        <v>0.26679284569560813</v>
      </c>
      <c r="C157" s="194">
        <f t="shared" ca="1" si="51"/>
        <v>0.91345329482868731</v>
      </c>
      <c r="D157" s="194" t="str">
        <f t="shared" si="52"/>
        <v/>
      </c>
      <c r="E157" s="219" t="str">
        <f t="shared" si="53"/>
        <v/>
      </c>
      <c r="F157" s="193" t="str">
        <f t="shared" si="67"/>
        <v/>
      </c>
      <c r="G157" s="194" t="str">
        <f t="shared" si="54"/>
        <v/>
      </c>
      <c r="H157" s="194" t="str">
        <f t="shared" si="55"/>
        <v/>
      </c>
      <c r="I157" s="219" t="str">
        <f t="shared" si="56"/>
        <v/>
      </c>
      <c r="J157" s="491" t="str">
        <f t="shared" si="57"/>
        <v/>
      </c>
      <c r="K157" s="217" t="str">
        <f t="shared" si="58"/>
        <v/>
      </c>
      <c r="L157" s="217" t="str">
        <f t="shared" si="59"/>
        <v/>
      </c>
      <c r="M157" s="194" t="str">
        <f t="shared" si="60"/>
        <v/>
      </c>
      <c r="N157" s="220" t="str">
        <f t="shared" si="61"/>
        <v/>
      </c>
      <c r="O157" s="225"/>
      <c r="P157" s="214">
        <f t="shared" ca="1" si="68"/>
        <v>1.8916552209566558E-2</v>
      </c>
      <c r="Q157" s="214" t="str">
        <f t="shared" si="69"/>
        <v/>
      </c>
      <c r="R157" s="214" t="str">
        <f t="shared" si="62"/>
        <v/>
      </c>
      <c r="S157" s="224"/>
      <c r="T157" s="214" t="str">
        <f t="shared" si="63"/>
        <v/>
      </c>
      <c r="U157" s="214" t="str">
        <f t="shared" si="64"/>
        <v/>
      </c>
      <c r="V157" s="214" t="str">
        <f t="shared" si="65"/>
        <v/>
      </c>
    </row>
    <row r="158" spans="1:22" ht="15" customHeight="1" x14ac:dyDescent="0.25">
      <c r="A158" s="192">
        <f t="shared" si="50"/>
        <v>2031</v>
      </c>
      <c r="B158" s="194">
        <f t="shared" ca="1" si="66"/>
        <v>0.26713083341063909</v>
      </c>
      <c r="C158" s="194">
        <f t="shared" ca="1" si="51"/>
        <v>0.9173735823411554</v>
      </c>
      <c r="D158" s="194" t="str">
        <f t="shared" si="52"/>
        <v/>
      </c>
      <c r="E158" s="219" t="str">
        <f t="shared" si="53"/>
        <v/>
      </c>
      <c r="F158" s="193" t="str">
        <f t="shared" si="67"/>
        <v/>
      </c>
      <c r="G158" s="194" t="str">
        <f t="shared" si="54"/>
        <v/>
      </c>
      <c r="H158" s="194" t="str">
        <f t="shared" si="55"/>
        <v/>
      </c>
      <c r="I158" s="219" t="str">
        <f t="shared" si="56"/>
        <v/>
      </c>
      <c r="J158" s="491" t="str">
        <f t="shared" si="57"/>
        <v/>
      </c>
      <c r="K158" s="217" t="str">
        <f t="shared" si="58"/>
        <v/>
      </c>
      <c r="L158" s="217" t="str">
        <f t="shared" si="59"/>
        <v/>
      </c>
      <c r="M158" s="194" t="str">
        <f t="shared" si="60"/>
        <v/>
      </c>
      <c r="N158" s="220" t="str">
        <f t="shared" si="61"/>
        <v/>
      </c>
      <c r="O158" s="225"/>
      <c r="P158" s="214">
        <f t="shared" ca="1" si="68"/>
        <v>1.8916552209566558E-2</v>
      </c>
      <c r="Q158" s="214" t="str">
        <f t="shared" si="69"/>
        <v/>
      </c>
      <c r="R158" s="214" t="str">
        <f t="shared" si="62"/>
        <v/>
      </c>
      <c r="S158" s="224"/>
      <c r="T158" s="214" t="str">
        <f t="shared" si="63"/>
        <v/>
      </c>
      <c r="U158" s="214" t="str">
        <f t="shared" si="64"/>
        <v/>
      </c>
      <c r="V158" s="214" t="str">
        <f t="shared" si="65"/>
        <v/>
      </c>
    </row>
    <row r="159" spans="1:22" ht="15" customHeight="1" x14ac:dyDescent="0.25">
      <c r="A159" s="192">
        <f t="shared" si="50"/>
        <v>2032</v>
      </c>
      <c r="B159" s="194">
        <f t="shared" ca="1" si="66"/>
        <v>0.26652137652814262</v>
      </c>
      <c r="C159" s="194">
        <f t="shared" ca="1" si="51"/>
        <v>0.91507473044769405</v>
      </c>
      <c r="D159" s="194" t="str">
        <f t="shared" si="52"/>
        <v/>
      </c>
      <c r="E159" s="219" t="str">
        <f t="shared" si="53"/>
        <v/>
      </c>
      <c r="F159" s="193" t="str">
        <f t="shared" si="67"/>
        <v/>
      </c>
      <c r="G159" s="194" t="str">
        <f t="shared" si="54"/>
        <v/>
      </c>
      <c r="H159" s="194" t="str">
        <f t="shared" si="55"/>
        <v/>
      </c>
      <c r="I159" s="219" t="str">
        <f t="shared" si="56"/>
        <v/>
      </c>
      <c r="J159" s="491" t="str">
        <f t="shared" si="57"/>
        <v/>
      </c>
      <c r="K159" s="217" t="str">
        <f t="shared" si="58"/>
        <v/>
      </c>
      <c r="L159" s="217" t="str">
        <f t="shared" si="59"/>
        <v/>
      </c>
      <c r="M159" s="194" t="str">
        <f t="shared" si="60"/>
        <v/>
      </c>
      <c r="N159" s="220" t="str">
        <f t="shared" si="61"/>
        <v/>
      </c>
      <c r="O159" s="225"/>
      <c r="P159" s="214">
        <f t="shared" ca="1" si="68"/>
        <v>1.8916552209566558E-2</v>
      </c>
      <c r="Q159" s="214" t="str">
        <f t="shared" si="69"/>
        <v/>
      </c>
      <c r="R159" s="214" t="str">
        <f t="shared" si="62"/>
        <v/>
      </c>
      <c r="S159" s="224"/>
      <c r="T159" s="214" t="str">
        <f t="shared" si="63"/>
        <v/>
      </c>
      <c r="U159" s="214" t="str">
        <f t="shared" si="64"/>
        <v/>
      </c>
      <c r="V159" s="214" t="str">
        <f t="shared" si="65"/>
        <v/>
      </c>
    </row>
    <row r="160" spans="1:22" ht="15" customHeight="1" x14ac:dyDescent="0.25">
      <c r="A160" s="192">
        <f t="shared" si="50"/>
        <v>2033</v>
      </c>
      <c r="B160" s="194">
        <f t="shared" ca="1" si="66"/>
        <v>0.26556872419773941</v>
      </c>
      <c r="C160" s="194">
        <f t="shared" ca="1" si="51"/>
        <v>0.9059870162788326</v>
      </c>
      <c r="D160" s="194" t="str">
        <f t="shared" si="52"/>
        <v/>
      </c>
      <c r="E160" s="219" t="str">
        <f t="shared" si="53"/>
        <v/>
      </c>
      <c r="F160" s="193" t="str">
        <f t="shared" si="67"/>
        <v/>
      </c>
      <c r="G160" s="194" t="str">
        <f t="shared" si="54"/>
        <v/>
      </c>
      <c r="H160" s="194" t="str">
        <f t="shared" si="55"/>
        <v/>
      </c>
      <c r="I160" s="219" t="str">
        <f t="shared" si="56"/>
        <v/>
      </c>
      <c r="J160" s="491" t="str">
        <f t="shared" si="57"/>
        <v/>
      </c>
      <c r="K160" s="217" t="str">
        <f t="shared" si="58"/>
        <v/>
      </c>
      <c r="L160" s="217" t="str">
        <f t="shared" si="59"/>
        <v/>
      </c>
      <c r="M160" s="194" t="str">
        <f t="shared" si="60"/>
        <v/>
      </c>
      <c r="N160" s="220" t="str">
        <f t="shared" si="61"/>
        <v/>
      </c>
      <c r="O160" s="225"/>
      <c r="P160" s="214">
        <f t="shared" ca="1" si="68"/>
        <v>1.8916552209566558E-2</v>
      </c>
      <c r="Q160" s="214" t="str">
        <f t="shared" si="69"/>
        <v/>
      </c>
      <c r="R160" s="214" t="str">
        <f t="shared" si="62"/>
        <v/>
      </c>
      <c r="S160" s="224"/>
      <c r="T160" s="214" t="str">
        <f t="shared" si="63"/>
        <v/>
      </c>
      <c r="U160" s="214" t="str">
        <f t="shared" si="64"/>
        <v/>
      </c>
      <c r="V160" s="214" t="str">
        <f t="shared" si="65"/>
        <v/>
      </c>
    </row>
    <row r="161" spans="1:22" ht="15" customHeight="1" x14ac:dyDescent="0.25">
      <c r="A161" s="192">
        <f t="shared" si="50"/>
        <v>2034</v>
      </c>
      <c r="B161" s="194">
        <f t="shared" ca="1" si="66"/>
        <v>0.26479690307722009</v>
      </c>
      <c r="C161" s="194">
        <f t="shared" ca="1" si="51"/>
        <v>0.90575600154658931</v>
      </c>
      <c r="D161" s="194" t="str">
        <f t="shared" si="52"/>
        <v/>
      </c>
      <c r="E161" s="219" t="str">
        <f t="shared" si="53"/>
        <v/>
      </c>
      <c r="F161" s="193" t="str">
        <f t="shared" si="67"/>
        <v/>
      </c>
      <c r="G161" s="194" t="str">
        <f t="shared" si="54"/>
        <v/>
      </c>
      <c r="H161" s="194" t="str">
        <f t="shared" si="55"/>
        <v/>
      </c>
      <c r="I161" s="219" t="str">
        <f t="shared" si="56"/>
        <v/>
      </c>
      <c r="J161" s="491" t="str">
        <f t="shared" si="57"/>
        <v/>
      </c>
      <c r="K161" s="217" t="str">
        <f t="shared" si="58"/>
        <v/>
      </c>
      <c r="L161" s="217" t="str">
        <f t="shared" si="59"/>
        <v/>
      </c>
      <c r="M161" s="194" t="str">
        <f t="shared" si="60"/>
        <v/>
      </c>
      <c r="N161" s="220" t="str">
        <f t="shared" si="61"/>
        <v/>
      </c>
      <c r="O161" s="225"/>
      <c r="P161" s="214">
        <f t="shared" ca="1" si="68"/>
        <v>1.8916552209566558E-2</v>
      </c>
      <c r="Q161" s="214" t="str">
        <f t="shared" si="69"/>
        <v/>
      </c>
      <c r="R161" s="214" t="str">
        <f t="shared" si="62"/>
        <v/>
      </c>
      <c r="S161" s="224"/>
      <c r="T161" s="214" t="str">
        <f t="shared" si="63"/>
        <v/>
      </c>
      <c r="U161" s="214" t="str">
        <f t="shared" si="64"/>
        <v/>
      </c>
      <c r="V161" s="214" t="str">
        <f t="shared" si="65"/>
        <v/>
      </c>
    </row>
    <row r="162" spans="1:22" ht="15" customHeight="1" x14ac:dyDescent="0.25">
      <c r="A162" s="192">
        <f t="shared" si="50"/>
        <v>2035</v>
      </c>
      <c r="B162" s="194">
        <f t="shared" ca="1" si="66"/>
        <v>0.26573323004276517</v>
      </c>
      <c r="C162" s="194">
        <f t="shared" ca="1" si="51"/>
        <v>0.91982886818927057</v>
      </c>
      <c r="D162" s="194" t="str">
        <f t="shared" si="52"/>
        <v/>
      </c>
      <c r="E162" s="219" t="str">
        <f t="shared" si="53"/>
        <v/>
      </c>
      <c r="F162" s="193" t="str">
        <f t="shared" si="67"/>
        <v/>
      </c>
      <c r="G162" s="194" t="str">
        <f t="shared" si="54"/>
        <v/>
      </c>
      <c r="H162" s="194" t="str">
        <f t="shared" si="55"/>
        <v/>
      </c>
      <c r="I162" s="219" t="str">
        <f t="shared" si="56"/>
        <v/>
      </c>
      <c r="J162" s="491" t="str">
        <f t="shared" si="57"/>
        <v/>
      </c>
      <c r="K162" s="217" t="str">
        <f t="shared" si="58"/>
        <v/>
      </c>
      <c r="L162" s="217" t="str">
        <f t="shared" si="59"/>
        <v/>
      </c>
      <c r="M162" s="194" t="str">
        <f t="shared" si="60"/>
        <v/>
      </c>
      <c r="N162" s="220" t="str">
        <f t="shared" si="61"/>
        <v/>
      </c>
      <c r="O162" s="225"/>
      <c r="P162" s="214">
        <f t="shared" ca="1" si="68"/>
        <v>1.8916552209566558E-2</v>
      </c>
      <c r="Q162" s="214" t="str">
        <f t="shared" si="69"/>
        <v/>
      </c>
      <c r="R162" s="214" t="str">
        <f t="shared" si="62"/>
        <v/>
      </c>
      <c r="S162" s="224"/>
      <c r="T162" s="214" t="str">
        <f t="shared" si="63"/>
        <v/>
      </c>
      <c r="U162" s="214" t="str">
        <f t="shared" si="64"/>
        <v/>
      </c>
      <c r="V162" s="214" t="str">
        <f t="shared" si="65"/>
        <v/>
      </c>
    </row>
    <row r="163" spans="1:22" ht="15" customHeight="1" x14ac:dyDescent="0.25">
      <c r="A163" s="192">
        <f t="shared" si="50"/>
        <v>2036</v>
      </c>
      <c r="B163" s="194">
        <f t="shared" ca="1" si="66"/>
        <v>0.26669941077587528</v>
      </c>
      <c r="C163" s="194">
        <f t="shared" ca="1" si="51"/>
        <v>0.9204399044770325</v>
      </c>
      <c r="D163" s="194" t="str">
        <f t="shared" si="52"/>
        <v/>
      </c>
      <c r="E163" s="219" t="str">
        <f t="shared" si="53"/>
        <v/>
      </c>
      <c r="F163" s="193" t="str">
        <f t="shared" si="67"/>
        <v/>
      </c>
      <c r="G163" s="194" t="str">
        <f t="shared" si="54"/>
        <v/>
      </c>
      <c r="H163" s="194" t="str">
        <f t="shared" si="55"/>
        <v/>
      </c>
      <c r="I163" s="219" t="str">
        <f t="shared" si="56"/>
        <v/>
      </c>
      <c r="J163" s="491" t="str">
        <f t="shared" si="57"/>
        <v/>
      </c>
      <c r="K163" s="217" t="str">
        <f t="shared" si="58"/>
        <v/>
      </c>
      <c r="L163" s="217" t="str">
        <f t="shared" si="59"/>
        <v/>
      </c>
      <c r="M163" s="194" t="str">
        <f t="shared" si="60"/>
        <v/>
      </c>
      <c r="N163" s="220" t="str">
        <f t="shared" si="61"/>
        <v/>
      </c>
      <c r="O163" s="225"/>
      <c r="P163" s="214">
        <f t="shared" ca="1" si="68"/>
        <v>1.8916552209566558E-2</v>
      </c>
      <c r="Q163" s="214" t="str">
        <f t="shared" si="69"/>
        <v/>
      </c>
      <c r="R163" s="214" t="str">
        <f t="shared" si="62"/>
        <v/>
      </c>
      <c r="S163" s="224"/>
      <c r="T163" s="214" t="str">
        <f t="shared" si="63"/>
        <v/>
      </c>
      <c r="U163" s="214" t="str">
        <f t="shared" si="64"/>
        <v/>
      </c>
      <c r="V163" s="214" t="str">
        <f t="shared" si="65"/>
        <v/>
      </c>
    </row>
    <row r="164" spans="1:22" ht="15" customHeight="1" x14ac:dyDescent="0.25">
      <c r="A164" s="192">
        <f t="shared" si="50"/>
        <v>2037</v>
      </c>
      <c r="B164" s="194">
        <f t="shared" ca="1" si="66"/>
        <v>0.26649776033725819</v>
      </c>
      <c r="C164" s="194">
        <f t="shared" ca="1" si="51"/>
        <v>0.92212493490846525</v>
      </c>
      <c r="D164" s="194" t="str">
        <f t="shared" si="52"/>
        <v/>
      </c>
      <c r="E164" s="219" t="str">
        <f t="shared" si="53"/>
        <v/>
      </c>
      <c r="F164" s="193" t="str">
        <f t="shared" si="67"/>
        <v/>
      </c>
      <c r="G164" s="194" t="str">
        <f t="shared" si="54"/>
        <v/>
      </c>
      <c r="H164" s="194" t="str">
        <f t="shared" si="55"/>
        <v/>
      </c>
      <c r="I164" s="219" t="str">
        <f t="shared" si="56"/>
        <v/>
      </c>
      <c r="J164" s="491" t="str">
        <f t="shared" si="57"/>
        <v/>
      </c>
      <c r="K164" s="217" t="str">
        <f t="shared" si="58"/>
        <v/>
      </c>
      <c r="L164" s="217" t="str">
        <f t="shared" si="59"/>
        <v/>
      </c>
      <c r="M164" s="194" t="str">
        <f t="shared" si="60"/>
        <v/>
      </c>
      <c r="N164" s="220" t="str">
        <f t="shared" si="61"/>
        <v/>
      </c>
      <c r="O164" s="225"/>
      <c r="P164" s="214">
        <f t="shared" ca="1" si="68"/>
        <v>1.8916552209566558E-2</v>
      </c>
      <c r="Q164" s="214" t="str">
        <f t="shared" si="69"/>
        <v/>
      </c>
      <c r="R164" s="214" t="str">
        <f t="shared" si="62"/>
        <v/>
      </c>
      <c r="S164" s="224"/>
      <c r="T164" s="214" t="str">
        <f t="shared" si="63"/>
        <v/>
      </c>
      <c r="U164" s="214" t="str">
        <f t="shared" si="64"/>
        <v/>
      </c>
      <c r="V164" s="214" t="str">
        <f t="shared" si="65"/>
        <v/>
      </c>
    </row>
    <row r="165" spans="1:22" ht="15" customHeight="1" x14ac:dyDescent="0.25">
      <c r="A165" s="192">
        <f t="shared" si="50"/>
        <v>2038</v>
      </c>
      <c r="B165" s="194">
        <f t="shared" ca="1" si="66"/>
        <v>0.26655695295048581</v>
      </c>
      <c r="C165" s="194">
        <f t="shared" ca="1" si="51"/>
        <v>0.92122640674360479</v>
      </c>
      <c r="D165" s="194" t="str">
        <f t="shared" si="52"/>
        <v/>
      </c>
      <c r="E165" s="219" t="str">
        <f t="shared" si="53"/>
        <v/>
      </c>
      <c r="F165" s="193" t="str">
        <f t="shared" si="67"/>
        <v/>
      </c>
      <c r="G165" s="194" t="str">
        <f t="shared" si="54"/>
        <v/>
      </c>
      <c r="H165" s="194" t="str">
        <f t="shared" si="55"/>
        <v/>
      </c>
      <c r="I165" s="219" t="str">
        <f t="shared" si="56"/>
        <v/>
      </c>
      <c r="J165" s="491" t="str">
        <f t="shared" si="57"/>
        <v/>
      </c>
      <c r="K165" s="217" t="str">
        <f t="shared" si="58"/>
        <v/>
      </c>
      <c r="L165" s="217" t="str">
        <f t="shared" si="59"/>
        <v/>
      </c>
      <c r="M165" s="194" t="str">
        <f t="shared" si="60"/>
        <v/>
      </c>
      <c r="N165" s="220" t="str">
        <f t="shared" si="61"/>
        <v/>
      </c>
      <c r="O165" s="225"/>
      <c r="P165" s="214">
        <f t="shared" ca="1" si="68"/>
        <v>1.8916552209566558E-2</v>
      </c>
      <c r="Q165" s="214" t="str">
        <f t="shared" si="69"/>
        <v/>
      </c>
      <c r="R165" s="214" t="str">
        <f t="shared" si="62"/>
        <v/>
      </c>
      <c r="S165" s="224"/>
      <c r="T165" s="214" t="str">
        <f t="shared" si="63"/>
        <v/>
      </c>
      <c r="U165" s="214" t="str">
        <f t="shared" si="64"/>
        <v/>
      </c>
      <c r="V165" s="214" t="str">
        <f t="shared" si="65"/>
        <v/>
      </c>
    </row>
    <row r="166" spans="1:22" ht="15" customHeight="1" x14ac:dyDescent="0.25">
      <c r="A166" s="192">
        <f t="shared" si="50"/>
        <v>2039</v>
      </c>
      <c r="B166" s="194">
        <f t="shared" ca="1" si="66"/>
        <v>0.26676324938899432</v>
      </c>
      <c r="C166" s="194">
        <f t="shared" ca="1" si="51"/>
        <v>0.92472427615893682</v>
      </c>
      <c r="D166" s="194" t="str">
        <f t="shared" si="52"/>
        <v/>
      </c>
      <c r="E166" s="219" t="str">
        <f t="shared" si="53"/>
        <v/>
      </c>
      <c r="F166" s="193" t="str">
        <f t="shared" si="67"/>
        <v/>
      </c>
      <c r="G166" s="194" t="str">
        <f t="shared" si="54"/>
        <v/>
      </c>
      <c r="H166" s="194" t="str">
        <f t="shared" si="55"/>
        <v/>
      </c>
      <c r="I166" s="219" t="str">
        <f t="shared" si="56"/>
        <v/>
      </c>
      <c r="J166" s="491" t="str">
        <f t="shared" si="57"/>
        <v/>
      </c>
      <c r="K166" s="217" t="str">
        <f t="shared" si="58"/>
        <v/>
      </c>
      <c r="L166" s="217" t="str">
        <f t="shared" si="59"/>
        <v/>
      </c>
      <c r="M166" s="194" t="str">
        <f t="shared" si="60"/>
        <v/>
      </c>
      <c r="N166" s="220" t="str">
        <f t="shared" si="61"/>
        <v/>
      </c>
      <c r="O166" s="225"/>
      <c r="P166" s="214">
        <f t="shared" ca="1" si="68"/>
        <v>1.8916552209566558E-2</v>
      </c>
      <c r="Q166" s="214" t="str">
        <f t="shared" si="69"/>
        <v/>
      </c>
      <c r="R166" s="214" t="str">
        <f t="shared" si="62"/>
        <v/>
      </c>
      <c r="S166" s="224"/>
      <c r="T166" s="214" t="str">
        <f t="shared" si="63"/>
        <v/>
      </c>
      <c r="U166" s="214" t="str">
        <f t="shared" si="64"/>
        <v/>
      </c>
      <c r="V166" s="214" t="str">
        <f t="shared" si="65"/>
        <v/>
      </c>
    </row>
    <row r="167" spans="1:22" ht="15" customHeight="1" x14ac:dyDescent="0.25">
      <c r="A167" s="192">
        <f t="shared" si="50"/>
        <v>2040</v>
      </c>
      <c r="B167" s="194">
        <f t="shared" ca="1" si="66"/>
        <v>0.26613775971090248</v>
      </c>
      <c r="C167" s="194">
        <f t="shared" ca="1" si="51"/>
        <v>0.91771940814595354</v>
      </c>
      <c r="D167" s="194" t="str">
        <f t="shared" si="52"/>
        <v/>
      </c>
      <c r="E167" s="219" t="str">
        <f t="shared" si="53"/>
        <v/>
      </c>
      <c r="F167" s="193" t="str">
        <f t="shared" si="67"/>
        <v/>
      </c>
      <c r="G167" s="194" t="str">
        <f t="shared" si="54"/>
        <v/>
      </c>
      <c r="H167" s="194" t="str">
        <f t="shared" si="55"/>
        <v/>
      </c>
      <c r="I167" s="219" t="str">
        <f t="shared" si="56"/>
        <v/>
      </c>
      <c r="J167" s="491" t="str">
        <f t="shared" si="57"/>
        <v/>
      </c>
      <c r="K167" s="217" t="str">
        <f t="shared" si="58"/>
        <v/>
      </c>
      <c r="L167" s="217" t="str">
        <f t="shared" si="59"/>
        <v/>
      </c>
      <c r="M167" s="194" t="str">
        <f t="shared" si="60"/>
        <v/>
      </c>
      <c r="N167" s="220" t="str">
        <f t="shared" si="61"/>
        <v/>
      </c>
      <c r="O167" s="225"/>
      <c r="P167" s="214">
        <f t="shared" ca="1" si="68"/>
        <v>1.8916552209566558E-2</v>
      </c>
      <c r="Q167" s="214" t="str">
        <f t="shared" si="69"/>
        <v/>
      </c>
      <c r="R167" s="214" t="str">
        <f t="shared" si="62"/>
        <v/>
      </c>
      <c r="S167" s="224"/>
      <c r="T167" s="214" t="str">
        <f t="shared" si="63"/>
        <v/>
      </c>
      <c r="U167" s="214" t="str">
        <f t="shared" si="64"/>
        <v/>
      </c>
      <c r="V167" s="214" t="str">
        <f t="shared" si="65"/>
        <v/>
      </c>
    </row>
    <row r="168" spans="1:22" ht="15" customHeight="1" x14ac:dyDescent="0.25">
      <c r="A168" s="192">
        <f t="shared" si="50"/>
        <v>2041</v>
      </c>
      <c r="B168" s="194">
        <f t="shared" ca="1" si="66"/>
        <v>0.2653550667165816</v>
      </c>
      <c r="C168" s="194">
        <f t="shared" ca="1" si="51"/>
        <v>0.91846165708806393</v>
      </c>
      <c r="D168" s="194" t="str">
        <f t="shared" si="52"/>
        <v/>
      </c>
      <c r="E168" s="219" t="str">
        <f t="shared" si="53"/>
        <v/>
      </c>
      <c r="F168" s="193" t="str">
        <f t="shared" si="67"/>
        <v/>
      </c>
      <c r="G168" s="194" t="str">
        <f t="shared" si="54"/>
        <v/>
      </c>
      <c r="H168" s="194" t="str">
        <f t="shared" si="55"/>
        <v/>
      </c>
      <c r="I168" s="219" t="str">
        <f t="shared" si="56"/>
        <v/>
      </c>
      <c r="J168" s="491" t="str">
        <f t="shared" si="57"/>
        <v/>
      </c>
      <c r="K168" s="217" t="str">
        <f t="shared" si="58"/>
        <v/>
      </c>
      <c r="L168" s="217" t="str">
        <f t="shared" si="59"/>
        <v/>
      </c>
      <c r="M168" s="194" t="str">
        <f t="shared" si="60"/>
        <v/>
      </c>
      <c r="N168" s="220" t="str">
        <f t="shared" si="61"/>
        <v/>
      </c>
      <c r="O168" s="225"/>
      <c r="P168" s="214">
        <f t="shared" ca="1" si="68"/>
        <v>1.8916552209566558E-2</v>
      </c>
      <c r="Q168" s="214" t="str">
        <f t="shared" si="69"/>
        <v/>
      </c>
      <c r="R168" s="214" t="str">
        <f t="shared" si="62"/>
        <v/>
      </c>
      <c r="S168" s="224"/>
      <c r="T168" s="214" t="str">
        <f t="shared" si="63"/>
        <v/>
      </c>
      <c r="U168" s="214" t="str">
        <f t="shared" si="64"/>
        <v/>
      </c>
      <c r="V168" s="214" t="str">
        <f t="shared" si="65"/>
        <v/>
      </c>
    </row>
    <row r="169" spans="1:22" ht="15" customHeight="1" x14ac:dyDescent="0.25">
      <c r="A169" s="192">
        <f t="shared" si="50"/>
        <v>2042</v>
      </c>
      <c r="B169" s="194">
        <f t="shared" ca="1" si="66"/>
        <v>0.26566283787816181</v>
      </c>
      <c r="C169" s="194">
        <f t="shared" ca="1" si="51"/>
        <v>0.92730504958096294</v>
      </c>
      <c r="D169" s="194" t="str">
        <f t="shared" si="52"/>
        <v/>
      </c>
      <c r="E169" s="219" t="str">
        <f t="shared" si="53"/>
        <v/>
      </c>
      <c r="F169" s="193" t="str">
        <f t="shared" si="67"/>
        <v/>
      </c>
      <c r="G169" s="194" t="str">
        <f t="shared" si="54"/>
        <v/>
      </c>
      <c r="H169" s="194" t="str">
        <f t="shared" si="55"/>
        <v/>
      </c>
      <c r="I169" s="219" t="str">
        <f t="shared" si="56"/>
        <v/>
      </c>
      <c r="J169" s="491" t="str">
        <f t="shared" si="57"/>
        <v/>
      </c>
      <c r="K169" s="217" t="str">
        <f t="shared" si="58"/>
        <v/>
      </c>
      <c r="L169" s="217" t="str">
        <f t="shared" si="59"/>
        <v/>
      </c>
      <c r="M169" s="194" t="str">
        <f t="shared" si="60"/>
        <v/>
      </c>
      <c r="N169" s="220" t="str">
        <f t="shared" si="61"/>
        <v/>
      </c>
      <c r="O169" s="225"/>
      <c r="P169" s="214">
        <f t="shared" ca="1" si="68"/>
        <v>1.8916552209566558E-2</v>
      </c>
      <c r="Q169" s="214" t="str">
        <f t="shared" si="69"/>
        <v/>
      </c>
      <c r="R169" s="214" t="str">
        <f t="shared" si="62"/>
        <v/>
      </c>
      <c r="S169" s="224"/>
      <c r="T169" s="214" t="str">
        <f t="shared" si="63"/>
        <v/>
      </c>
      <c r="U169" s="214" t="str">
        <f t="shared" si="64"/>
        <v/>
      </c>
      <c r="V169" s="214" t="str">
        <f t="shared" si="65"/>
        <v/>
      </c>
    </row>
    <row r="170" spans="1:22" ht="15" customHeight="1" x14ac:dyDescent="0.25">
      <c r="A170" s="192">
        <f t="shared" si="50"/>
        <v>2043</v>
      </c>
      <c r="B170" s="194">
        <f t="shared" ca="1" si="66"/>
        <v>0.26647358241338948</v>
      </c>
      <c r="C170" s="194">
        <f t="shared" ca="1" si="51"/>
        <v>0.94084099651776065</v>
      </c>
      <c r="D170" s="194" t="str">
        <f t="shared" si="52"/>
        <v/>
      </c>
      <c r="E170" s="219" t="str">
        <f t="shared" si="53"/>
        <v/>
      </c>
      <c r="F170" s="193" t="str">
        <f t="shared" si="67"/>
        <v/>
      </c>
      <c r="G170" s="194" t="str">
        <f t="shared" si="54"/>
        <v/>
      </c>
      <c r="H170" s="194" t="str">
        <f t="shared" si="55"/>
        <v/>
      </c>
      <c r="I170" s="219" t="str">
        <f t="shared" si="56"/>
        <v/>
      </c>
      <c r="J170" s="491" t="str">
        <f t="shared" si="57"/>
        <v/>
      </c>
      <c r="K170" s="217" t="str">
        <f t="shared" si="58"/>
        <v/>
      </c>
      <c r="L170" s="217" t="str">
        <f t="shared" si="59"/>
        <v/>
      </c>
      <c r="M170" s="194" t="str">
        <f t="shared" si="60"/>
        <v/>
      </c>
      <c r="N170" s="220" t="str">
        <f t="shared" si="61"/>
        <v/>
      </c>
      <c r="O170" s="225"/>
      <c r="P170" s="214">
        <f t="shared" ca="1" si="68"/>
        <v>1.8916552209566558E-2</v>
      </c>
      <c r="Q170" s="214" t="str">
        <f t="shared" si="69"/>
        <v/>
      </c>
      <c r="R170" s="214" t="str">
        <f t="shared" si="62"/>
        <v/>
      </c>
      <c r="S170" s="224"/>
      <c r="T170" s="214" t="str">
        <f t="shared" si="63"/>
        <v/>
      </c>
      <c r="U170" s="214" t="str">
        <f t="shared" si="64"/>
        <v/>
      </c>
      <c r="V170" s="214" t="str">
        <f t="shared" si="65"/>
        <v/>
      </c>
    </row>
    <row r="171" spans="1:22" ht="15" customHeight="1" x14ac:dyDescent="0.25">
      <c r="A171" s="192">
        <f t="shared" si="50"/>
        <v>2044</v>
      </c>
      <c r="B171" s="194">
        <f t="shared" ca="1" si="66"/>
        <v>0.26747762160909172</v>
      </c>
      <c r="C171" s="194">
        <f t="shared" ca="1" si="51"/>
        <v>0.95011841200057401</v>
      </c>
      <c r="D171" s="194" t="str">
        <f t="shared" si="52"/>
        <v/>
      </c>
      <c r="E171" s="219" t="str">
        <f t="shared" si="53"/>
        <v/>
      </c>
      <c r="F171" s="193" t="str">
        <f t="shared" si="67"/>
        <v/>
      </c>
      <c r="G171" s="194" t="str">
        <f t="shared" si="54"/>
        <v/>
      </c>
      <c r="H171" s="194" t="str">
        <f t="shared" si="55"/>
        <v/>
      </c>
      <c r="I171" s="219" t="str">
        <f t="shared" si="56"/>
        <v/>
      </c>
      <c r="J171" s="491" t="str">
        <f t="shared" si="57"/>
        <v/>
      </c>
      <c r="K171" s="217" t="str">
        <f t="shared" si="58"/>
        <v/>
      </c>
      <c r="L171" s="217" t="str">
        <f t="shared" si="59"/>
        <v/>
      </c>
      <c r="M171" s="194" t="str">
        <f t="shared" si="60"/>
        <v/>
      </c>
      <c r="N171" s="220" t="str">
        <f t="shared" si="61"/>
        <v/>
      </c>
      <c r="O171" s="225"/>
      <c r="P171" s="214">
        <f t="shared" ca="1" si="68"/>
        <v>1.8916552209566558E-2</v>
      </c>
      <c r="Q171" s="214" t="str">
        <f t="shared" si="69"/>
        <v/>
      </c>
      <c r="R171" s="214" t="str">
        <f t="shared" si="62"/>
        <v/>
      </c>
      <c r="S171" s="224"/>
      <c r="T171" s="214" t="str">
        <f t="shared" si="63"/>
        <v/>
      </c>
      <c r="U171" s="214" t="str">
        <f t="shared" si="64"/>
        <v/>
      </c>
      <c r="V171" s="214" t="str">
        <f t="shared" si="65"/>
        <v/>
      </c>
    </row>
    <row r="172" spans="1:22" ht="15" customHeight="1" x14ac:dyDescent="0.25">
      <c r="A172" s="192">
        <f t="shared" si="50"/>
        <v>2045</v>
      </c>
      <c r="B172" s="194">
        <f t="shared" ca="1" si="66"/>
        <v>0.26845470932431481</v>
      </c>
      <c r="C172" s="194">
        <f t="shared" ca="1" si="51"/>
        <v>0.96231855841261882</v>
      </c>
      <c r="D172" s="194" t="str">
        <f t="shared" si="52"/>
        <v/>
      </c>
      <c r="E172" s="219" t="str">
        <f t="shared" si="53"/>
        <v/>
      </c>
      <c r="F172" s="193" t="str">
        <f t="shared" si="67"/>
        <v/>
      </c>
      <c r="G172" s="194" t="str">
        <f t="shared" si="54"/>
        <v/>
      </c>
      <c r="H172" s="194" t="str">
        <f t="shared" si="55"/>
        <v/>
      </c>
      <c r="I172" s="219" t="str">
        <f t="shared" si="56"/>
        <v/>
      </c>
      <c r="J172" s="491" t="str">
        <f t="shared" si="57"/>
        <v/>
      </c>
      <c r="K172" s="217" t="str">
        <f t="shared" si="58"/>
        <v/>
      </c>
      <c r="L172" s="217" t="str">
        <f t="shared" si="59"/>
        <v/>
      </c>
      <c r="M172" s="194" t="str">
        <f t="shared" si="60"/>
        <v/>
      </c>
      <c r="N172" s="220" t="str">
        <f t="shared" si="61"/>
        <v/>
      </c>
      <c r="O172" s="225"/>
      <c r="P172" s="214">
        <f t="shared" ca="1" si="68"/>
        <v>1.8916552209566558E-2</v>
      </c>
      <c r="Q172" s="214" t="str">
        <f t="shared" si="69"/>
        <v/>
      </c>
      <c r="R172" s="214" t="str">
        <f t="shared" si="62"/>
        <v/>
      </c>
      <c r="S172" s="224"/>
      <c r="T172" s="214" t="str">
        <f t="shared" si="63"/>
        <v/>
      </c>
      <c r="U172" s="214" t="str">
        <f t="shared" si="64"/>
        <v/>
      </c>
      <c r="V172" s="214" t="str">
        <f t="shared" si="65"/>
        <v/>
      </c>
    </row>
    <row r="173" spans="1:22" ht="15" customHeight="1" x14ac:dyDescent="0.25">
      <c r="A173" s="192">
        <f t="shared" si="50"/>
        <v>2046</v>
      </c>
      <c r="B173" s="194">
        <f t="shared" ca="1" si="66"/>
        <v>0.26944812240439608</v>
      </c>
      <c r="C173" s="194">
        <f t="shared" ca="1" si="51"/>
        <v>0.97164517864081279</v>
      </c>
      <c r="D173" s="194" t="str">
        <f t="shared" si="52"/>
        <v/>
      </c>
      <c r="E173" s="219" t="str">
        <f t="shared" si="53"/>
        <v/>
      </c>
      <c r="F173" s="193" t="str">
        <f t="shared" si="67"/>
        <v/>
      </c>
      <c r="G173" s="194" t="str">
        <f t="shared" si="54"/>
        <v/>
      </c>
      <c r="H173" s="194" t="str">
        <f t="shared" si="55"/>
        <v/>
      </c>
      <c r="I173" s="219" t="str">
        <f t="shared" si="56"/>
        <v/>
      </c>
      <c r="J173" s="491" t="str">
        <f t="shared" si="57"/>
        <v/>
      </c>
      <c r="K173" s="217" t="str">
        <f t="shared" si="58"/>
        <v/>
      </c>
      <c r="L173" s="217" t="str">
        <f t="shared" si="59"/>
        <v/>
      </c>
      <c r="M173" s="194" t="str">
        <f t="shared" si="60"/>
        <v/>
      </c>
      <c r="N173" s="220" t="str">
        <f t="shared" si="61"/>
        <v/>
      </c>
      <c r="O173" s="225"/>
      <c r="P173" s="214">
        <f t="shared" ca="1" si="68"/>
        <v>1.8916552209566558E-2</v>
      </c>
      <c r="Q173" s="214" t="str">
        <f t="shared" si="69"/>
        <v/>
      </c>
      <c r="R173" s="214" t="str">
        <f t="shared" si="62"/>
        <v/>
      </c>
      <c r="S173" s="224"/>
      <c r="T173" s="214" t="str">
        <f t="shared" si="63"/>
        <v/>
      </c>
      <c r="U173" s="214" t="str">
        <f t="shared" si="64"/>
        <v/>
      </c>
      <c r="V173" s="214" t="str">
        <f t="shared" si="65"/>
        <v/>
      </c>
    </row>
    <row r="174" spans="1:22" ht="15" customHeight="1" x14ac:dyDescent="0.25">
      <c r="A174" s="192">
        <f t="shared" si="50"/>
        <v>2047</v>
      </c>
      <c r="B174" s="194">
        <f t="shared" ca="1" si="66"/>
        <v>0.27033958094781496</v>
      </c>
      <c r="C174" s="194">
        <f t="shared" ca="1" si="51"/>
        <v>0.98187512372288221</v>
      </c>
      <c r="D174" s="194" t="str">
        <f t="shared" si="52"/>
        <v/>
      </c>
      <c r="E174" s="219" t="str">
        <f t="shared" si="53"/>
        <v/>
      </c>
      <c r="F174" s="193" t="str">
        <f t="shared" si="67"/>
        <v/>
      </c>
      <c r="G174" s="194" t="str">
        <f t="shared" si="54"/>
        <v/>
      </c>
      <c r="H174" s="194" t="str">
        <f t="shared" si="55"/>
        <v/>
      </c>
      <c r="I174" s="219" t="str">
        <f t="shared" si="56"/>
        <v/>
      </c>
      <c r="J174" s="491" t="str">
        <f t="shared" si="57"/>
        <v/>
      </c>
      <c r="K174" s="217" t="str">
        <f t="shared" si="58"/>
        <v/>
      </c>
      <c r="L174" s="217" t="str">
        <f t="shared" si="59"/>
        <v/>
      </c>
      <c r="M174" s="194" t="str">
        <f t="shared" si="60"/>
        <v/>
      </c>
      <c r="N174" s="220" t="str">
        <f t="shared" si="61"/>
        <v/>
      </c>
      <c r="O174" s="225"/>
      <c r="P174" s="214">
        <f t="shared" ca="1" si="68"/>
        <v>1.8916552209566558E-2</v>
      </c>
      <c r="Q174" s="214" t="str">
        <f t="shared" si="69"/>
        <v/>
      </c>
      <c r="R174" s="214" t="str">
        <f t="shared" si="62"/>
        <v/>
      </c>
      <c r="S174" s="224"/>
      <c r="T174" s="214" t="str">
        <f t="shared" si="63"/>
        <v/>
      </c>
      <c r="U174" s="214" t="str">
        <f t="shared" si="64"/>
        <v/>
      </c>
      <c r="V174" s="214" t="str">
        <f t="shared" si="65"/>
        <v/>
      </c>
    </row>
    <row r="175" spans="1:22" ht="15" customHeight="1" x14ac:dyDescent="0.25">
      <c r="A175" s="192">
        <f t="shared" si="50"/>
        <v>2048</v>
      </c>
      <c r="B175" s="194">
        <f t="shared" ca="1" si="66"/>
        <v>0.27134234454153183</v>
      </c>
      <c r="C175" s="194">
        <f t="shared" ca="1" si="51"/>
        <v>0.99987245563943172</v>
      </c>
      <c r="D175" s="194" t="str">
        <f t="shared" si="52"/>
        <v/>
      </c>
      <c r="E175" s="219" t="str">
        <f t="shared" si="53"/>
        <v/>
      </c>
      <c r="F175" s="193" t="str">
        <f t="shared" si="67"/>
        <v/>
      </c>
      <c r="G175" s="194" t="str">
        <f t="shared" si="54"/>
        <v/>
      </c>
      <c r="H175" s="194" t="str">
        <f t="shared" si="55"/>
        <v/>
      </c>
      <c r="I175" s="219" t="str">
        <f t="shared" si="56"/>
        <v/>
      </c>
      <c r="J175" s="491" t="str">
        <f t="shared" si="57"/>
        <v/>
      </c>
      <c r="K175" s="217" t="str">
        <f t="shared" si="58"/>
        <v/>
      </c>
      <c r="L175" s="217" t="str">
        <f t="shared" si="59"/>
        <v/>
      </c>
      <c r="M175" s="194" t="str">
        <f t="shared" si="60"/>
        <v/>
      </c>
      <c r="N175" s="220" t="str">
        <f t="shared" si="61"/>
        <v/>
      </c>
      <c r="O175" s="225"/>
      <c r="P175" s="214">
        <f t="shared" ca="1" si="68"/>
        <v>1.8916552209566558E-2</v>
      </c>
      <c r="Q175" s="214" t="str">
        <f t="shared" si="69"/>
        <v/>
      </c>
      <c r="R175" s="214" t="str">
        <f t="shared" si="62"/>
        <v/>
      </c>
      <c r="S175" s="224"/>
      <c r="T175" s="214" t="str">
        <f t="shared" si="63"/>
        <v/>
      </c>
      <c r="U175" s="214" t="str">
        <f t="shared" si="64"/>
        <v/>
      </c>
      <c r="V175" s="214" t="str">
        <f t="shared" si="65"/>
        <v/>
      </c>
    </row>
    <row r="176" spans="1:22" ht="15" customHeight="1" x14ac:dyDescent="0.25">
      <c r="A176" s="192">
        <f t="shared" si="50"/>
        <v>2049</v>
      </c>
      <c r="B176" s="194">
        <f t="shared" ca="1" si="66"/>
        <v>0.27221113481847742</v>
      </c>
      <c r="C176" s="194">
        <f t="shared" ca="1" si="51"/>
        <v>1.0057282845354436</v>
      </c>
      <c r="D176" s="194" t="str">
        <f t="shared" si="52"/>
        <v/>
      </c>
      <c r="E176" s="219" t="str">
        <f t="shared" si="53"/>
        <v/>
      </c>
      <c r="F176" s="193" t="str">
        <f t="shared" si="67"/>
        <v/>
      </c>
      <c r="G176" s="194" t="str">
        <f t="shared" si="54"/>
        <v/>
      </c>
      <c r="H176" s="194" t="str">
        <f t="shared" si="55"/>
        <v/>
      </c>
      <c r="I176" s="219" t="str">
        <f t="shared" si="56"/>
        <v/>
      </c>
      <c r="J176" s="491" t="str">
        <f t="shared" si="57"/>
        <v/>
      </c>
      <c r="K176" s="217" t="str">
        <f t="shared" si="58"/>
        <v/>
      </c>
      <c r="L176" s="217" t="str">
        <f t="shared" si="59"/>
        <v/>
      </c>
      <c r="M176" s="194" t="str">
        <f t="shared" si="60"/>
        <v/>
      </c>
      <c r="N176" s="220" t="str">
        <f t="shared" si="61"/>
        <v/>
      </c>
      <c r="O176" s="225"/>
      <c r="P176" s="214">
        <f t="shared" ca="1" si="68"/>
        <v>1.8916552209566558E-2</v>
      </c>
      <c r="Q176" s="214" t="str">
        <f t="shared" si="69"/>
        <v/>
      </c>
      <c r="R176" s="214" t="str">
        <f t="shared" si="62"/>
        <v/>
      </c>
      <c r="S176" s="224"/>
      <c r="T176" s="214" t="str">
        <f t="shared" si="63"/>
        <v/>
      </c>
      <c r="U176" s="214" t="str">
        <f t="shared" si="64"/>
        <v/>
      </c>
      <c r="V176" s="214" t="str">
        <f t="shared" si="65"/>
        <v/>
      </c>
    </row>
    <row r="177" spans="1:22" ht="15" customHeight="1" x14ac:dyDescent="0.25">
      <c r="A177" s="192">
        <f t="shared" si="50"/>
        <v>2050</v>
      </c>
      <c r="B177" s="194">
        <f t="shared" ca="1" si="66"/>
        <v>0.27305340661745259</v>
      </c>
      <c r="C177" s="194">
        <f t="shared" ca="1" si="51"/>
        <v>1.0184621012833939</v>
      </c>
      <c r="D177" s="194" t="str">
        <f t="shared" si="52"/>
        <v/>
      </c>
      <c r="E177" s="219" t="str">
        <f t="shared" si="53"/>
        <v/>
      </c>
      <c r="F177" s="193" t="str">
        <f t="shared" si="67"/>
        <v/>
      </c>
      <c r="G177" s="194" t="str">
        <f t="shared" si="54"/>
        <v/>
      </c>
      <c r="H177" s="194" t="str">
        <f t="shared" si="55"/>
        <v/>
      </c>
      <c r="I177" s="219" t="str">
        <f t="shared" si="56"/>
        <v/>
      </c>
      <c r="J177" s="491" t="str">
        <f t="shared" si="57"/>
        <v/>
      </c>
      <c r="K177" s="217" t="str">
        <f t="shared" si="58"/>
        <v/>
      </c>
      <c r="L177" s="217" t="str">
        <f t="shared" si="59"/>
        <v/>
      </c>
      <c r="M177" s="194" t="str">
        <f t="shared" si="60"/>
        <v/>
      </c>
      <c r="N177" s="220" t="str">
        <f t="shared" si="61"/>
        <v/>
      </c>
      <c r="O177" s="225"/>
      <c r="P177" s="214">
        <f t="shared" ca="1" si="68"/>
        <v>1.8916552209566558E-2</v>
      </c>
      <c r="Q177" s="214" t="str">
        <f t="shared" si="69"/>
        <v/>
      </c>
      <c r="R177" s="214" t="str">
        <f t="shared" si="62"/>
        <v/>
      </c>
      <c r="S177" s="224"/>
      <c r="T177" s="214" t="str">
        <f t="shared" si="63"/>
        <v/>
      </c>
      <c r="U177" s="214" t="str">
        <f t="shared" si="64"/>
        <v/>
      </c>
      <c r="V177" s="214" t="str">
        <f t="shared" si="65"/>
        <v/>
      </c>
    </row>
    <row r="178" spans="1:22" ht="15" customHeight="1" x14ac:dyDescent="0.25">
      <c r="A178" s="192">
        <f t="shared" si="50"/>
        <v>2051</v>
      </c>
      <c r="B178" s="194">
        <f t="shared" ca="1" si="66"/>
        <v>0.27330105388042503</v>
      </c>
      <c r="C178" s="194">
        <f t="shared" ca="1" si="51"/>
        <v>1.0241240797456255</v>
      </c>
      <c r="D178" s="194" t="str">
        <f t="shared" si="52"/>
        <v/>
      </c>
      <c r="E178" s="219" t="str">
        <f t="shared" si="53"/>
        <v/>
      </c>
      <c r="F178" s="193" t="str">
        <f t="shared" si="67"/>
        <v/>
      </c>
      <c r="G178" s="194" t="str">
        <f t="shared" si="54"/>
        <v/>
      </c>
      <c r="H178" s="194" t="str">
        <f t="shared" si="55"/>
        <v/>
      </c>
      <c r="I178" s="219" t="str">
        <f t="shared" si="56"/>
        <v/>
      </c>
      <c r="J178" s="491" t="str">
        <f t="shared" si="57"/>
        <v/>
      </c>
      <c r="K178" s="217" t="str">
        <f t="shared" si="58"/>
        <v/>
      </c>
      <c r="L178" s="217" t="str">
        <f t="shared" si="59"/>
        <v/>
      </c>
      <c r="M178" s="194" t="str">
        <f t="shared" si="60"/>
        <v/>
      </c>
      <c r="N178" s="220" t="str">
        <f t="shared" si="61"/>
        <v/>
      </c>
      <c r="O178" s="225"/>
      <c r="P178" s="214">
        <f t="shared" ca="1" si="68"/>
        <v>1.8916552209566558E-2</v>
      </c>
      <c r="Q178" s="214" t="str">
        <f t="shared" si="69"/>
        <v/>
      </c>
      <c r="R178" s="214" t="str">
        <f t="shared" si="62"/>
        <v/>
      </c>
      <c r="S178" s="224"/>
      <c r="T178" s="214" t="str">
        <f t="shared" si="63"/>
        <v/>
      </c>
      <c r="U178" s="214" t="str">
        <f t="shared" si="64"/>
        <v/>
      </c>
      <c r="V178" s="214" t="str">
        <f t="shared" si="65"/>
        <v/>
      </c>
    </row>
    <row r="179" spans="1:22" ht="15" customHeight="1" x14ac:dyDescent="0.25">
      <c r="A179" s="192">
        <f t="shared" si="50"/>
        <v>2052</v>
      </c>
      <c r="B179" s="194">
        <f t="shared" ca="1" si="66"/>
        <v>0.2735489257484211</v>
      </c>
      <c r="C179" s="194">
        <f t="shared" ca="1" si="51"/>
        <v>1.0298175350787848</v>
      </c>
      <c r="D179" s="194" t="str">
        <f t="shared" si="52"/>
        <v/>
      </c>
      <c r="E179" s="219" t="str">
        <f t="shared" si="53"/>
        <v/>
      </c>
      <c r="F179" s="193" t="str">
        <f t="shared" si="67"/>
        <v/>
      </c>
      <c r="G179" s="194" t="str">
        <f t="shared" si="54"/>
        <v/>
      </c>
      <c r="H179" s="194" t="str">
        <f t="shared" si="55"/>
        <v/>
      </c>
      <c r="I179" s="219" t="str">
        <f t="shared" si="56"/>
        <v/>
      </c>
      <c r="J179" s="491" t="str">
        <f t="shared" si="57"/>
        <v/>
      </c>
      <c r="K179" s="217" t="str">
        <f t="shared" si="58"/>
        <v/>
      </c>
      <c r="L179" s="217" t="str">
        <f t="shared" si="59"/>
        <v/>
      </c>
      <c r="M179" s="194" t="str">
        <f t="shared" si="60"/>
        <v/>
      </c>
      <c r="N179" s="220" t="str">
        <f t="shared" si="61"/>
        <v/>
      </c>
      <c r="O179" s="225"/>
      <c r="P179" s="214">
        <f t="shared" ca="1" si="68"/>
        <v>1.8916552209566558E-2</v>
      </c>
      <c r="Q179" s="214" t="str">
        <f t="shared" si="69"/>
        <v/>
      </c>
      <c r="R179" s="214" t="str">
        <f t="shared" si="62"/>
        <v/>
      </c>
      <c r="S179" s="224"/>
      <c r="T179" s="214" t="str">
        <f t="shared" si="63"/>
        <v/>
      </c>
      <c r="U179" s="214" t="str">
        <f t="shared" si="64"/>
        <v/>
      </c>
      <c r="V179" s="214" t="str">
        <f t="shared" si="65"/>
        <v/>
      </c>
    </row>
    <row r="180" spans="1:22" ht="15" customHeight="1" x14ac:dyDescent="0.25">
      <c r="A180" s="192">
        <f t="shared" si="50"/>
        <v>2053</v>
      </c>
      <c r="B180" s="194">
        <f t="shared" ca="1" si="66"/>
        <v>0.27379702242514758</v>
      </c>
      <c r="C180" s="194">
        <f t="shared" ca="1" si="51"/>
        <v>1.0355426422735416</v>
      </c>
      <c r="D180" s="194" t="str">
        <f t="shared" si="52"/>
        <v/>
      </c>
      <c r="E180" s="219" t="str">
        <f t="shared" si="53"/>
        <v/>
      </c>
      <c r="F180" s="193" t="str">
        <f t="shared" si="67"/>
        <v/>
      </c>
      <c r="G180" s="194" t="str">
        <f t="shared" si="54"/>
        <v/>
      </c>
      <c r="H180" s="194" t="str">
        <f t="shared" si="55"/>
        <v/>
      </c>
      <c r="I180" s="219" t="str">
        <f t="shared" si="56"/>
        <v/>
      </c>
      <c r="J180" s="491" t="str">
        <f t="shared" si="57"/>
        <v/>
      </c>
      <c r="K180" s="217" t="str">
        <f t="shared" si="58"/>
        <v/>
      </c>
      <c r="L180" s="217" t="str">
        <f t="shared" si="59"/>
        <v/>
      </c>
      <c r="M180" s="194" t="str">
        <f t="shared" si="60"/>
        <v/>
      </c>
      <c r="N180" s="220" t="str">
        <f t="shared" si="61"/>
        <v/>
      </c>
      <c r="O180" s="225"/>
      <c r="P180" s="214">
        <f t="shared" ca="1" si="68"/>
        <v>1.8916552209566558E-2</v>
      </c>
      <c r="Q180" s="214" t="str">
        <f t="shared" si="69"/>
        <v/>
      </c>
      <c r="R180" s="214" t="str">
        <f t="shared" si="62"/>
        <v/>
      </c>
      <c r="S180" s="224"/>
      <c r="T180" s="214" t="str">
        <f t="shared" si="63"/>
        <v/>
      </c>
      <c r="U180" s="214" t="str">
        <f t="shared" si="64"/>
        <v/>
      </c>
      <c r="V180" s="214" t="str">
        <f t="shared" si="65"/>
        <v/>
      </c>
    </row>
    <row r="181" spans="1:22" ht="15" customHeight="1" x14ac:dyDescent="0.25">
      <c r="A181" s="192">
        <f t="shared" si="50"/>
        <v>2054</v>
      </c>
      <c r="B181" s="194">
        <f t="shared" ca="1" si="66"/>
        <v>0.27404534411449599</v>
      </c>
      <c r="C181" s="194">
        <f t="shared" ca="1" si="51"/>
        <v>1.0412995772933984</v>
      </c>
      <c r="D181" s="194" t="str">
        <f t="shared" si="52"/>
        <v/>
      </c>
      <c r="E181" s="219" t="str">
        <f t="shared" si="53"/>
        <v/>
      </c>
      <c r="F181" s="193" t="str">
        <f t="shared" si="67"/>
        <v/>
      </c>
      <c r="G181" s="194" t="str">
        <f t="shared" si="54"/>
        <v/>
      </c>
      <c r="H181" s="194" t="str">
        <f t="shared" si="55"/>
        <v/>
      </c>
      <c r="I181" s="219" t="str">
        <f t="shared" si="56"/>
        <v/>
      </c>
      <c r="J181" s="491" t="str">
        <f t="shared" si="57"/>
        <v/>
      </c>
      <c r="K181" s="217" t="str">
        <f t="shared" si="58"/>
        <v/>
      </c>
      <c r="L181" s="217" t="str">
        <f t="shared" si="59"/>
        <v/>
      </c>
      <c r="M181" s="194" t="str">
        <f t="shared" si="60"/>
        <v/>
      </c>
      <c r="N181" s="220" t="str">
        <f t="shared" si="61"/>
        <v/>
      </c>
      <c r="O181" s="225"/>
      <c r="P181" s="214">
        <f t="shared" ca="1" si="68"/>
        <v>1.8916552209566558E-2</v>
      </c>
      <c r="Q181" s="214" t="str">
        <f t="shared" si="69"/>
        <v/>
      </c>
      <c r="R181" s="214" t="str">
        <f t="shared" si="62"/>
        <v/>
      </c>
      <c r="S181" s="224"/>
      <c r="T181" s="214" t="str">
        <f t="shared" si="63"/>
        <v/>
      </c>
      <c r="U181" s="214" t="str">
        <f t="shared" si="64"/>
        <v/>
      </c>
      <c r="V181" s="214" t="str">
        <f t="shared" si="65"/>
        <v/>
      </c>
    </row>
    <row r="182" spans="1:22" ht="15" customHeight="1" thickBot="1" x14ac:dyDescent="0.3">
      <c r="A182" s="195" t="str">
        <f t="shared" si="50"/>
        <v/>
      </c>
      <c r="B182" s="194" t="str">
        <f t="shared" si="66"/>
        <v/>
      </c>
      <c r="C182" s="194" t="str">
        <f t="shared" si="51"/>
        <v/>
      </c>
      <c r="D182" s="194" t="str">
        <f t="shared" si="52"/>
        <v/>
      </c>
      <c r="E182" s="219" t="str">
        <f t="shared" si="53"/>
        <v/>
      </c>
      <c r="F182" s="193" t="str">
        <f t="shared" si="67"/>
        <v/>
      </c>
      <c r="G182" s="194" t="str">
        <f t="shared" si="54"/>
        <v/>
      </c>
      <c r="H182" s="194" t="str">
        <f t="shared" si="55"/>
        <v/>
      </c>
      <c r="I182" s="219" t="str">
        <f t="shared" si="56"/>
        <v/>
      </c>
      <c r="J182" s="491" t="str">
        <f t="shared" si="57"/>
        <v/>
      </c>
      <c r="K182" s="217" t="str">
        <f t="shared" si="58"/>
        <v/>
      </c>
      <c r="L182" s="217" t="str">
        <f t="shared" si="59"/>
        <v/>
      </c>
      <c r="M182" s="194" t="str">
        <f t="shared" si="60"/>
        <v/>
      </c>
      <c r="N182" s="220" t="str">
        <f t="shared" si="61"/>
        <v/>
      </c>
      <c r="O182" s="226"/>
      <c r="P182" s="214" t="str">
        <f t="shared" si="68"/>
        <v/>
      </c>
      <c r="Q182" s="214" t="str">
        <f t="shared" si="69"/>
        <v/>
      </c>
      <c r="R182" s="214" t="str">
        <f t="shared" si="62"/>
        <v/>
      </c>
      <c r="S182" s="224"/>
      <c r="T182" s="214" t="str">
        <f t="shared" si="63"/>
        <v/>
      </c>
      <c r="U182" s="214" t="str">
        <f t="shared" si="64"/>
        <v/>
      </c>
      <c r="V182" s="214" t="str">
        <f t="shared" si="65"/>
        <v/>
      </c>
    </row>
    <row r="184" spans="1:22" ht="13.8" thickBot="1" x14ac:dyDescent="0.3">
      <c r="A184" s="814" t="s">
        <v>1159</v>
      </c>
    </row>
    <row r="185" spans="1:22" ht="27" thickTop="1" x14ac:dyDescent="0.25">
      <c r="A185" s="191" t="s">
        <v>1007</v>
      </c>
      <c r="B185" s="222" t="str">
        <f>IF(B$131="","",B$131&amp;" ($/year)")</f>
        <v>Industrial Electricity ($/year)</v>
      </c>
      <c r="C185" s="222" t="str">
        <f t="shared" ref="C185:N185" si="70">IF(C$131="","",C$131&amp;" ($/year)")</f>
        <v>Industrial Natural Gas ($/year)</v>
      </c>
      <c r="D185" s="222" t="str">
        <f t="shared" si="70"/>
        <v/>
      </c>
      <c r="E185" s="222" t="str">
        <f t="shared" si="70"/>
        <v/>
      </c>
      <c r="F185" s="222" t="str">
        <f t="shared" si="70"/>
        <v/>
      </c>
      <c r="G185" s="222" t="str">
        <f t="shared" si="70"/>
        <v/>
      </c>
      <c r="H185" s="222" t="str">
        <f t="shared" si="70"/>
        <v/>
      </c>
      <c r="I185" s="486" t="str">
        <f t="shared" si="70"/>
        <v/>
      </c>
      <c r="J185" s="222" t="str">
        <f t="shared" si="70"/>
        <v/>
      </c>
      <c r="K185" s="222" t="str">
        <f t="shared" si="70"/>
        <v/>
      </c>
      <c r="L185" s="222" t="str">
        <f t="shared" si="70"/>
        <v/>
      </c>
      <c r="M185" s="222" t="str">
        <f t="shared" si="70"/>
        <v/>
      </c>
      <c r="N185" s="222" t="str">
        <f t="shared" si="70"/>
        <v/>
      </c>
    </row>
    <row r="186" spans="1:22" x14ac:dyDescent="0.25">
      <c r="A186" s="192">
        <f>+A139</f>
        <v>2012</v>
      </c>
      <c r="B186" s="194">
        <f>IF($C65="","",IF($C65&lt;0,0,IF(AND($C65=1,start_time&lt;1),-(SUM(B139)*output_kgyear*$E65*percnt_var*start_time+SUM(B139)*output_kgyear*$E65*(1-start_time)),IF($C65&lt;=start_time,-SUM(B139)*output_kgyear*$E65*percnt_var,-SUM(B139)*output_kgyear*$E65))))</f>
        <v>0</v>
      </c>
      <c r="C186" s="194">
        <f t="shared" ref="C186:N186" si="71">IF($C65="","",IF($C65&lt;0,0,IF(AND($C65=1,start_time&lt;1),-(SUM(C139)*output_kgyear*$E65*percnt_var*start_time+SUM(C139)*output_kgyear*$E65*(1-start_time)),IF($C65&lt;=start_time,-SUM(C139)*output_kgyear*$E65*percnt_var,-SUM(C139)*output_kgyear*$E65))))</f>
        <v>0</v>
      </c>
      <c r="D186" s="194">
        <f t="shared" si="71"/>
        <v>0</v>
      </c>
      <c r="E186" s="219">
        <f t="shared" si="71"/>
        <v>0</v>
      </c>
      <c r="F186" s="193">
        <f t="shared" si="71"/>
        <v>0</v>
      </c>
      <c r="G186" s="194">
        <f t="shared" si="71"/>
        <v>0</v>
      </c>
      <c r="H186" s="194">
        <f t="shared" si="71"/>
        <v>0</v>
      </c>
      <c r="I186" s="219">
        <f t="shared" si="71"/>
        <v>0</v>
      </c>
      <c r="J186" s="491">
        <f t="shared" si="71"/>
        <v>0</v>
      </c>
      <c r="K186" s="217">
        <f t="shared" si="71"/>
        <v>0</v>
      </c>
      <c r="L186" s="217">
        <f t="shared" si="71"/>
        <v>0</v>
      </c>
      <c r="M186" s="194">
        <f t="shared" si="71"/>
        <v>0</v>
      </c>
      <c r="N186" s="220">
        <f t="shared" si="71"/>
        <v>0</v>
      </c>
    </row>
    <row r="187" spans="1:22" x14ac:dyDescent="0.25">
      <c r="A187" s="192">
        <f t="shared" ref="A187:A229" si="72">+A140</f>
        <v>2013</v>
      </c>
      <c r="B187" s="194">
        <f t="shared" ref="B187:N187" si="73">IF($C66="","",IF($C66&lt;0,0,IF(AND($C66=1,start_time&lt;1),-(SUM(B140)*output_kgyear*$E66*percnt_var*start_time+SUM(B140)*output_kgyear*$E66*(1-start_time)),IF($C66&lt;=start_time,-SUM(B140)*output_kgyear*$E66*percnt_var,-SUM(B140)*output_kgyear*$E66))))</f>
        <v>0</v>
      </c>
      <c r="C187" s="194">
        <f t="shared" si="73"/>
        <v>0</v>
      </c>
      <c r="D187" s="194">
        <f t="shared" si="73"/>
        <v>0</v>
      </c>
      <c r="E187" s="219">
        <f t="shared" si="73"/>
        <v>0</v>
      </c>
      <c r="F187" s="193">
        <f t="shared" si="73"/>
        <v>0</v>
      </c>
      <c r="G187" s="194">
        <f t="shared" si="73"/>
        <v>0</v>
      </c>
      <c r="H187" s="194">
        <f t="shared" si="73"/>
        <v>0</v>
      </c>
      <c r="I187" s="219">
        <f t="shared" si="73"/>
        <v>0</v>
      </c>
      <c r="J187" s="491">
        <f t="shared" si="73"/>
        <v>0</v>
      </c>
      <c r="K187" s="217">
        <f t="shared" si="73"/>
        <v>0</v>
      </c>
      <c r="L187" s="217">
        <f t="shared" si="73"/>
        <v>0</v>
      </c>
      <c r="M187" s="194">
        <f t="shared" si="73"/>
        <v>0</v>
      </c>
      <c r="N187" s="220">
        <f t="shared" si="73"/>
        <v>0</v>
      </c>
    </row>
    <row r="188" spans="1:22" x14ac:dyDescent="0.25">
      <c r="A188" s="192">
        <f t="shared" si="72"/>
        <v>2014</v>
      </c>
      <c r="B188" s="194">
        <f t="shared" ref="B188:N188" si="74">IF($C67="","",IF($C67&lt;0,0,IF(AND($C67=1,start_time&lt;1),-(SUM(B141)*output_kgyear*$E67*percnt_var*start_time+SUM(B141)*output_kgyear*$E67*(1-start_time)),IF($C67&lt;=start_time,-SUM(B141)*output_kgyear*$E67*percnt_var,-SUM(B141)*output_kgyear*$E67))))</f>
        <v>0</v>
      </c>
      <c r="C188" s="194">
        <f t="shared" si="74"/>
        <v>0</v>
      </c>
      <c r="D188" s="194">
        <f t="shared" si="74"/>
        <v>0</v>
      </c>
      <c r="E188" s="219">
        <f t="shared" si="74"/>
        <v>0</v>
      </c>
      <c r="F188" s="193">
        <f t="shared" si="74"/>
        <v>0</v>
      </c>
      <c r="G188" s="194">
        <f t="shared" si="74"/>
        <v>0</v>
      </c>
      <c r="H188" s="194">
        <f t="shared" si="74"/>
        <v>0</v>
      </c>
      <c r="I188" s="219">
        <f t="shared" si="74"/>
        <v>0</v>
      </c>
      <c r="J188" s="491">
        <f t="shared" si="74"/>
        <v>0</v>
      </c>
      <c r="K188" s="217">
        <f t="shared" si="74"/>
        <v>0</v>
      </c>
      <c r="L188" s="217">
        <f t="shared" si="74"/>
        <v>0</v>
      </c>
      <c r="M188" s="194">
        <f t="shared" si="74"/>
        <v>0</v>
      </c>
      <c r="N188" s="220">
        <f t="shared" si="74"/>
        <v>0</v>
      </c>
    </row>
    <row r="189" spans="1:22" x14ac:dyDescent="0.25">
      <c r="A189" s="192">
        <f t="shared" si="72"/>
        <v>2015</v>
      </c>
      <c r="B189" s="194">
        <f t="shared" ref="B189:N189" ca="1" si="75">IF($C68="","",IF($C68&lt;0,0,IF(AND($C68=1,start_time&lt;1),-(SUM(B142)*output_kgyear*$E68*percnt_var*start_time+SUM(B142)*output_kgyear*$E68*(1-start_time)),IF($C68&lt;=start_time,-SUM(B142)*output_kgyear*$E68*percnt_var,-SUM(B142)*output_kgyear*$E68))))</f>
        <v>-52037777.570018582</v>
      </c>
      <c r="C189" s="194">
        <f t="shared" ca="1" si="75"/>
        <v>-125261820.85735612</v>
      </c>
      <c r="D189" s="194">
        <f t="shared" ca="1" si="75"/>
        <v>0</v>
      </c>
      <c r="E189" s="219">
        <f t="shared" ca="1" si="75"/>
        <v>0</v>
      </c>
      <c r="F189" s="193">
        <f ca="1">IF($C68="","",IF($C68&lt;0,0,IF(AND($C68=1,start_time&lt;1),-(SUM(F142)*output_kgyear*$E68*percnt_var*start_time+SUM(F142)*output_kgyear*$E68*(1-start_time)),IF($C68&lt;=start_time,-SUM(F142)*output_kgyear*$E68*percnt_var,-SUM(F142)*output_kgyear*$E68))))</f>
        <v>0</v>
      </c>
      <c r="G189" s="194">
        <f t="shared" ca="1" si="75"/>
        <v>0</v>
      </c>
      <c r="H189" s="194">
        <f t="shared" ca="1" si="75"/>
        <v>0</v>
      </c>
      <c r="I189" s="219">
        <f t="shared" ca="1" si="75"/>
        <v>0</v>
      </c>
      <c r="J189" s="491">
        <f t="shared" ca="1" si="75"/>
        <v>0</v>
      </c>
      <c r="K189" s="217">
        <f t="shared" ca="1" si="75"/>
        <v>0</v>
      </c>
      <c r="L189" s="217">
        <f t="shared" ca="1" si="75"/>
        <v>0</v>
      </c>
      <c r="M189" s="194">
        <f t="shared" ca="1" si="75"/>
        <v>0</v>
      </c>
      <c r="N189" s="220">
        <f t="shared" ca="1" si="75"/>
        <v>0</v>
      </c>
    </row>
    <row r="190" spans="1:22" x14ac:dyDescent="0.25">
      <c r="A190" s="192">
        <f t="shared" si="72"/>
        <v>2016</v>
      </c>
      <c r="B190" s="194">
        <f t="shared" ref="B190:N190" ca="1" si="76">IF($C69="","",IF($C69&lt;0,0,IF(AND($C69=1,start_time&lt;1),-(SUM(B143)*output_kgyear*$E69*percnt_var*start_time+SUM(B143)*output_kgyear*$E69*(1-start_time)),IF($C69&lt;=start_time,-SUM(B143)*output_kgyear*$E69*percnt_var,-SUM(B143)*output_kgyear*$E69))))</f>
        <v>-51222617.481663078</v>
      </c>
      <c r="C190" s="194">
        <f t="shared" ca="1" si="76"/>
        <v>-119628154.56868832</v>
      </c>
      <c r="D190" s="194">
        <f t="shared" ca="1" si="76"/>
        <v>0</v>
      </c>
      <c r="E190" s="219">
        <f t="shared" ca="1" si="76"/>
        <v>0</v>
      </c>
      <c r="F190" s="193">
        <f t="shared" ca="1" si="76"/>
        <v>0</v>
      </c>
      <c r="G190" s="194">
        <f t="shared" ca="1" si="76"/>
        <v>0</v>
      </c>
      <c r="H190" s="194">
        <f t="shared" ca="1" si="76"/>
        <v>0</v>
      </c>
      <c r="I190" s="219">
        <f t="shared" ca="1" si="76"/>
        <v>0</v>
      </c>
      <c r="J190" s="491">
        <f t="shared" ca="1" si="76"/>
        <v>0</v>
      </c>
      <c r="K190" s="217">
        <f t="shared" ca="1" si="76"/>
        <v>0</v>
      </c>
      <c r="L190" s="217">
        <f t="shared" ca="1" si="76"/>
        <v>0</v>
      </c>
      <c r="M190" s="194">
        <f t="shared" ca="1" si="76"/>
        <v>0</v>
      </c>
      <c r="N190" s="220">
        <f t="shared" ca="1" si="76"/>
        <v>0</v>
      </c>
    </row>
    <row r="191" spans="1:22" x14ac:dyDescent="0.25">
      <c r="A191" s="192">
        <f t="shared" si="72"/>
        <v>2017</v>
      </c>
      <c r="B191" s="194">
        <f t="shared" ref="B191:N191" ca="1" si="77">IF($C70="","",IF($C70&lt;0,0,IF(AND($C70=1,start_time&lt;1),-(SUM(B144)*output_kgyear*$E70*percnt_var*start_time+SUM(B144)*output_kgyear*$E70*(1-start_time)),IF($C70&lt;=start_time,-SUM(B144)*output_kgyear*$E70*percnt_var,-SUM(B144)*output_kgyear*$E70))))</f>
        <v>-54307614.885515407</v>
      </c>
      <c r="C191" s="194">
        <f t="shared" ca="1" si="77"/>
        <v>-142181570.70881301</v>
      </c>
      <c r="D191" s="194">
        <f t="shared" ca="1" si="77"/>
        <v>0</v>
      </c>
      <c r="E191" s="219">
        <f t="shared" ca="1" si="77"/>
        <v>0</v>
      </c>
      <c r="F191" s="193">
        <f t="shared" ca="1" si="77"/>
        <v>0</v>
      </c>
      <c r="G191" s="194">
        <f t="shared" ca="1" si="77"/>
        <v>0</v>
      </c>
      <c r="H191" s="194">
        <f t="shared" ca="1" si="77"/>
        <v>0</v>
      </c>
      <c r="I191" s="219">
        <f t="shared" ca="1" si="77"/>
        <v>0</v>
      </c>
      <c r="J191" s="491">
        <f t="shared" ca="1" si="77"/>
        <v>0</v>
      </c>
      <c r="K191" s="217">
        <f t="shared" ca="1" si="77"/>
        <v>0</v>
      </c>
      <c r="L191" s="217">
        <f t="shared" ca="1" si="77"/>
        <v>0</v>
      </c>
      <c r="M191" s="194">
        <f t="shared" ca="1" si="77"/>
        <v>0</v>
      </c>
      <c r="N191" s="220">
        <f t="shared" ca="1" si="77"/>
        <v>0</v>
      </c>
    </row>
    <row r="192" spans="1:22" x14ac:dyDescent="0.25">
      <c r="A192" s="192">
        <f t="shared" si="72"/>
        <v>2018</v>
      </c>
      <c r="B192" s="194">
        <f t="shared" ref="B192:N192" ca="1" si="78">IF($C71="","",IF($C71&lt;0,0,IF(AND($C71=1,start_time&lt;1),-(SUM(B145)*output_kgyear*$E71*percnt_var*start_time+SUM(B145)*output_kgyear*$E71*(1-start_time)),IF($C71&lt;=start_time,-SUM(B145)*output_kgyear*$E71*percnt_var,-SUM(B145)*output_kgyear*$E71))))</f>
        <v>-54085225.738043733</v>
      </c>
      <c r="C192" s="194">
        <f t="shared" ca="1" si="78"/>
        <v>-158431383.51811469</v>
      </c>
      <c r="D192" s="194">
        <f t="shared" ca="1" si="78"/>
        <v>0</v>
      </c>
      <c r="E192" s="219">
        <f t="shared" ca="1" si="78"/>
        <v>0</v>
      </c>
      <c r="F192" s="193">
        <f t="shared" ca="1" si="78"/>
        <v>0</v>
      </c>
      <c r="G192" s="194">
        <f t="shared" ca="1" si="78"/>
        <v>0</v>
      </c>
      <c r="H192" s="194">
        <f t="shared" ca="1" si="78"/>
        <v>0</v>
      </c>
      <c r="I192" s="219">
        <f t="shared" ca="1" si="78"/>
        <v>0</v>
      </c>
      <c r="J192" s="491">
        <f t="shared" ca="1" si="78"/>
        <v>0</v>
      </c>
      <c r="K192" s="217">
        <f t="shared" ca="1" si="78"/>
        <v>0</v>
      </c>
      <c r="L192" s="217">
        <f t="shared" ca="1" si="78"/>
        <v>0</v>
      </c>
      <c r="M192" s="194">
        <f t="shared" ca="1" si="78"/>
        <v>0</v>
      </c>
      <c r="N192" s="220">
        <f t="shared" ca="1" si="78"/>
        <v>0</v>
      </c>
    </row>
    <row r="193" spans="1:14" x14ac:dyDescent="0.25">
      <c r="A193" s="192">
        <f t="shared" si="72"/>
        <v>2019</v>
      </c>
      <c r="B193" s="194">
        <f t="shared" ref="B193:N193" ca="1" si="79">IF($C72="","",IF($C72&lt;0,0,IF(AND($C72=1,start_time&lt;1),-(SUM(B146)*output_kgyear*$E72*percnt_var*start_time+SUM(B146)*output_kgyear*$E72*(1-start_time)),IF($C72&lt;=start_time,-SUM(B146)*output_kgyear*$E72*percnt_var,-SUM(B146)*output_kgyear*$E72))))</f>
        <v>-55823426.045837283</v>
      </c>
      <c r="C193" s="194">
        <f t="shared" ca="1" si="79"/>
        <v>-176976027.78385675</v>
      </c>
      <c r="D193" s="194">
        <f t="shared" ca="1" si="79"/>
        <v>0</v>
      </c>
      <c r="E193" s="219">
        <f t="shared" ca="1" si="79"/>
        <v>0</v>
      </c>
      <c r="F193" s="193">
        <f t="shared" ca="1" si="79"/>
        <v>0</v>
      </c>
      <c r="G193" s="194">
        <f t="shared" ca="1" si="79"/>
        <v>0</v>
      </c>
      <c r="H193" s="194">
        <f t="shared" ca="1" si="79"/>
        <v>0</v>
      </c>
      <c r="I193" s="219">
        <f t="shared" ca="1" si="79"/>
        <v>0</v>
      </c>
      <c r="J193" s="491">
        <f t="shared" ca="1" si="79"/>
        <v>0</v>
      </c>
      <c r="K193" s="217">
        <f t="shared" ca="1" si="79"/>
        <v>0</v>
      </c>
      <c r="L193" s="217">
        <f t="shared" ca="1" si="79"/>
        <v>0</v>
      </c>
      <c r="M193" s="194">
        <f t="shared" ca="1" si="79"/>
        <v>0</v>
      </c>
      <c r="N193" s="220">
        <f t="shared" ca="1" si="79"/>
        <v>0</v>
      </c>
    </row>
    <row r="194" spans="1:14" x14ac:dyDescent="0.25">
      <c r="A194" s="192">
        <f t="shared" si="72"/>
        <v>2020</v>
      </c>
      <c r="B194" s="194">
        <f t="shared" ref="B194:N194" ca="1" si="80">IF($C73="","",IF($C73&lt;0,0,IF(AND($C73=1,start_time&lt;1),-(SUM(B147)*output_kgyear*$E73*percnt_var*start_time+SUM(B147)*output_kgyear*$E73*(1-start_time)),IF($C73&lt;=start_time,-SUM(B147)*output_kgyear*$E73*percnt_var,-SUM(B147)*output_kgyear*$E73))))</f>
        <v>-57942426.403251283</v>
      </c>
      <c r="C194" s="194">
        <f t="shared" ca="1" si="80"/>
        <v>-195986244.41274273</v>
      </c>
      <c r="D194" s="194">
        <f t="shared" ca="1" si="80"/>
        <v>0</v>
      </c>
      <c r="E194" s="219">
        <f t="shared" ca="1" si="80"/>
        <v>0</v>
      </c>
      <c r="F194" s="193">
        <f t="shared" ca="1" si="80"/>
        <v>0</v>
      </c>
      <c r="G194" s="194">
        <f t="shared" ca="1" si="80"/>
        <v>0</v>
      </c>
      <c r="H194" s="194">
        <f t="shared" ca="1" si="80"/>
        <v>0</v>
      </c>
      <c r="I194" s="219">
        <f t="shared" ca="1" si="80"/>
        <v>0</v>
      </c>
      <c r="J194" s="491">
        <f t="shared" ca="1" si="80"/>
        <v>0</v>
      </c>
      <c r="K194" s="217">
        <f t="shared" ca="1" si="80"/>
        <v>0</v>
      </c>
      <c r="L194" s="217">
        <f t="shared" ca="1" si="80"/>
        <v>0</v>
      </c>
      <c r="M194" s="194">
        <f t="shared" ca="1" si="80"/>
        <v>0</v>
      </c>
      <c r="N194" s="220">
        <f t="shared" ca="1" si="80"/>
        <v>0</v>
      </c>
    </row>
    <row r="195" spans="1:14" x14ac:dyDescent="0.25">
      <c r="A195" s="192">
        <f t="shared" si="72"/>
        <v>2021</v>
      </c>
      <c r="B195" s="194">
        <f t="shared" ref="B195:N195" ca="1" si="81">IF($C74="","",IF($C74&lt;0,0,IF(AND($C74=1,start_time&lt;1),-(SUM(B148)*output_kgyear*$E74*percnt_var*start_time+SUM(B148)*output_kgyear*$E74*(1-start_time)),IF($C74&lt;=start_time,-SUM(B148)*output_kgyear*$E74*percnt_var,-SUM(B148)*output_kgyear*$E74))))</f>
        <v>-59368523.813118309</v>
      </c>
      <c r="C195" s="194">
        <f t="shared" ca="1" si="81"/>
        <v>-199921773.50842363</v>
      </c>
      <c r="D195" s="194">
        <f t="shared" ca="1" si="81"/>
        <v>0</v>
      </c>
      <c r="E195" s="219">
        <f t="shared" ca="1" si="81"/>
        <v>0</v>
      </c>
      <c r="F195" s="193">
        <f t="shared" ca="1" si="81"/>
        <v>0</v>
      </c>
      <c r="G195" s="194">
        <f t="shared" ca="1" si="81"/>
        <v>0</v>
      </c>
      <c r="H195" s="194">
        <f t="shared" ca="1" si="81"/>
        <v>0</v>
      </c>
      <c r="I195" s="219">
        <f t="shared" ca="1" si="81"/>
        <v>0</v>
      </c>
      <c r="J195" s="491">
        <f t="shared" ca="1" si="81"/>
        <v>0</v>
      </c>
      <c r="K195" s="217">
        <f t="shared" ca="1" si="81"/>
        <v>0</v>
      </c>
      <c r="L195" s="217">
        <f t="shared" ca="1" si="81"/>
        <v>0</v>
      </c>
      <c r="M195" s="194">
        <f t="shared" ca="1" si="81"/>
        <v>0</v>
      </c>
      <c r="N195" s="220">
        <f t="shared" ca="1" si="81"/>
        <v>0</v>
      </c>
    </row>
    <row r="196" spans="1:14" x14ac:dyDescent="0.25">
      <c r="A196" s="192">
        <f t="shared" si="72"/>
        <v>2022</v>
      </c>
      <c r="B196" s="194">
        <f t="shared" ref="B196:N196" ca="1" si="82">IF($C75="","",IF($C75&lt;0,0,IF(AND($C75=1,start_time&lt;1),-(SUM(B149)*output_kgyear*$E75*percnt_var*start_time+SUM(B149)*output_kgyear*$E75*(1-start_time)),IF($C75&lt;=start_time,-SUM(B149)*output_kgyear*$E75*percnt_var,-SUM(B149)*output_kgyear*$E75))))</f>
        <v>-62449214.312978879</v>
      </c>
      <c r="C196" s="194">
        <f t="shared" ca="1" si="82"/>
        <v>-201468185.32317531</v>
      </c>
      <c r="D196" s="194">
        <f t="shared" ca="1" si="82"/>
        <v>0</v>
      </c>
      <c r="E196" s="219">
        <f t="shared" ca="1" si="82"/>
        <v>0</v>
      </c>
      <c r="F196" s="193">
        <f t="shared" ca="1" si="82"/>
        <v>0</v>
      </c>
      <c r="G196" s="194">
        <f t="shared" ca="1" si="82"/>
        <v>0</v>
      </c>
      <c r="H196" s="194">
        <f t="shared" ca="1" si="82"/>
        <v>0</v>
      </c>
      <c r="I196" s="219">
        <f t="shared" ca="1" si="82"/>
        <v>0</v>
      </c>
      <c r="J196" s="491">
        <f t="shared" ca="1" si="82"/>
        <v>0</v>
      </c>
      <c r="K196" s="217">
        <f t="shared" ca="1" si="82"/>
        <v>0</v>
      </c>
      <c r="L196" s="217">
        <f t="shared" ca="1" si="82"/>
        <v>0</v>
      </c>
      <c r="M196" s="194">
        <f t="shared" ca="1" si="82"/>
        <v>0</v>
      </c>
      <c r="N196" s="220">
        <f t="shared" ca="1" si="82"/>
        <v>0</v>
      </c>
    </row>
    <row r="197" spans="1:14" x14ac:dyDescent="0.25">
      <c r="A197" s="192">
        <f t="shared" si="72"/>
        <v>2023</v>
      </c>
      <c r="B197" s="194">
        <f t="shared" ref="B197:N197" ca="1" si="83">IF($C76="","",IF($C76&lt;0,0,IF(AND($C76=1,start_time&lt;1),-(SUM(B150)*output_kgyear*$E76*percnt_var*start_time+SUM(B150)*output_kgyear*$E76*(1-start_time)),IF($C76&lt;=start_time,-SUM(B150)*output_kgyear*$E76*percnt_var,-SUM(B150)*output_kgyear*$E76))))</f>
        <v>-63837436.365349829</v>
      </c>
      <c r="C197" s="194">
        <f t="shared" ca="1" si="83"/>
        <v>-205766290.89862069</v>
      </c>
      <c r="D197" s="194">
        <f t="shared" ca="1" si="83"/>
        <v>0</v>
      </c>
      <c r="E197" s="219">
        <f t="shared" ca="1" si="83"/>
        <v>0</v>
      </c>
      <c r="F197" s="193">
        <f t="shared" ca="1" si="83"/>
        <v>0</v>
      </c>
      <c r="G197" s="194">
        <f t="shared" ca="1" si="83"/>
        <v>0</v>
      </c>
      <c r="H197" s="194">
        <f t="shared" ca="1" si="83"/>
        <v>0</v>
      </c>
      <c r="I197" s="219">
        <f t="shared" ca="1" si="83"/>
        <v>0</v>
      </c>
      <c r="J197" s="491">
        <f t="shared" ca="1" si="83"/>
        <v>0</v>
      </c>
      <c r="K197" s="217">
        <f t="shared" ca="1" si="83"/>
        <v>0</v>
      </c>
      <c r="L197" s="217">
        <f t="shared" ca="1" si="83"/>
        <v>0</v>
      </c>
      <c r="M197" s="194">
        <f t="shared" ca="1" si="83"/>
        <v>0</v>
      </c>
      <c r="N197" s="220">
        <f t="shared" ca="1" si="83"/>
        <v>0</v>
      </c>
    </row>
    <row r="198" spans="1:14" x14ac:dyDescent="0.25">
      <c r="A198" s="192">
        <f t="shared" si="72"/>
        <v>2024</v>
      </c>
      <c r="B198" s="194">
        <f t="shared" ref="B198:N198" ca="1" si="84">IF($C77="","",IF($C77&lt;0,0,IF(AND($C77=1,start_time&lt;1),-(SUM(B151)*output_kgyear*$E77*percnt_var*start_time+SUM(B151)*output_kgyear*$E77*(1-start_time)),IF($C77&lt;=start_time,-SUM(B151)*output_kgyear*$E77*percnt_var,-SUM(B151)*output_kgyear*$E77))))</f>
        <v>-64878864.388109118</v>
      </c>
      <c r="C198" s="194">
        <f t="shared" ca="1" si="84"/>
        <v>-213271874.76993334</v>
      </c>
      <c r="D198" s="194">
        <f t="shared" ca="1" si="84"/>
        <v>0</v>
      </c>
      <c r="E198" s="219">
        <f t="shared" ca="1" si="84"/>
        <v>0</v>
      </c>
      <c r="F198" s="193">
        <f t="shared" ca="1" si="84"/>
        <v>0</v>
      </c>
      <c r="G198" s="194">
        <f t="shared" ca="1" si="84"/>
        <v>0</v>
      </c>
      <c r="H198" s="194">
        <f t="shared" ca="1" si="84"/>
        <v>0</v>
      </c>
      <c r="I198" s="219">
        <f t="shared" ca="1" si="84"/>
        <v>0</v>
      </c>
      <c r="J198" s="491">
        <f t="shared" ca="1" si="84"/>
        <v>0</v>
      </c>
      <c r="K198" s="217">
        <f t="shared" ca="1" si="84"/>
        <v>0</v>
      </c>
      <c r="L198" s="217">
        <f t="shared" ca="1" si="84"/>
        <v>0</v>
      </c>
      <c r="M198" s="194">
        <f t="shared" ca="1" si="84"/>
        <v>0</v>
      </c>
      <c r="N198" s="220">
        <f t="shared" ca="1" si="84"/>
        <v>0</v>
      </c>
    </row>
    <row r="199" spans="1:14" x14ac:dyDescent="0.25">
      <c r="A199" s="192">
        <f t="shared" si="72"/>
        <v>2025</v>
      </c>
      <c r="B199" s="194">
        <f t="shared" ref="B199:N199" ca="1" si="85">IF($C78="","",IF($C78&lt;0,0,IF(AND($C78=1,start_time&lt;1),-(SUM(B152)*output_kgyear*$E78*percnt_var*start_time+SUM(B152)*output_kgyear*$E78*(1-start_time)),IF($C78&lt;=start_time,-SUM(B152)*output_kgyear*$E78*percnt_var,-SUM(B152)*output_kgyear*$E78))))</f>
        <v>-67699004.386317492</v>
      </c>
      <c r="C199" s="194">
        <f t="shared" ca="1" si="85"/>
        <v>-222105402.28717792</v>
      </c>
      <c r="D199" s="194">
        <f t="shared" ca="1" si="85"/>
        <v>0</v>
      </c>
      <c r="E199" s="219">
        <f t="shared" ca="1" si="85"/>
        <v>0</v>
      </c>
      <c r="F199" s="193">
        <f t="shared" ca="1" si="85"/>
        <v>0</v>
      </c>
      <c r="G199" s="194">
        <f t="shared" ca="1" si="85"/>
        <v>0</v>
      </c>
      <c r="H199" s="194">
        <f t="shared" ca="1" si="85"/>
        <v>0</v>
      </c>
      <c r="I199" s="219">
        <f t="shared" ca="1" si="85"/>
        <v>0</v>
      </c>
      <c r="J199" s="491">
        <f t="shared" ca="1" si="85"/>
        <v>0</v>
      </c>
      <c r="K199" s="217">
        <f t="shared" ca="1" si="85"/>
        <v>0</v>
      </c>
      <c r="L199" s="217">
        <f t="shared" ca="1" si="85"/>
        <v>0</v>
      </c>
      <c r="M199" s="194">
        <f t="shared" ca="1" si="85"/>
        <v>0</v>
      </c>
      <c r="N199" s="220">
        <f t="shared" ca="1" si="85"/>
        <v>0</v>
      </c>
    </row>
    <row r="200" spans="1:14" x14ac:dyDescent="0.25">
      <c r="A200" s="192">
        <f t="shared" si="72"/>
        <v>2026</v>
      </c>
      <c r="B200" s="194">
        <f t="shared" ref="B200:N200" ca="1" si="86">IF($C79="","",IF($C79&lt;0,0,IF(AND($C79=1,start_time&lt;1),-(SUM(B153)*output_kgyear*$E79*percnt_var*start_time+SUM(B153)*output_kgyear*$E79*(1-start_time)),IF($C79&lt;=start_time,-SUM(B153)*output_kgyear*$E79*percnt_var,-SUM(B153)*output_kgyear*$E79))))</f>
        <v>-69685859.34294638</v>
      </c>
      <c r="C200" s="194">
        <f t="shared" ca="1" si="86"/>
        <v>-231363412.9356041</v>
      </c>
      <c r="D200" s="194">
        <f t="shared" ca="1" si="86"/>
        <v>0</v>
      </c>
      <c r="E200" s="219">
        <f t="shared" ca="1" si="86"/>
        <v>0</v>
      </c>
      <c r="F200" s="193">
        <f t="shared" ca="1" si="86"/>
        <v>0</v>
      </c>
      <c r="G200" s="194">
        <f t="shared" ca="1" si="86"/>
        <v>0</v>
      </c>
      <c r="H200" s="194">
        <f t="shared" ca="1" si="86"/>
        <v>0</v>
      </c>
      <c r="I200" s="219">
        <f t="shared" ca="1" si="86"/>
        <v>0</v>
      </c>
      <c r="J200" s="491">
        <f t="shared" ca="1" si="86"/>
        <v>0</v>
      </c>
      <c r="K200" s="217">
        <f t="shared" ca="1" si="86"/>
        <v>0</v>
      </c>
      <c r="L200" s="217">
        <f t="shared" ca="1" si="86"/>
        <v>0</v>
      </c>
      <c r="M200" s="194">
        <f t="shared" ca="1" si="86"/>
        <v>0</v>
      </c>
      <c r="N200" s="220">
        <f t="shared" ca="1" si="86"/>
        <v>0</v>
      </c>
    </row>
    <row r="201" spans="1:14" x14ac:dyDescent="0.25">
      <c r="A201" s="192">
        <f t="shared" si="72"/>
        <v>2027</v>
      </c>
      <c r="B201" s="194">
        <f t="shared" ref="B201:N201" ca="1" si="87">IF($C80="","",IF($C80&lt;0,0,IF(AND($C80=1,start_time&lt;1),-(SUM(B154)*output_kgyear*$E80*percnt_var*start_time+SUM(B154)*output_kgyear*$E80*(1-start_time)),IF($C80&lt;=start_time,-SUM(B154)*output_kgyear*$E80*percnt_var,-SUM(B154)*output_kgyear*$E80))))</f>
        <v>-71419030.134951055</v>
      </c>
      <c r="C201" s="194">
        <f t="shared" ca="1" si="87"/>
        <v>-239871902.75276926</v>
      </c>
      <c r="D201" s="194">
        <f t="shared" ca="1" si="87"/>
        <v>0</v>
      </c>
      <c r="E201" s="219">
        <f t="shared" ca="1" si="87"/>
        <v>0</v>
      </c>
      <c r="F201" s="193">
        <f t="shared" ca="1" si="87"/>
        <v>0</v>
      </c>
      <c r="G201" s="194">
        <f t="shared" ca="1" si="87"/>
        <v>0</v>
      </c>
      <c r="H201" s="194">
        <f t="shared" ca="1" si="87"/>
        <v>0</v>
      </c>
      <c r="I201" s="219">
        <f t="shared" ca="1" si="87"/>
        <v>0</v>
      </c>
      <c r="J201" s="491">
        <f t="shared" ca="1" si="87"/>
        <v>0</v>
      </c>
      <c r="K201" s="217">
        <f t="shared" ca="1" si="87"/>
        <v>0</v>
      </c>
      <c r="L201" s="217">
        <f t="shared" ca="1" si="87"/>
        <v>0</v>
      </c>
      <c r="M201" s="194">
        <f t="shared" ca="1" si="87"/>
        <v>0</v>
      </c>
      <c r="N201" s="220">
        <f t="shared" ca="1" si="87"/>
        <v>0</v>
      </c>
    </row>
    <row r="202" spans="1:14" x14ac:dyDescent="0.25">
      <c r="A202" s="192">
        <f t="shared" si="72"/>
        <v>2028</v>
      </c>
      <c r="B202" s="194">
        <f t="shared" ref="B202:N202" ca="1" si="88">IF($C81="","",IF($C81&lt;0,0,IF(AND($C81=1,start_time&lt;1),-(SUM(B155)*output_kgyear*$E81*percnt_var*start_time+SUM(B155)*output_kgyear*$E81*(1-start_time)),IF($C81&lt;=start_time,-SUM(B155)*output_kgyear*$E81*percnt_var,-SUM(B155)*output_kgyear*$E81))))</f>
        <v>-73248854.677785352</v>
      </c>
      <c r="C202" s="194">
        <f t="shared" ca="1" si="88"/>
        <v>-248584244.09710655</v>
      </c>
      <c r="D202" s="194">
        <f t="shared" ca="1" si="88"/>
        <v>0</v>
      </c>
      <c r="E202" s="219">
        <f t="shared" ca="1" si="88"/>
        <v>0</v>
      </c>
      <c r="F202" s="193">
        <f t="shared" ca="1" si="88"/>
        <v>0</v>
      </c>
      <c r="G202" s="194">
        <f t="shared" ca="1" si="88"/>
        <v>0</v>
      </c>
      <c r="H202" s="194">
        <f t="shared" ca="1" si="88"/>
        <v>0</v>
      </c>
      <c r="I202" s="219">
        <f t="shared" ca="1" si="88"/>
        <v>0</v>
      </c>
      <c r="J202" s="491">
        <f t="shared" ca="1" si="88"/>
        <v>0</v>
      </c>
      <c r="K202" s="217">
        <f t="shared" ca="1" si="88"/>
        <v>0</v>
      </c>
      <c r="L202" s="217">
        <f t="shared" ca="1" si="88"/>
        <v>0</v>
      </c>
      <c r="M202" s="194">
        <f t="shared" ca="1" si="88"/>
        <v>0</v>
      </c>
      <c r="N202" s="220">
        <f t="shared" ca="1" si="88"/>
        <v>0</v>
      </c>
    </row>
    <row r="203" spans="1:14" x14ac:dyDescent="0.25">
      <c r="A203" s="192">
        <f t="shared" si="72"/>
        <v>2029</v>
      </c>
      <c r="B203" s="194">
        <f t="shared" ref="B203:N203" ca="1" si="89">IF($C82="","",IF($C82&lt;0,0,IF(AND($C82=1,start_time&lt;1),-(SUM(B156)*output_kgyear*$E82*percnt_var*start_time+SUM(B156)*output_kgyear*$E82*(1-start_time)),IF($C82&lt;=start_time,-SUM(B156)*output_kgyear*$E82*percnt_var,-SUM(B156)*output_kgyear*$E82))))</f>
        <v>-75019153.217154473</v>
      </c>
      <c r="C203" s="194">
        <f t="shared" ca="1" si="89"/>
        <v>-256864701.75696522</v>
      </c>
      <c r="D203" s="194">
        <f t="shared" ca="1" si="89"/>
        <v>0</v>
      </c>
      <c r="E203" s="219">
        <f t="shared" ca="1" si="89"/>
        <v>0</v>
      </c>
      <c r="F203" s="193">
        <f t="shared" ca="1" si="89"/>
        <v>0</v>
      </c>
      <c r="G203" s="194">
        <f t="shared" ca="1" si="89"/>
        <v>0</v>
      </c>
      <c r="H203" s="194">
        <f t="shared" ca="1" si="89"/>
        <v>0</v>
      </c>
      <c r="I203" s="219">
        <f t="shared" ca="1" si="89"/>
        <v>0</v>
      </c>
      <c r="J203" s="491">
        <f t="shared" ca="1" si="89"/>
        <v>0</v>
      </c>
      <c r="K203" s="217">
        <f t="shared" ca="1" si="89"/>
        <v>0</v>
      </c>
      <c r="L203" s="217">
        <f t="shared" ca="1" si="89"/>
        <v>0</v>
      </c>
      <c r="M203" s="194">
        <f t="shared" ca="1" si="89"/>
        <v>0</v>
      </c>
      <c r="N203" s="220">
        <f t="shared" ca="1" si="89"/>
        <v>0</v>
      </c>
    </row>
    <row r="204" spans="1:14" x14ac:dyDescent="0.25">
      <c r="A204" s="192">
        <f t="shared" si="72"/>
        <v>2030</v>
      </c>
      <c r="B204" s="194">
        <f t="shared" ref="B204:N204" ca="1" si="90">IF($C83="","",IF($C83&lt;0,0,IF(AND($C83=1,start_time&lt;1),-(SUM(B157)*output_kgyear*$E83*percnt_var*start_time+SUM(B157)*output_kgyear*$E83*(1-start_time)),IF($C83&lt;=start_time,-SUM(B157)*output_kgyear*$E83*percnt_var,-SUM(B157)*output_kgyear*$E83))))</f>
        <v>-76712519.893283248</v>
      </c>
      <c r="C204" s="194">
        <f t="shared" ca="1" si="90"/>
        <v>-262650611.44510412</v>
      </c>
      <c r="D204" s="194">
        <f t="shared" ca="1" si="90"/>
        <v>0</v>
      </c>
      <c r="E204" s="219">
        <f t="shared" ca="1" si="90"/>
        <v>0</v>
      </c>
      <c r="F204" s="193">
        <f t="shared" ca="1" si="90"/>
        <v>0</v>
      </c>
      <c r="G204" s="194">
        <f t="shared" ca="1" si="90"/>
        <v>0</v>
      </c>
      <c r="H204" s="194">
        <f t="shared" ca="1" si="90"/>
        <v>0</v>
      </c>
      <c r="I204" s="219">
        <f t="shared" ca="1" si="90"/>
        <v>0</v>
      </c>
      <c r="J204" s="491">
        <f t="shared" ca="1" si="90"/>
        <v>0</v>
      </c>
      <c r="K204" s="217">
        <f t="shared" ca="1" si="90"/>
        <v>0</v>
      </c>
      <c r="L204" s="217">
        <f t="shared" ca="1" si="90"/>
        <v>0</v>
      </c>
      <c r="M204" s="194">
        <f t="shared" ca="1" si="90"/>
        <v>0</v>
      </c>
      <c r="N204" s="220">
        <f t="shared" ca="1" si="90"/>
        <v>0</v>
      </c>
    </row>
    <row r="205" spans="1:14" x14ac:dyDescent="0.25">
      <c r="A205" s="192">
        <f t="shared" si="72"/>
        <v>2031</v>
      </c>
      <c r="B205" s="194">
        <f t="shared" ref="B205:N205" ca="1" si="91">IF($C84="","",IF($C84&lt;0,0,IF(AND($C84=1,start_time&lt;1),-(SUM(B158)*output_kgyear*$E84*percnt_var*start_time+SUM(B158)*output_kgyear*$E84*(1-start_time)),IF($C84&lt;=start_time,-SUM(B158)*output_kgyear*$E84*percnt_var,-SUM(B158)*output_kgyear*$E84))))</f>
        <v>-78269087.860091239</v>
      </c>
      <c r="C205" s="194">
        <f t="shared" ca="1" si="91"/>
        <v>-268789613.68870145</v>
      </c>
      <c r="D205" s="194">
        <f t="shared" ca="1" si="91"/>
        <v>0</v>
      </c>
      <c r="E205" s="219">
        <f t="shared" ca="1" si="91"/>
        <v>0</v>
      </c>
      <c r="F205" s="193">
        <f t="shared" ca="1" si="91"/>
        <v>0</v>
      </c>
      <c r="G205" s="194">
        <f t="shared" ca="1" si="91"/>
        <v>0</v>
      </c>
      <c r="H205" s="194">
        <f t="shared" ca="1" si="91"/>
        <v>0</v>
      </c>
      <c r="I205" s="219">
        <f t="shared" ca="1" si="91"/>
        <v>0</v>
      </c>
      <c r="J205" s="491">
        <f t="shared" ca="1" si="91"/>
        <v>0</v>
      </c>
      <c r="K205" s="217">
        <f t="shared" ca="1" si="91"/>
        <v>0</v>
      </c>
      <c r="L205" s="217">
        <f t="shared" ca="1" si="91"/>
        <v>0</v>
      </c>
      <c r="M205" s="194">
        <f t="shared" ca="1" si="91"/>
        <v>0</v>
      </c>
      <c r="N205" s="220">
        <f t="shared" ca="1" si="91"/>
        <v>0</v>
      </c>
    </row>
    <row r="206" spans="1:14" x14ac:dyDescent="0.25">
      <c r="A206" s="192">
        <f t="shared" si="72"/>
        <v>2032</v>
      </c>
      <c r="B206" s="194">
        <f t="shared" ref="B206:N206" ca="1" si="92">IF($C85="","",IF($C85&lt;0,0,IF(AND($C85=1,start_time&lt;1),-(SUM(B159)*output_kgyear*$E85*percnt_var*start_time+SUM(B159)*output_kgyear*$E85*(1-start_time)),IF($C85&lt;=start_time,-SUM(B159)*output_kgyear*$E85*percnt_var,-SUM(B159)*output_kgyear*$E85))))</f>
        <v>-79574237.389072791</v>
      </c>
      <c r="C206" s="194">
        <f t="shared" ca="1" si="92"/>
        <v>-273210257.19562781</v>
      </c>
      <c r="D206" s="194">
        <f t="shared" ca="1" si="92"/>
        <v>0</v>
      </c>
      <c r="E206" s="219">
        <f t="shared" ca="1" si="92"/>
        <v>0</v>
      </c>
      <c r="F206" s="193">
        <f t="shared" ca="1" si="92"/>
        <v>0</v>
      </c>
      <c r="G206" s="194">
        <f t="shared" ca="1" si="92"/>
        <v>0</v>
      </c>
      <c r="H206" s="194">
        <f t="shared" ca="1" si="92"/>
        <v>0</v>
      </c>
      <c r="I206" s="219">
        <f t="shared" ca="1" si="92"/>
        <v>0</v>
      </c>
      <c r="J206" s="491">
        <f t="shared" ca="1" si="92"/>
        <v>0</v>
      </c>
      <c r="K206" s="217">
        <f t="shared" ca="1" si="92"/>
        <v>0</v>
      </c>
      <c r="L206" s="217">
        <f t="shared" ca="1" si="92"/>
        <v>0</v>
      </c>
      <c r="M206" s="194">
        <f t="shared" ca="1" si="92"/>
        <v>0</v>
      </c>
      <c r="N206" s="220">
        <f t="shared" ca="1" si="92"/>
        <v>0</v>
      </c>
    </row>
    <row r="207" spans="1:14" x14ac:dyDescent="0.25">
      <c r="A207" s="192">
        <f t="shared" si="72"/>
        <v>2033</v>
      </c>
      <c r="B207" s="194">
        <f t="shared" ref="B207:N207" ca="1" si="93">IF($C86="","",IF($C86&lt;0,0,IF(AND($C86=1,start_time&lt;1),-(SUM(B160)*output_kgyear*$E86*percnt_var*start_time+SUM(B160)*output_kgyear*$E86*(1-start_time)),IF($C86&lt;=start_time,-SUM(B160)*output_kgyear*$E86*percnt_var,-SUM(B160)*output_kgyear*$E86))))</f>
        <v>-80796314.082883149</v>
      </c>
      <c r="C207" s="194">
        <f t="shared" ca="1" si="93"/>
        <v>-275636416.68803793</v>
      </c>
      <c r="D207" s="194">
        <f t="shared" ca="1" si="93"/>
        <v>0</v>
      </c>
      <c r="E207" s="219">
        <f t="shared" ca="1" si="93"/>
        <v>0</v>
      </c>
      <c r="F207" s="193">
        <f t="shared" ca="1" si="93"/>
        <v>0</v>
      </c>
      <c r="G207" s="194">
        <f t="shared" ca="1" si="93"/>
        <v>0</v>
      </c>
      <c r="H207" s="194">
        <f t="shared" ca="1" si="93"/>
        <v>0</v>
      </c>
      <c r="I207" s="219">
        <f t="shared" ca="1" si="93"/>
        <v>0</v>
      </c>
      <c r="J207" s="491">
        <f t="shared" ca="1" si="93"/>
        <v>0</v>
      </c>
      <c r="K207" s="217">
        <f t="shared" ca="1" si="93"/>
        <v>0</v>
      </c>
      <c r="L207" s="217">
        <f t="shared" ca="1" si="93"/>
        <v>0</v>
      </c>
      <c r="M207" s="194">
        <f t="shared" ca="1" si="93"/>
        <v>0</v>
      </c>
      <c r="N207" s="220">
        <f t="shared" ca="1" si="93"/>
        <v>0</v>
      </c>
    </row>
    <row r="208" spans="1:14" x14ac:dyDescent="0.25">
      <c r="A208" s="192">
        <f t="shared" si="72"/>
        <v>2034</v>
      </c>
      <c r="B208" s="194">
        <f t="shared" ref="B208:N208" ca="1" si="94">IF($C87="","",IF($C87&lt;0,0,IF(AND($C87=1,start_time&lt;1),-(SUM(B161)*output_kgyear*$E87*percnt_var*start_time+SUM(B161)*output_kgyear*$E87*(1-start_time)),IF($C87&lt;=start_time,-SUM(B161)*output_kgyear*$E87*percnt_var,-SUM(B161)*output_kgyear*$E87))))</f>
        <v>-82092164.56604965</v>
      </c>
      <c r="C208" s="194">
        <f t="shared" ca="1" si="94"/>
        <v>-280801889.56728917</v>
      </c>
      <c r="D208" s="194">
        <f t="shared" ca="1" si="94"/>
        <v>0</v>
      </c>
      <c r="E208" s="219">
        <f t="shared" ca="1" si="94"/>
        <v>0</v>
      </c>
      <c r="F208" s="193">
        <f t="shared" ca="1" si="94"/>
        <v>0</v>
      </c>
      <c r="G208" s="194">
        <f t="shared" ca="1" si="94"/>
        <v>0</v>
      </c>
      <c r="H208" s="194">
        <f t="shared" ca="1" si="94"/>
        <v>0</v>
      </c>
      <c r="I208" s="219">
        <f t="shared" ca="1" si="94"/>
        <v>0</v>
      </c>
      <c r="J208" s="491">
        <f t="shared" ca="1" si="94"/>
        <v>0</v>
      </c>
      <c r="K208" s="217">
        <f t="shared" ca="1" si="94"/>
        <v>0</v>
      </c>
      <c r="L208" s="217">
        <f t="shared" ca="1" si="94"/>
        <v>0</v>
      </c>
      <c r="M208" s="194">
        <f t="shared" ca="1" si="94"/>
        <v>0</v>
      </c>
      <c r="N208" s="220">
        <f t="shared" ca="1" si="94"/>
        <v>0</v>
      </c>
    </row>
    <row r="209" spans="1:14" x14ac:dyDescent="0.25">
      <c r="A209" s="192">
        <f t="shared" si="72"/>
        <v>2035</v>
      </c>
      <c r="B209" s="194">
        <f t="shared" ref="B209:N209" ca="1" si="95">IF($C88="","",IF($C88&lt;0,0,IF(AND($C88=1,start_time&lt;1),-(SUM(B162)*output_kgyear*$E88*percnt_var*start_time+SUM(B162)*output_kgyear*$E88*(1-start_time)),IF($C88&lt;=start_time,-SUM(B162)*output_kgyear*$E88*percnt_var,-SUM(B162)*output_kgyear*$E88))))</f>
        <v>-83947710.482971892</v>
      </c>
      <c r="C209" s="194">
        <f t="shared" ca="1" si="95"/>
        <v>-290582880.83957648</v>
      </c>
      <c r="D209" s="194">
        <f t="shared" ca="1" si="95"/>
        <v>0</v>
      </c>
      <c r="E209" s="219">
        <f t="shared" ca="1" si="95"/>
        <v>0</v>
      </c>
      <c r="F209" s="193">
        <f t="shared" ca="1" si="95"/>
        <v>0</v>
      </c>
      <c r="G209" s="194">
        <f t="shared" ca="1" si="95"/>
        <v>0</v>
      </c>
      <c r="H209" s="194">
        <f t="shared" ca="1" si="95"/>
        <v>0</v>
      </c>
      <c r="I209" s="219">
        <f t="shared" ca="1" si="95"/>
        <v>0</v>
      </c>
      <c r="J209" s="491">
        <f t="shared" ca="1" si="95"/>
        <v>0</v>
      </c>
      <c r="K209" s="217">
        <f t="shared" ca="1" si="95"/>
        <v>0</v>
      </c>
      <c r="L209" s="217">
        <f t="shared" ca="1" si="95"/>
        <v>0</v>
      </c>
      <c r="M209" s="194">
        <f t="shared" ca="1" si="95"/>
        <v>0</v>
      </c>
      <c r="N209" s="220">
        <f t="shared" ca="1" si="95"/>
        <v>0</v>
      </c>
    </row>
    <row r="210" spans="1:14" x14ac:dyDescent="0.25">
      <c r="A210" s="192">
        <f t="shared" si="72"/>
        <v>2036</v>
      </c>
      <c r="B210" s="194">
        <f t="shared" ref="B210:N210" ca="1" si="96">IF($C89="","",IF($C89&lt;0,0,IF(AND($C89=1,start_time&lt;1),-(SUM(B163)*output_kgyear*$E89*percnt_var*start_time+SUM(B163)*output_kgyear*$E89*(1-start_time)),IF($C89&lt;=start_time,-SUM(B163)*output_kgyear*$E89*percnt_var,-SUM(B163)*output_kgyear*$E89))))</f>
        <v>-85853742.159514174</v>
      </c>
      <c r="C210" s="194">
        <f t="shared" ca="1" si="96"/>
        <v>-296300655.49228865</v>
      </c>
      <c r="D210" s="194">
        <f t="shared" ca="1" si="96"/>
        <v>0</v>
      </c>
      <c r="E210" s="219">
        <f t="shared" ca="1" si="96"/>
        <v>0</v>
      </c>
      <c r="F210" s="193">
        <f t="shared" ca="1" si="96"/>
        <v>0</v>
      </c>
      <c r="G210" s="194">
        <f t="shared" ca="1" si="96"/>
        <v>0</v>
      </c>
      <c r="H210" s="194">
        <f t="shared" ca="1" si="96"/>
        <v>0</v>
      </c>
      <c r="I210" s="219">
        <f t="shared" ca="1" si="96"/>
        <v>0</v>
      </c>
      <c r="J210" s="491">
        <f t="shared" ca="1" si="96"/>
        <v>0</v>
      </c>
      <c r="K210" s="217">
        <f t="shared" ca="1" si="96"/>
        <v>0</v>
      </c>
      <c r="L210" s="217">
        <f t="shared" ca="1" si="96"/>
        <v>0</v>
      </c>
      <c r="M210" s="194">
        <f t="shared" ca="1" si="96"/>
        <v>0</v>
      </c>
      <c r="N210" s="220">
        <f t="shared" ca="1" si="96"/>
        <v>0</v>
      </c>
    </row>
    <row r="211" spans="1:14" x14ac:dyDescent="0.25">
      <c r="A211" s="192">
        <f t="shared" si="72"/>
        <v>2037</v>
      </c>
      <c r="B211" s="194">
        <f t="shared" ref="B211:N211" ca="1" si="97">IF($C90="","",IF($C90&lt;0,0,IF(AND($C90=1,start_time&lt;1),-(SUM(B164)*output_kgyear*$E90*percnt_var*start_time+SUM(B164)*output_kgyear*$E90*(1-start_time)),IF($C90&lt;=start_time,-SUM(B164)*output_kgyear*$E90*percnt_var,-SUM(B164)*output_kgyear*$E90))))</f>
        <v>-87418816.203217119</v>
      </c>
      <c r="C211" s="194">
        <f t="shared" ca="1" si="97"/>
        <v>-302483105.67095113</v>
      </c>
      <c r="D211" s="194">
        <f t="shared" ca="1" si="97"/>
        <v>0</v>
      </c>
      <c r="E211" s="219">
        <f t="shared" ca="1" si="97"/>
        <v>0</v>
      </c>
      <c r="F211" s="193">
        <f t="shared" ca="1" si="97"/>
        <v>0</v>
      </c>
      <c r="G211" s="194">
        <f t="shared" ca="1" si="97"/>
        <v>0</v>
      </c>
      <c r="H211" s="194">
        <f t="shared" ca="1" si="97"/>
        <v>0</v>
      </c>
      <c r="I211" s="219">
        <f t="shared" ca="1" si="97"/>
        <v>0</v>
      </c>
      <c r="J211" s="491">
        <f t="shared" ca="1" si="97"/>
        <v>0</v>
      </c>
      <c r="K211" s="217">
        <f t="shared" ca="1" si="97"/>
        <v>0</v>
      </c>
      <c r="L211" s="217">
        <f t="shared" ca="1" si="97"/>
        <v>0</v>
      </c>
      <c r="M211" s="194">
        <f t="shared" ca="1" si="97"/>
        <v>0</v>
      </c>
      <c r="N211" s="220">
        <f t="shared" ca="1" si="97"/>
        <v>0</v>
      </c>
    </row>
    <row r="212" spans="1:14" x14ac:dyDescent="0.25">
      <c r="A212" s="192">
        <f t="shared" si="72"/>
        <v>2038</v>
      </c>
      <c r="B212" s="194">
        <f t="shared" ref="B212:N212" ca="1" si="98">IF($C91="","",IF($C91&lt;0,0,IF(AND($C91=1,start_time&lt;1),-(SUM(B165)*output_kgyear*$E91*percnt_var*start_time+SUM(B165)*output_kgyear*$E91*(1-start_time)),IF($C91&lt;=start_time,-SUM(B165)*output_kgyear*$E91*percnt_var,-SUM(B165)*output_kgyear*$E91))))</f>
        <v>-89099559.485581592</v>
      </c>
      <c r="C212" s="194">
        <f t="shared" ca="1" si="98"/>
        <v>-307929941.87094909</v>
      </c>
      <c r="D212" s="194">
        <f t="shared" ca="1" si="98"/>
        <v>0</v>
      </c>
      <c r="E212" s="219">
        <f t="shared" ca="1" si="98"/>
        <v>0</v>
      </c>
      <c r="F212" s="193">
        <f t="shared" ca="1" si="98"/>
        <v>0</v>
      </c>
      <c r="G212" s="194">
        <f t="shared" ca="1" si="98"/>
        <v>0</v>
      </c>
      <c r="H212" s="194">
        <f t="shared" ca="1" si="98"/>
        <v>0</v>
      </c>
      <c r="I212" s="219">
        <f t="shared" ca="1" si="98"/>
        <v>0</v>
      </c>
      <c r="J212" s="491">
        <f t="shared" ca="1" si="98"/>
        <v>0</v>
      </c>
      <c r="K212" s="217">
        <f t="shared" ca="1" si="98"/>
        <v>0</v>
      </c>
      <c r="L212" s="217">
        <f t="shared" ca="1" si="98"/>
        <v>0</v>
      </c>
      <c r="M212" s="194">
        <f t="shared" ca="1" si="98"/>
        <v>0</v>
      </c>
      <c r="N212" s="220">
        <f t="shared" ca="1" si="98"/>
        <v>0</v>
      </c>
    </row>
    <row r="213" spans="1:14" x14ac:dyDescent="0.25">
      <c r="A213" s="192">
        <f t="shared" si="72"/>
        <v>2039</v>
      </c>
      <c r="B213" s="194">
        <f t="shared" ref="B213:N213" ca="1" si="99">IF($C92="","",IF($C92&lt;0,0,IF(AND($C92=1,start_time&lt;1),-(SUM(B166)*output_kgyear*$E92*percnt_var*start_time+SUM(B166)*output_kgyear*$E92*(1-start_time)),IF($C92&lt;=start_time,-SUM(B166)*output_kgyear*$E92*percnt_var,-SUM(B166)*output_kgyear*$E92))))</f>
        <v>-90862718.122919366</v>
      </c>
      <c r="C213" s="194">
        <f t="shared" ca="1" si="99"/>
        <v>-314972026.46353954</v>
      </c>
      <c r="D213" s="194">
        <f t="shared" ca="1" si="99"/>
        <v>0</v>
      </c>
      <c r="E213" s="219">
        <f t="shared" ca="1" si="99"/>
        <v>0</v>
      </c>
      <c r="F213" s="193">
        <f t="shared" ca="1" si="99"/>
        <v>0</v>
      </c>
      <c r="G213" s="194">
        <f t="shared" ca="1" si="99"/>
        <v>0</v>
      </c>
      <c r="H213" s="194">
        <f t="shared" ca="1" si="99"/>
        <v>0</v>
      </c>
      <c r="I213" s="219">
        <f t="shared" ca="1" si="99"/>
        <v>0</v>
      </c>
      <c r="J213" s="491">
        <f t="shared" ca="1" si="99"/>
        <v>0</v>
      </c>
      <c r="K213" s="217">
        <f t="shared" ca="1" si="99"/>
        <v>0</v>
      </c>
      <c r="L213" s="217">
        <f t="shared" ca="1" si="99"/>
        <v>0</v>
      </c>
      <c r="M213" s="194">
        <f t="shared" ca="1" si="99"/>
        <v>0</v>
      </c>
      <c r="N213" s="220">
        <f t="shared" ca="1" si="99"/>
        <v>0</v>
      </c>
    </row>
    <row r="214" spans="1:14" x14ac:dyDescent="0.25">
      <c r="A214" s="192">
        <f t="shared" si="72"/>
        <v>2040</v>
      </c>
      <c r="B214" s="194">
        <f t="shared" ref="B214:N214" ca="1" si="100">IF($C93="","",IF($C93&lt;0,0,IF(AND($C93=1,start_time&lt;1),-(SUM(B167)*output_kgyear*$E93*percnt_var*start_time+SUM(B167)*output_kgyear*$E93*(1-start_time)),IF($C93&lt;=start_time,-SUM(B167)*output_kgyear*$E93*percnt_var,-SUM(B167)*output_kgyear*$E93))))</f>
        <v>-92372012.649882853</v>
      </c>
      <c r="C214" s="194">
        <f t="shared" ca="1" si="100"/>
        <v>-318525221.18765056</v>
      </c>
      <c r="D214" s="194">
        <f t="shared" ca="1" si="100"/>
        <v>0</v>
      </c>
      <c r="E214" s="219">
        <f t="shared" ca="1" si="100"/>
        <v>0</v>
      </c>
      <c r="F214" s="193">
        <f t="shared" ca="1" si="100"/>
        <v>0</v>
      </c>
      <c r="G214" s="194">
        <f t="shared" ca="1" si="100"/>
        <v>0</v>
      </c>
      <c r="H214" s="194">
        <f t="shared" ca="1" si="100"/>
        <v>0</v>
      </c>
      <c r="I214" s="219">
        <f t="shared" ca="1" si="100"/>
        <v>0</v>
      </c>
      <c r="J214" s="491">
        <f t="shared" ca="1" si="100"/>
        <v>0</v>
      </c>
      <c r="K214" s="217">
        <f t="shared" ca="1" si="100"/>
        <v>0</v>
      </c>
      <c r="L214" s="217">
        <f t="shared" ca="1" si="100"/>
        <v>0</v>
      </c>
      <c r="M214" s="194">
        <f t="shared" ca="1" si="100"/>
        <v>0</v>
      </c>
      <c r="N214" s="220">
        <f t="shared" ca="1" si="100"/>
        <v>0</v>
      </c>
    </row>
    <row r="215" spans="1:14" x14ac:dyDescent="0.25">
      <c r="A215" s="192">
        <f t="shared" si="72"/>
        <v>2041</v>
      </c>
      <c r="B215" s="194">
        <f t="shared" ref="B215:N215" ca="1" si="101">IF($C94="","",IF($C94&lt;0,0,IF(AND($C94=1,start_time&lt;1),-(SUM(B168)*output_kgyear*$E94*percnt_var*start_time+SUM(B168)*output_kgyear*$E94*(1-start_time)),IF($C94&lt;=start_time,-SUM(B168)*output_kgyear*$E94*percnt_var,-SUM(B168)*output_kgyear*$E94))))</f>
        <v>-93850259.567060679</v>
      </c>
      <c r="C215" s="194">
        <f t="shared" ca="1" si="101"/>
        <v>-324839717.54032129</v>
      </c>
      <c r="D215" s="194">
        <f t="shared" ca="1" si="101"/>
        <v>0</v>
      </c>
      <c r="E215" s="219">
        <f t="shared" ca="1" si="101"/>
        <v>0</v>
      </c>
      <c r="F215" s="193">
        <f t="shared" ca="1" si="101"/>
        <v>0</v>
      </c>
      <c r="G215" s="194">
        <f t="shared" ca="1" si="101"/>
        <v>0</v>
      </c>
      <c r="H215" s="194">
        <f t="shared" ca="1" si="101"/>
        <v>0</v>
      </c>
      <c r="I215" s="219">
        <f t="shared" ca="1" si="101"/>
        <v>0</v>
      </c>
      <c r="J215" s="491">
        <f t="shared" ca="1" si="101"/>
        <v>0</v>
      </c>
      <c r="K215" s="217">
        <f t="shared" ca="1" si="101"/>
        <v>0</v>
      </c>
      <c r="L215" s="217">
        <f t="shared" ca="1" si="101"/>
        <v>0</v>
      </c>
      <c r="M215" s="194">
        <f t="shared" ca="1" si="101"/>
        <v>0</v>
      </c>
      <c r="N215" s="220">
        <f t="shared" ca="1" si="101"/>
        <v>0</v>
      </c>
    </row>
    <row r="216" spans="1:14" x14ac:dyDescent="0.25">
      <c r="A216" s="192">
        <f t="shared" si="72"/>
        <v>2042</v>
      </c>
      <c r="B216" s="194">
        <f t="shared" ref="B216:N216" ca="1" si="102">IF($C95="","",IF($C95&lt;0,0,IF(AND($C95=1,start_time&lt;1),-(SUM(B169)*output_kgyear*$E95*percnt_var*start_time+SUM(B169)*output_kgyear*$E95*(1-start_time)),IF($C95&lt;=start_time,-SUM(B169)*output_kgyear*$E95*percnt_var,-SUM(B169)*output_kgyear*$E95))))</f>
        <v>-95744334.585759804</v>
      </c>
      <c r="C216" s="194">
        <f t="shared" ca="1" si="102"/>
        <v>-334198812.44685972</v>
      </c>
      <c r="D216" s="194">
        <f t="shared" ca="1" si="102"/>
        <v>0</v>
      </c>
      <c r="E216" s="219">
        <f t="shared" ca="1" si="102"/>
        <v>0</v>
      </c>
      <c r="F216" s="193">
        <f t="shared" ca="1" si="102"/>
        <v>0</v>
      </c>
      <c r="G216" s="194">
        <f t="shared" ca="1" si="102"/>
        <v>0</v>
      </c>
      <c r="H216" s="194">
        <f t="shared" ca="1" si="102"/>
        <v>0</v>
      </c>
      <c r="I216" s="219">
        <f t="shared" ca="1" si="102"/>
        <v>0</v>
      </c>
      <c r="J216" s="491">
        <f t="shared" ca="1" si="102"/>
        <v>0</v>
      </c>
      <c r="K216" s="217">
        <f t="shared" ca="1" si="102"/>
        <v>0</v>
      </c>
      <c r="L216" s="217">
        <f t="shared" ca="1" si="102"/>
        <v>0</v>
      </c>
      <c r="M216" s="194">
        <f t="shared" ca="1" si="102"/>
        <v>0</v>
      </c>
      <c r="N216" s="220">
        <f t="shared" ca="1" si="102"/>
        <v>0</v>
      </c>
    </row>
    <row r="217" spans="1:14" x14ac:dyDescent="0.25">
      <c r="A217" s="192">
        <f t="shared" si="72"/>
        <v>2043</v>
      </c>
      <c r="B217" s="194">
        <f t="shared" ref="B217:N217" ca="1" si="103">IF($C96="","",IF($C96&lt;0,0,IF(AND($C96=1,start_time&lt;1),-(SUM(B170)*output_kgyear*$E96*percnt_var*start_time+SUM(B170)*output_kgyear*$E96*(1-start_time)),IF($C96&lt;=start_time,-SUM(B170)*output_kgyear*$E96*percnt_var,-SUM(B170)*output_kgyear*$E96))))</f>
        <v>-97861219.210498124</v>
      </c>
      <c r="C217" s="194">
        <f t="shared" ca="1" si="103"/>
        <v>-345519605.24031949</v>
      </c>
      <c r="D217" s="194">
        <f t="shared" ca="1" si="103"/>
        <v>0</v>
      </c>
      <c r="E217" s="219">
        <f t="shared" ca="1" si="103"/>
        <v>0</v>
      </c>
      <c r="F217" s="193">
        <f t="shared" ca="1" si="103"/>
        <v>0</v>
      </c>
      <c r="G217" s="194">
        <f t="shared" ca="1" si="103"/>
        <v>0</v>
      </c>
      <c r="H217" s="194">
        <f t="shared" ca="1" si="103"/>
        <v>0</v>
      </c>
      <c r="I217" s="219">
        <f t="shared" ca="1" si="103"/>
        <v>0</v>
      </c>
      <c r="J217" s="491">
        <f t="shared" ca="1" si="103"/>
        <v>0</v>
      </c>
      <c r="K217" s="217">
        <f t="shared" ca="1" si="103"/>
        <v>0</v>
      </c>
      <c r="L217" s="217">
        <f t="shared" ca="1" si="103"/>
        <v>0</v>
      </c>
      <c r="M217" s="194">
        <f t="shared" ca="1" si="103"/>
        <v>0</v>
      </c>
      <c r="N217" s="220">
        <f t="shared" ca="1" si="103"/>
        <v>0</v>
      </c>
    </row>
    <row r="218" spans="1:14" x14ac:dyDescent="0.25">
      <c r="A218" s="192">
        <f t="shared" si="72"/>
        <v>2044</v>
      </c>
      <c r="B218" s="194">
        <f t="shared" ref="B218:N218" ca="1" si="104">IF($C97="","",IF($C97&lt;0,0,IF(AND($C97=1,start_time&lt;1),-(SUM(B171)*output_kgyear*$E97*percnt_var*start_time+SUM(B171)*output_kgyear*$E97*(1-start_time)),IF($C97&lt;=start_time,-SUM(B171)*output_kgyear*$E97*percnt_var,-SUM(B171)*output_kgyear*$E97))))</f>
        <v>-100096317.08216703</v>
      </c>
      <c r="C218" s="194">
        <f t="shared" ca="1" si="104"/>
        <v>-355556301.34996629</v>
      </c>
      <c r="D218" s="194">
        <f t="shared" ca="1" si="104"/>
        <v>0</v>
      </c>
      <c r="E218" s="219">
        <f t="shared" ca="1" si="104"/>
        <v>0</v>
      </c>
      <c r="F218" s="193">
        <f t="shared" ca="1" si="104"/>
        <v>0</v>
      </c>
      <c r="G218" s="194">
        <f t="shared" ca="1" si="104"/>
        <v>0</v>
      </c>
      <c r="H218" s="194">
        <f t="shared" ca="1" si="104"/>
        <v>0</v>
      </c>
      <c r="I218" s="219">
        <f t="shared" ca="1" si="104"/>
        <v>0</v>
      </c>
      <c r="J218" s="491">
        <f t="shared" ca="1" si="104"/>
        <v>0</v>
      </c>
      <c r="K218" s="217">
        <f t="shared" ca="1" si="104"/>
        <v>0</v>
      </c>
      <c r="L218" s="217">
        <f t="shared" ca="1" si="104"/>
        <v>0</v>
      </c>
      <c r="M218" s="194">
        <f t="shared" ca="1" si="104"/>
        <v>0</v>
      </c>
      <c r="N218" s="220">
        <f t="shared" ca="1" si="104"/>
        <v>0</v>
      </c>
    </row>
    <row r="219" spans="1:14" x14ac:dyDescent="0.25">
      <c r="A219" s="192">
        <f t="shared" si="72"/>
        <v>2045</v>
      </c>
      <c r="B219" s="194">
        <f t="shared" ref="B219:N219" ca="1" si="105">IF($C98="","",IF($C98&lt;0,0,IF(AND($C98=1,start_time&lt;1),-(SUM(B172)*output_kgyear*$E98*percnt_var*start_time+SUM(B172)*output_kgyear*$E98*(1-start_time)),IF($C98&lt;=start_time,-SUM(B172)*output_kgyear*$E98*percnt_var,-SUM(B172)*output_kgyear*$E98))))</f>
        <v>-102370743.27351765</v>
      </c>
      <c r="C219" s="194">
        <f t="shared" ca="1" si="105"/>
        <v>-366964194.21567261</v>
      </c>
      <c r="D219" s="194">
        <f t="shared" ca="1" si="105"/>
        <v>0</v>
      </c>
      <c r="E219" s="219">
        <f t="shared" ca="1" si="105"/>
        <v>0</v>
      </c>
      <c r="F219" s="193">
        <f t="shared" ca="1" si="105"/>
        <v>0</v>
      </c>
      <c r="G219" s="194">
        <f t="shared" ca="1" si="105"/>
        <v>0</v>
      </c>
      <c r="H219" s="194">
        <f t="shared" ca="1" si="105"/>
        <v>0</v>
      </c>
      <c r="I219" s="219">
        <f t="shared" ca="1" si="105"/>
        <v>0</v>
      </c>
      <c r="J219" s="491">
        <f t="shared" ca="1" si="105"/>
        <v>0</v>
      </c>
      <c r="K219" s="217">
        <f t="shared" ca="1" si="105"/>
        <v>0</v>
      </c>
      <c r="L219" s="217">
        <f t="shared" ca="1" si="105"/>
        <v>0</v>
      </c>
      <c r="M219" s="194">
        <f t="shared" ca="1" si="105"/>
        <v>0</v>
      </c>
      <c r="N219" s="220">
        <f t="shared" ca="1" si="105"/>
        <v>0</v>
      </c>
    </row>
    <row r="220" spans="1:14" x14ac:dyDescent="0.25">
      <c r="A220" s="192">
        <f t="shared" si="72"/>
        <v>2046</v>
      </c>
      <c r="B220" s="194">
        <f t="shared" ref="B220:N220" ca="1" si="106">IF($C99="","",IF($C99&lt;0,0,IF(AND($C99=1,start_time&lt;1),-(SUM(B173)*output_kgyear*$E99*percnt_var*start_time+SUM(B173)*output_kgyear*$E99*(1-start_time)),IF($C99&lt;=start_time,-SUM(B173)*output_kgyear*$E99*percnt_var,-SUM(B173)*output_kgyear*$E99))))</f>
        <v>-104701806.5790572</v>
      </c>
      <c r="C220" s="194">
        <f t="shared" ca="1" si="106"/>
        <v>-377560640.05834794</v>
      </c>
      <c r="D220" s="194">
        <f t="shared" ca="1" si="106"/>
        <v>0</v>
      </c>
      <c r="E220" s="219">
        <f t="shared" ca="1" si="106"/>
        <v>0</v>
      </c>
      <c r="F220" s="193">
        <f t="shared" ca="1" si="106"/>
        <v>0</v>
      </c>
      <c r="G220" s="194">
        <f t="shared" ca="1" si="106"/>
        <v>0</v>
      </c>
      <c r="H220" s="194">
        <f t="shared" ca="1" si="106"/>
        <v>0</v>
      </c>
      <c r="I220" s="219">
        <f t="shared" ca="1" si="106"/>
        <v>0</v>
      </c>
      <c r="J220" s="491">
        <f t="shared" ca="1" si="106"/>
        <v>0</v>
      </c>
      <c r="K220" s="217">
        <f t="shared" ca="1" si="106"/>
        <v>0</v>
      </c>
      <c r="L220" s="217">
        <f t="shared" ca="1" si="106"/>
        <v>0</v>
      </c>
      <c r="M220" s="194">
        <f t="shared" ca="1" si="106"/>
        <v>0</v>
      </c>
      <c r="N220" s="220">
        <f t="shared" ca="1" si="106"/>
        <v>0</v>
      </c>
    </row>
    <row r="221" spans="1:14" x14ac:dyDescent="0.25">
      <c r="A221" s="192">
        <f t="shared" si="72"/>
        <v>2047</v>
      </c>
      <c r="B221" s="194">
        <f t="shared" ref="B221:N221" ca="1" si="107">IF($C100="","",IF($C100&lt;0,0,IF(AND($C100=1,start_time&lt;1),-(SUM(B174)*output_kgyear*$E100*percnt_var*start_time+SUM(B174)*output_kgyear*$E100*(1-start_time)),IF($C100&lt;=start_time,-SUM(B174)*output_kgyear*$E100*percnt_var,-SUM(B174)*output_kgyear*$E100))))</f>
        <v>-107044124.35860081</v>
      </c>
      <c r="C221" s="194">
        <f t="shared" ca="1" si="107"/>
        <v>-388784958.82812488</v>
      </c>
      <c r="D221" s="194">
        <f t="shared" ca="1" si="107"/>
        <v>0</v>
      </c>
      <c r="E221" s="219">
        <f t="shared" ca="1" si="107"/>
        <v>0</v>
      </c>
      <c r="F221" s="193">
        <f t="shared" ca="1" si="107"/>
        <v>0</v>
      </c>
      <c r="G221" s="194">
        <f t="shared" ca="1" si="107"/>
        <v>0</v>
      </c>
      <c r="H221" s="194">
        <f t="shared" ca="1" si="107"/>
        <v>0</v>
      </c>
      <c r="I221" s="219">
        <f t="shared" ca="1" si="107"/>
        <v>0</v>
      </c>
      <c r="J221" s="491">
        <f t="shared" ca="1" si="107"/>
        <v>0</v>
      </c>
      <c r="K221" s="217">
        <f t="shared" ca="1" si="107"/>
        <v>0</v>
      </c>
      <c r="L221" s="217">
        <f t="shared" ca="1" si="107"/>
        <v>0</v>
      </c>
      <c r="M221" s="194">
        <f t="shared" ca="1" si="107"/>
        <v>0</v>
      </c>
      <c r="N221" s="220">
        <f t="shared" ca="1" si="107"/>
        <v>0</v>
      </c>
    </row>
    <row r="222" spans="1:14" x14ac:dyDescent="0.25">
      <c r="A222" s="192">
        <f t="shared" si="72"/>
        <v>2048</v>
      </c>
      <c r="B222" s="194">
        <f t="shared" ref="B222:N222" ca="1" si="108">IF($C101="","",IF($C101&lt;0,0,IF(AND($C101=1,start_time&lt;1),-(SUM(B175)*output_kgyear*$E101*percnt_var*start_time+SUM(B175)*output_kgyear*$E101*(1-start_time)),IF($C101&lt;=start_time,-SUM(B175)*output_kgyear*$E101*percnt_var,-SUM(B175)*output_kgyear*$E101))))</f>
        <v>-109482562.77853628</v>
      </c>
      <c r="C222" s="194">
        <f t="shared" ca="1" si="108"/>
        <v>-403433526.3080104</v>
      </c>
      <c r="D222" s="194">
        <f t="shared" ca="1" si="108"/>
        <v>0</v>
      </c>
      <c r="E222" s="219">
        <f t="shared" ca="1" si="108"/>
        <v>0</v>
      </c>
      <c r="F222" s="193">
        <f t="shared" ca="1" si="108"/>
        <v>0</v>
      </c>
      <c r="G222" s="194">
        <f t="shared" ca="1" si="108"/>
        <v>0</v>
      </c>
      <c r="H222" s="194">
        <f t="shared" ca="1" si="108"/>
        <v>0</v>
      </c>
      <c r="I222" s="219">
        <f t="shared" ca="1" si="108"/>
        <v>0</v>
      </c>
      <c r="J222" s="491">
        <f t="shared" ca="1" si="108"/>
        <v>0</v>
      </c>
      <c r="K222" s="217">
        <f t="shared" ca="1" si="108"/>
        <v>0</v>
      </c>
      <c r="L222" s="217">
        <f t="shared" ca="1" si="108"/>
        <v>0</v>
      </c>
      <c r="M222" s="194">
        <f t="shared" ca="1" si="108"/>
        <v>0</v>
      </c>
      <c r="N222" s="220">
        <f t="shared" ca="1" si="108"/>
        <v>0</v>
      </c>
    </row>
    <row r="223" spans="1:14" x14ac:dyDescent="0.25">
      <c r="A223" s="192">
        <f t="shared" si="72"/>
        <v>2049</v>
      </c>
      <c r="B223" s="194">
        <f t="shared" ref="B223:N223" ca="1" si="109">IF($C102="","",IF($C102&lt;0,0,IF(AND($C102=1,start_time&lt;1),-(SUM(B176)*output_kgyear*$E102*percnt_var*start_time+SUM(B176)*output_kgyear*$E102*(1-start_time)),IF($C102&lt;=start_time,-SUM(B176)*output_kgyear*$E102*percnt_var,-SUM(B176)*output_kgyear*$E102))))</f>
        <v>-111919935.63913187</v>
      </c>
      <c r="C223" s="194">
        <f t="shared" ca="1" si="109"/>
        <v>-413506394.40492427</v>
      </c>
      <c r="D223" s="194">
        <f t="shared" ca="1" si="109"/>
        <v>0</v>
      </c>
      <c r="E223" s="219">
        <f t="shared" ca="1" si="109"/>
        <v>0</v>
      </c>
      <c r="F223" s="193">
        <f t="shared" ca="1" si="109"/>
        <v>0</v>
      </c>
      <c r="G223" s="194">
        <f t="shared" ca="1" si="109"/>
        <v>0</v>
      </c>
      <c r="H223" s="194">
        <f t="shared" ca="1" si="109"/>
        <v>0</v>
      </c>
      <c r="I223" s="219">
        <f t="shared" ca="1" si="109"/>
        <v>0</v>
      </c>
      <c r="J223" s="491">
        <f t="shared" ca="1" si="109"/>
        <v>0</v>
      </c>
      <c r="K223" s="217">
        <f t="shared" ca="1" si="109"/>
        <v>0</v>
      </c>
      <c r="L223" s="217">
        <f t="shared" ca="1" si="109"/>
        <v>0</v>
      </c>
      <c r="M223" s="194">
        <f t="shared" ca="1" si="109"/>
        <v>0</v>
      </c>
      <c r="N223" s="220">
        <f t="shared" ca="1" si="109"/>
        <v>0</v>
      </c>
    </row>
    <row r="224" spans="1:14" x14ac:dyDescent="0.25">
      <c r="A224" s="192">
        <f t="shared" si="72"/>
        <v>2050</v>
      </c>
      <c r="B224" s="194">
        <f t="shared" ref="B224:N224" ca="1" si="110">IF($C103="","",IF($C103&lt;0,0,IF(AND($C103=1,start_time&lt;1),-(SUM(B177)*output_kgyear*$E103*percnt_var*start_time+SUM(B177)*output_kgyear*$E103*(1-start_time)),IF($C103&lt;=start_time,-SUM(B177)*output_kgyear*$E103*percnt_var,-SUM(B177)*output_kgyear*$E103))))</f>
        <v>-114399295.20016071</v>
      </c>
      <c r="C224" s="194">
        <f t="shared" ca="1" si="110"/>
        <v>-426698014.93495804</v>
      </c>
      <c r="D224" s="194">
        <f t="shared" ca="1" si="110"/>
        <v>0</v>
      </c>
      <c r="E224" s="219">
        <f t="shared" ca="1" si="110"/>
        <v>0</v>
      </c>
      <c r="F224" s="193">
        <f t="shared" ca="1" si="110"/>
        <v>0</v>
      </c>
      <c r="G224" s="194">
        <f t="shared" ca="1" si="110"/>
        <v>0</v>
      </c>
      <c r="H224" s="194">
        <f t="shared" ca="1" si="110"/>
        <v>0</v>
      </c>
      <c r="I224" s="219">
        <f t="shared" ca="1" si="110"/>
        <v>0</v>
      </c>
      <c r="J224" s="491">
        <f t="shared" ca="1" si="110"/>
        <v>0</v>
      </c>
      <c r="K224" s="217">
        <f t="shared" ca="1" si="110"/>
        <v>0</v>
      </c>
      <c r="L224" s="217">
        <f t="shared" ca="1" si="110"/>
        <v>0</v>
      </c>
      <c r="M224" s="194">
        <f t="shared" ca="1" si="110"/>
        <v>0</v>
      </c>
      <c r="N224" s="220">
        <f t="shared" ca="1" si="110"/>
        <v>0</v>
      </c>
    </row>
    <row r="225" spans="1:14" x14ac:dyDescent="0.25">
      <c r="A225" s="192">
        <f t="shared" si="72"/>
        <v>2051</v>
      </c>
      <c r="B225" s="194">
        <f t="shared" ref="B225:N225" ca="1" si="111">IF($C104="","",IF($C104&lt;0,0,IF(AND($C104=1,start_time&lt;1),-(SUM(B178)*output_kgyear*$E104*percnt_var*start_time+SUM(B178)*output_kgyear*$E104*(1-start_time)),IF($C104&lt;=start_time,-SUM(B178)*output_kgyear*$E104*percnt_var,-SUM(B178)*output_kgyear*$E104))))</f>
        <v>-116678608.21419132</v>
      </c>
      <c r="C225" s="194">
        <f t="shared" ca="1" si="111"/>
        <v>-437222508.1709342</v>
      </c>
      <c r="D225" s="194">
        <f t="shared" ca="1" si="111"/>
        <v>0</v>
      </c>
      <c r="E225" s="219">
        <f t="shared" ca="1" si="111"/>
        <v>0</v>
      </c>
      <c r="F225" s="193">
        <f t="shared" ca="1" si="111"/>
        <v>0</v>
      </c>
      <c r="G225" s="194">
        <f t="shared" ca="1" si="111"/>
        <v>0</v>
      </c>
      <c r="H225" s="194">
        <f t="shared" ca="1" si="111"/>
        <v>0</v>
      </c>
      <c r="I225" s="219">
        <f t="shared" ca="1" si="111"/>
        <v>0</v>
      </c>
      <c r="J225" s="491">
        <f t="shared" ca="1" si="111"/>
        <v>0</v>
      </c>
      <c r="K225" s="217">
        <f t="shared" ca="1" si="111"/>
        <v>0</v>
      </c>
      <c r="L225" s="217">
        <f t="shared" ca="1" si="111"/>
        <v>0</v>
      </c>
      <c r="M225" s="194">
        <f t="shared" ca="1" si="111"/>
        <v>0</v>
      </c>
      <c r="N225" s="220">
        <f t="shared" ca="1" si="111"/>
        <v>0</v>
      </c>
    </row>
    <row r="226" spans="1:14" x14ac:dyDescent="0.25">
      <c r="A226" s="192">
        <f t="shared" si="72"/>
        <v>2052</v>
      </c>
      <c r="B226" s="194">
        <f t="shared" ref="B226:N226" ca="1" si="112">IF($C105="","",IF($C105&lt;0,0,IF(AND($C105=1,start_time&lt;1),-(SUM(B179)*output_kgyear*$E105*percnt_var*start_time+SUM(B179)*output_kgyear*$E105*(1-start_time)),IF($C105&lt;=start_time,-SUM(B179)*output_kgyear*$E105*percnt_var,-SUM(B179)*output_kgyear*$E105))))</f>
        <v>-119003334.68821599</v>
      </c>
      <c r="C226" s="194">
        <f t="shared" ca="1" si="112"/>
        <v>-448006587.70447248</v>
      </c>
      <c r="D226" s="194">
        <f t="shared" ca="1" si="112"/>
        <v>0</v>
      </c>
      <c r="E226" s="219">
        <f t="shared" ca="1" si="112"/>
        <v>0</v>
      </c>
      <c r="F226" s="193">
        <f t="shared" ca="1" si="112"/>
        <v>0</v>
      </c>
      <c r="G226" s="194">
        <f t="shared" ca="1" si="112"/>
        <v>0</v>
      </c>
      <c r="H226" s="194">
        <f t="shared" ca="1" si="112"/>
        <v>0</v>
      </c>
      <c r="I226" s="219">
        <f t="shared" ca="1" si="112"/>
        <v>0</v>
      </c>
      <c r="J226" s="491">
        <f t="shared" ca="1" si="112"/>
        <v>0</v>
      </c>
      <c r="K226" s="217">
        <f t="shared" ca="1" si="112"/>
        <v>0</v>
      </c>
      <c r="L226" s="217">
        <f t="shared" ca="1" si="112"/>
        <v>0</v>
      </c>
      <c r="M226" s="194">
        <f t="shared" ca="1" si="112"/>
        <v>0</v>
      </c>
      <c r="N226" s="220">
        <f t="shared" ca="1" si="112"/>
        <v>0</v>
      </c>
    </row>
    <row r="227" spans="1:14" x14ac:dyDescent="0.25">
      <c r="A227" s="192">
        <f t="shared" si="72"/>
        <v>2053</v>
      </c>
      <c r="B227" s="194">
        <f t="shared" ref="B227:N227" ca="1" si="113">IF($C106="","",IF($C106&lt;0,0,IF(AND($C106=1,start_time&lt;1),-(SUM(B180)*output_kgyear*$E106*percnt_var*start_time+SUM(B180)*output_kgyear*$E106*(1-start_time)),IF($C106&lt;=start_time,-SUM(B180)*output_kgyear*$E106*percnt_var,-SUM(B180)*output_kgyear*$E106))))</f>
        <v>-121374379.44852942</v>
      </c>
      <c r="C227" s="194">
        <f t="shared" ca="1" si="113"/>
        <v>-459056656.22350997</v>
      </c>
      <c r="D227" s="194">
        <f t="shared" ca="1" si="113"/>
        <v>0</v>
      </c>
      <c r="E227" s="219">
        <f t="shared" ca="1" si="113"/>
        <v>0</v>
      </c>
      <c r="F227" s="193">
        <f t="shared" ca="1" si="113"/>
        <v>0</v>
      </c>
      <c r="G227" s="194">
        <f t="shared" ca="1" si="113"/>
        <v>0</v>
      </c>
      <c r="H227" s="194">
        <f t="shared" ca="1" si="113"/>
        <v>0</v>
      </c>
      <c r="I227" s="219">
        <f t="shared" ca="1" si="113"/>
        <v>0</v>
      </c>
      <c r="J227" s="491">
        <f t="shared" ca="1" si="113"/>
        <v>0</v>
      </c>
      <c r="K227" s="217">
        <f t="shared" ca="1" si="113"/>
        <v>0</v>
      </c>
      <c r="L227" s="217">
        <f t="shared" ca="1" si="113"/>
        <v>0</v>
      </c>
      <c r="M227" s="194">
        <f t="shared" ca="1" si="113"/>
        <v>0</v>
      </c>
      <c r="N227" s="220">
        <f t="shared" ca="1" si="113"/>
        <v>0</v>
      </c>
    </row>
    <row r="228" spans="1:14" x14ac:dyDescent="0.25">
      <c r="A228" s="192">
        <f t="shared" si="72"/>
        <v>2054</v>
      </c>
      <c r="B228" s="194">
        <f t="shared" ref="B228:N228" ca="1" si="114">IF($C107="","",IF($C107&lt;0,0,IF(AND($C107=1,start_time&lt;1),-(SUM(B181)*output_kgyear*$E107*percnt_var*start_time+SUM(B181)*output_kgyear*$E107*(1-start_time)),IF($C107&lt;=start_time,-SUM(B181)*output_kgyear*$E107*percnt_var,-SUM(B181)*output_kgyear*$E107))))</f>
        <v>-123792665.34935491</v>
      </c>
      <c r="C228" s="194">
        <f t="shared" ca="1" si="114"/>
        <v>-470379274.3380813</v>
      </c>
      <c r="D228" s="194">
        <f t="shared" ca="1" si="114"/>
        <v>0</v>
      </c>
      <c r="E228" s="219">
        <f t="shared" ca="1" si="114"/>
        <v>0</v>
      </c>
      <c r="F228" s="193">
        <f t="shared" ca="1" si="114"/>
        <v>0</v>
      </c>
      <c r="G228" s="194">
        <f t="shared" ca="1" si="114"/>
        <v>0</v>
      </c>
      <c r="H228" s="194">
        <f t="shared" ca="1" si="114"/>
        <v>0</v>
      </c>
      <c r="I228" s="219">
        <f t="shared" ca="1" si="114"/>
        <v>0</v>
      </c>
      <c r="J228" s="491">
        <f t="shared" ca="1" si="114"/>
        <v>0</v>
      </c>
      <c r="K228" s="217">
        <f t="shared" ca="1" si="114"/>
        <v>0</v>
      </c>
      <c r="L228" s="217">
        <f t="shared" ca="1" si="114"/>
        <v>0</v>
      </c>
      <c r="M228" s="194">
        <f t="shared" ca="1" si="114"/>
        <v>0</v>
      </c>
      <c r="N228" s="220">
        <f t="shared" ca="1" si="114"/>
        <v>0</v>
      </c>
    </row>
    <row r="229" spans="1:14" x14ac:dyDescent="0.25">
      <c r="A229" s="192" t="str">
        <f t="shared" si="72"/>
        <v/>
      </c>
      <c r="B229" s="194" t="str">
        <f t="shared" ref="B229:N229" si="115">IF($C108="","",IF($C108&lt;0,0,IF(AND($C108=1,start_time&lt;1),-(SUM(B182)*output_kgyear*$E108*percnt_var*start_time+SUM(B182)*output_kgyear*$E108*(1-start_time)),IF($C108&lt;=start_time,-SUM(B182)*output_kgyear*$E108*percnt_var,-SUM(B182)*output_kgyear*$E108))))</f>
        <v/>
      </c>
      <c r="C229" s="194" t="str">
        <f t="shared" si="115"/>
        <v/>
      </c>
      <c r="D229" s="194" t="str">
        <f t="shared" si="115"/>
        <v/>
      </c>
      <c r="E229" s="219" t="str">
        <f t="shared" si="115"/>
        <v/>
      </c>
      <c r="F229" s="193" t="str">
        <f t="shared" si="115"/>
        <v/>
      </c>
      <c r="G229" s="194" t="str">
        <f t="shared" si="115"/>
        <v/>
      </c>
      <c r="H229" s="194" t="str">
        <f t="shared" si="115"/>
        <v/>
      </c>
      <c r="I229" s="219" t="str">
        <f t="shared" si="115"/>
        <v/>
      </c>
      <c r="J229" s="491" t="str">
        <f t="shared" si="115"/>
        <v/>
      </c>
      <c r="K229" s="217" t="str">
        <f t="shared" si="115"/>
        <v/>
      </c>
      <c r="L229" s="217" t="str">
        <f t="shared" si="115"/>
        <v/>
      </c>
      <c r="M229" s="194" t="str">
        <f t="shared" si="115"/>
        <v/>
      </c>
      <c r="N229" s="220" t="str">
        <f t="shared" si="115"/>
        <v/>
      </c>
    </row>
    <row r="231" spans="1:14" x14ac:dyDescent="0.25">
      <c r="A231" s="194" t="s">
        <v>1161</v>
      </c>
      <c r="B231" s="194">
        <f ca="1">+B186+NPV($X$59,B187:B228)</f>
        <v>-528649913.84927094</v>
      </c>
      <c r="C231" s="194">
        <f t="shared" ref="C231:N231" ca="1" si="116">+C186+NPV($X$59,C187:C228)</f>
        <v>-1673848660.1272593</v>
      </c>
      <c r="D231" s="194">
        <f t="shared" ca="1" si="116"/>
        <v>0</v>
      </c>
      <c r="E231" s="194">
        <f t="shared" ca="1" si="116"/>
        <v>0</v>
      </c>
      <c r="F231" s="194">
        <f t="shared" ca="1" si="116"/>
        <v>0</v>
      </c>
      <c r="G231" s="194">
        <f t="shared" ca="1" si="116"/>
        <v>0</v>
      </c>
      <c r="H231" s="194">
        <f t="shared" ca="1" si="116"/>
        <v>0</v>
      </c>
      <c r="I231" s="194">
        <f t="shared" ca="1" si="116"/>
        <v>0</v>
      </c>
      <c r="J231" s="194">
        <f t="shared" ca="1" si="116"/>
        <v>0</v>
      </c>
      <c r="K231" s="194">
        <f t="shared" ca="1" si="116"/>
        <v>0</v>
      </c>
      <c r="L231" s="194">
        <f t="shared" ca="1" si="116"/>
        <v>0</v>
      </c>
      <c r="M231" s="194">
        <f t="shared" ca="1" si="116"/>
        <v>0</v>
      </c>
      <c r="N231" s="194">
        <f t="shared" ca="1" si="116"/>
        <v>0</v>
      </c>
    </row>
    <row r="232" spans="1:14" x14ac:dyDescent="0.25">
      <c r="A232" s="194" t="s">
        <v>1160</v>
      </c>
      <c r="B232" s="194">
        <f ca="1">-B231/$AE$116*(1+inflation_rate)^construct/INFLATION_FACTOR</f>
        <v>0.25715134357164798</v>
      </c>
      <c r="C232" s="194">
        <f t="shared" ref="C232:N232" ca="1" si="117">-C231/$AE$116*(1+inflation_rate)^construct/INFLATION_FACTOR</f>
        <v>0.81421072927679061</v>
      </c>
      <c r="D232" s="194">
        <f t="shared" ca="1" si="117"/>
        <v>0</v>
      </c>
      <c r="E232" s="194">
        <f t="shared" ca="1" si="117"/>
        <v>0</v>
      </c>
      <c r="F232" s="194">
        <f ca="1">-F231/$AE$116*(1+inflation_rate)^construct/INFLATION_FACTOR</f>
        <v>0</v>
      </c>
      <c r="G232" s="194">
        <f t="shared" ca="1" si="117"/>
        <v>0</v>
      </c>
      <c r="H232" s="194">
        <f t="shared" ca="1" si="117"/>
        <v>0</v>
      </c>
      <c r="I232" s="194">
        <f t="shared" ca="1" si="117"/>
        <v>0</v>
      </c>
      <c r="J232" s="194">
        <f t="shared" ca="1" si="117"/>
        <v>0</v>
      </c>
      <c r="K232" s="194">
        <f t="shared" ca="1" si="117"/>
        <v>0</v>
      </c>
      <c r="L232" s="194">
        <f t="shared" ca="1" si="117"/>
        <v>0</v>
      </c>
      <c r="M232" s="194">
        <f t="shared" ca="1" si="117"/>
        <v>0</v>
      </c>
      <c r="N232" s="194">
        <f t="shared" ca="1" si="117"/>
        <v>0</v>
      </c>
    </row>
    <row r="233" spans="1:14" x14ac:dyDescent="0.25">
      <c r="A233" s="194" t="s">
        <v>1162</v>
      </c>
      <c r="B233" s="194">
        <f ca="1">IF(B132&gt;0,B232/B133*(1+inflation_rate)^construct,"")</f>
        <v>7.7853020431673109E-2</v>
      </c>
      <c r="C233" s="194">
        <f t="shared" ref="C233:N233" ca="1" si="118">IF(C132&gt;0,C232/C133*(1+inflation_rate)^construct,"")</f>
        <v>5.4636424194057662</v>
      </c>
      <c r="D233" s="194" t="str">
        <f t="shared" si="118"/>
        <v/>
      </c>
      <c r="E233" s="194" t="str">
        <f t="shared" si="118"/>
        <v/>
      </c>
      <c r="F233" s="194" t="str">
        <f t="shared" si="118"/>
        <v/>
      </c>
      <c r="G233" s="194" t="str">
        <f t="shared" si="118"/>
        <v/>
      </c>
      <c r="H233" s="194" t="str">
        <f t="shared" si="118"/>
        <v/>
      </c>
      <c r="I233" s="194" t="str">
        <f t="shared" si="118"/>
        <v/>
      </c>
      <c r="J233" s="194" t="str">
        <f t="shared" si="118"/>
        <v/>
      </c>
      <c r="K233" s="194" t="str">
        <f t="shared" si="118"/>
        <v/>
      </c>
      <c r="L233" s="194" t="str">
        <f t="shared" si="118"/>
        <v/>
      </c>
      <c r="M233" s="194" t="str">
        <f t="shared" si="118"/>
        <v/>
      </c>
      <c r="N233" s="194" t="str">
        <f t="shared" si="118"/>
        <v/>
      </c>
    </row>
    <row r="279" spans="1:5" x14ac:dyDescent="0.25">
      <c r="A279" s="47" t="s">
        <v>190</v>
      </c>
    </row>
    <row r="280" spans="1:5" x14ac:dyDescent="0.25">
      <c r="A280" s="47" t="s">
        <v>1025</v>
      </c>
      <c r="B280" s="47" t="s">
        <v>622</v>
      </c>
      <c r="C280" s="47" t="s">
        <v>191</v>
      </c>
      <c r="D280" s="47" t="s">
        <v>192</v>
      </c>
      <c r="E280" s="47" t="s">
        <v>193</v>
      </c>
    </row>
    <row r="281" spans="1:5" x14ac:dyDescent="0.25">
      <c r="A281" s="47" t="str">
        <f>'HyARC Physical Property Data'!A76</f>
        <v>Commercial Electricity</v>
      </c>
      <c r="B281" s="47">
        <f ca="1">VLOOKUP(A281,MASTER_PROPERTY_TABLE,9,FALSE)</f>
        <v>3.5999999999999995E-3</v>
      </c>
      <c r="C281" s="47">
        <f ca="1">MATCH(startup_year,Feedstock_Year,0)</f>
        <v>19</v>
      </c>
      <c r="D281" s="47">
        <f ca="1">VLOOKUP(A281,FEEDPRICETABLE,C281,FALSE)</f>
        <v>29.932211922183079</v>
      </c>
      <c r="E281" s="47">
        <f ca="1">B281*D281</f>
        <v>0.10775596291985907</v>
      </c>
    </row>
    <row r="282" spans="1:5" x14ac:dyDescent="0.25">
      <c r="A282" s="47" t="str">
        <f>'HyARC Physical Property Data'!A77</f>
        <v>Industrial Electricity</v>
      </c>
      <c r="B282" s="47">
        <f ca="1">VLOOKUP(A282,MASTER_PROPERTY_TABLE,9,FALSE)</f>
        <v>3.5999999999999995E-3</v>
      </c>
      <c r="C282" s="47">
        <f ca="1">MATCH(startup_year,Feedstock_Year,0)+2</f>
        <v>21</v>
      </c>
      <c r="D282" s="47">
        <f ca="1">VLOOKUP(A282,FEEDPRICETABLE,C282,FALSE)</f>
        <v>19.537493744407882</v>
      </c>
      <c r="E282" s="47">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CZ309"/>
  <sheetViews>
    <sheetView workbookViewId="0"/>
  </sheetViews>
  <sheetFormatPr defaultRowHeight="13.2" x14ac:dyDescent="0.25"/>
  <cols>
    <col min="1" max="1" width="30.33203125" customWidth="1"/>
    <col min="2" max="2" width="18.6640625" customWidth="1"/>
    <col min="3" max="3" width="11.33203125" customWidth="1"/>
    <col min="5" max="5" width="12.6640625" customWidth="1"/>
    <col min="6" max="6" width="12.44140625" customWidth="1"/>
    <col min="7" max="7" width="11.6640625" customWidth="1"/>
  </cols>
  <sheetData>
    <row r="3" spans="1:104" ht="13.8" thickBot="1" x14ac:dyDescent="0.3">
      <c r="BW3" s="1014" t="s">
        <v>1190</v>
      </c>
      <c r="BX3" s="1014"/>
      <c r="BY3" s="1014"/>
      <c r="BZ3" s="1014"/>
      <c r="CA3" s="1014"/>
      <c r="CB3" s="1014"/>
      <c r="CC3" s="1014"/>
      <c r="CD3" s="1014"/>
    </row>
    <row r="4" spans="1:104" ht="13.8" thickTop="1" x14ac:dyDescent="0.25">
      <c r="A4" s="686" t="s">
        <v>1088</v>
      </c>
      <c r="B4" s="573" t="str">
        <f>"Prices are in $(" &amp; ref_year&amp;")/GJ LHV"</f>
        <v>Prices are in $(2016)/GJ LHV</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C4" s="687"/>
      <c r="AD4" s="687"/>
      <c r="AE4" s="687"/>
      <c r="AF4" s="687"/>
      <c r="AG4" s="687"/>
      <c r="AH4" s="698" t="s">
        <v>757</v>
      </c>
      <c r="AI4" s="699"/>
      <c r="AJ4" s="699"/>
      <c r="AK4" s="699"/>
      <c r="AL4" s="699"/>
      <c r="AM4" s="699"/>
      <c r="AN4" s="699"/>
      <c r="AO4" s="699"/>
      <c r="AP4" s="699"/>
      <c r="AQ4" s="699"/>
      <c r="AR4" s="699"/>
      <c r="AS4" s="699"/>
      <c r="AT4" s="699"/>
      <c r="AU4" s="699"/>
      <c r="AV4" s="699"/>
      <c r="AW4" s="699"/>
      <c r="AX4" s="699"/>
      <c r="AY4" s="699"/>
      <c r="AZ4" s="699"/>
      <c r="BA4" s="699"/>
      <c r="BB4" s="699"/>
      <c r="BC4" s="699"/>
      <c r="BD4" s="699"/>
      <c r="BE4" s="699"/>
      <c r="BF4" s="699"/>
      <c r="BG4" s="699"/>
      <c r="BH4" s="699"/>
      <c r="BI4" s="699"/>
      <c r="BJ4" s="699"/>
      <c r="BK4" s="699"/>
      <c r="BL4" s="699"/>
      <c r="BM4" s="699"/>
      <c r="BN4" s="699"/>
      <c r="BO4" s="699"/>
      <c r="BP4" s="699"/>
      <c r="BQ4" s="699"/>
      <c r="BR4" s="699"/>
      <c r="BS4" s="699"/>
      <c r="BT4" s="699"/>
      <c r="BU4" s="699"/>
      <c r="BV4" s="700"/>
    </row>
    <row r="5" spans="1:104" ht="40.200000000000003" thickBot="1" x14ac:dyDescent="0.3">
      <c r="A5" s="702" t="s">
        <v>1057</v>
      </c>
      <c r="B5" s="703" t="s">
        <v>663</v>
      </c>
      <c r="C5" s="703" t="s">
        <v>664</v>
      </c>
      <c r="D5" s="703" t="s">
        <v>675</v>
      </c>
      <c r="E5" s="703" t="s">
        <v>676</v>
      </c>
      <c r="F5" s="1" t="s">
        <v>665</v>
      </c>
      <c r="G5" s="1" t="s">
        <v>677</v>
      </c>
      <c r="H5" s="1">
        <v>2004</v>
      </c>
      <c r="I5" s="1">
        <v>2005</v>
      </c>
      <c r="J5" s="1">
        <v>2006</v>
      </c>
      <c r="K5" s="1">
        <v>2007</v>
      </c>
      <c r="L5" s="1">
        <v>2008</v>
      </c>
      <c r="M5" s="1">
        <v>2009</v>
      </c>
      <c r="N5" s="1">
        <v>2010</v>
      </c>
      <c r="O5" s="1">
        <v>2011</v>
      </c>
      <c r="P5" s="1">
        <v>2012</v>
      </c>
      <c r="Q5" s="1">
        <v>2013</v>
      </c>
      <c r="R5" s="1">
        <v>2014</v>
      </c>
      <c r="S5" s="1">
        <v>2015</v>
      </c>
      <c r="T5" s="1">
        <v>2016</v>
      </c>
      <c r="U5" s="1">
        <v>2017</v>
      </c>
      <c r="V5" s="1">
        <v>2018</v>
      </c>
      <c r="W5" s="1">
        <v>2019</v>
      </c>
      <c r="X5" s="1">
        <v>2020</v>
      </c>
      <c r="Y5" s="1">
        <v>2021</v>
      </c>
      <c r="Z5" s="1">
        <v>2022</v>
      </c>
      <c r="AA5" s="1">
        <v>2023</v>
      </c>
      <c r="AB5" s="1">
        <v>2024</v>
      </c>
      <c r="AC5" s="1">
        <v>2025</v>
      </c>
      <c r="AD5" s="1">
        <v>2026</v>
      </c>
      <c r="AE5" s="1">
        <v>2027</v>
      </c>
      <c r="AF5" s="1">
        <v>2028</v>
      </c>
      <c r="AG5" s="1">
        <v>2029</v>
      </c>
      <c r="AH5" s="1">
        <v>2030</v>
      </c>
      <c r="AI5" s="1">
        <v>2031</v>
      </c>
      <c r="AJ5" s="1">
        <v>2032</v>
      </c>
      <c r="AK5" s="1">
        <v>2033</v>
      </c>
      <c r="AL5" s="1">
        <v>2034</v>
      </c>
      <c r="AM5" s="1">
        <v>2035</v>
      </c>
      <c r="AN5" s="1">
        <v>2036</v>
      </c>
      <c r="AO5" s="1">
        <v>2037</v>
      </c>
      <c r="AP5" s="1">
        <v>2038</v>
      </c>
      <c r="AQ5" s="1">
        <v>2039</v>
      </c>
      <c r="AR5" s="1">
        <v>2040</v>
      </c>
      <c r="AS5" s="1">
        <v>2041</v>
      </c>
      <c r="AT5" s="1">
        <v>2042</v>
      </c>
      <c r="AU5" s="1">
        <v>2043</v>
      </c>
      <c r="AV5" s="1">
        <v>2044</v>
      </c>
      <c r="AW5" s="1">
        <v>2045</v>
      </c>
      <c r="AX5" s="1">
        <v>2046</v>
      </c>
      <c r="AY5" s="1">
        <v>2047</v>
      </c>
      <c r="AZ5" s="1">
        <v>2048</v>
      </c>
      <c r="BA5" s="1">
        <v>2049</v>
      </c>
      <c r="BB5" s="1">
        <v>2050</v>
      </c>
      <c r="BC5" s="1">
        <v>2051</v>
      </c>
      <c r="BD5" s="1">
        <v>2052</v>
      </c>
      <c r="BE5" s="1">
        <v>2053</v>
      </c>
      <c r="BF5" s="1">
        <v>2054</v>
      </c>
      <c r="BG5" s="1">
        <v>2055</v>
      </c>
      <c r="BH5" s="1">
        <v>2056</v>
      </c>
      <c r="BI5" s="1">
        <v>2057</v>
      </c>
      <c r="BJ5" s="1">
        <v>2058</v>
      </c>
      <c r="BK5" s="1">
        <v>2059</v>
      </c>
      <c r="BL5" s="1">
        <v>2060</v>
      </c>
      <c r="BM5" s="1">
        <v>2061</v>
      </c>
      <c r="BN5" s="1">
        <v>2062</v>
      </c>
      <c r="BO5" s="1">
        <v>2063</v>
      </c>
      <c r="BP5" s="1">
        <v>2064</v>
      </c>
      <c r="BQ5" s="1">
        <v>2065</v>
      </c>
      <c r="BR5" s="1">
        <v>2066</v>
      </c>
      <c r="BS5" s="1">
        <v>2067</v>
      </c>
      <c r="BT5" s="1">
        <v>2068</v>
      </c>
      <c r="BU5" s="1">
        <v>2069</v>
      </c>
      <c r="BV5" s="704">
        <v>2070</v>
      </c>
      <c r="BW5" s="1014">
        <f t="shared" ref="BW5" si="0">+BV5+1</f>
        <v>2071</v>
      </c>
      <c r="BX5" s="1014">
        <f t="shared" ref="BX5" si="1">+BW5+1</f>
        <v>2072</v>
      </c>
      <c r="BY5" s="1014">
        <f t="shared" ref="BY5" si="2">+BX5+1</f>
        <v>2073</v>
      </c>
      <c r="BZ5" s="1014">
        <f t="shared" ref="BZ5" si="3">+BY5+1</f>
        <v>2074</v>
      </c>
      <c r="CA5" s="1014">
        <f t="shared" ref="CA5" si="4">+BZ5+1</f>
        <v>2075</v>
      </c>
      <c r="CB5" s="1014">
        <f t="shared" ref="CB5" si="5">+CA5+1</f>
        <v>2076</v>
      </c>
      <c r="CC5" s="1014">
        <f t="shared" ref="CC5" si="6">+CB5+1</f>
        <v>2077</v>
      </c>
      <c r="CD5" s="1014">
        <f t="shared" ref="CD5" si="7">+CC5+1</f>
        <v>2078</v>
      </c>
      <c r="CE5" s="1014">
        <f t="shared" ref="CE5" si="8">+CD5+1</f>
        <v>2079</v>
      </c>
      <c r="CF5" s="1014">
        <f t="shared" ref="CF5" si="9">+CE5+1</f>
        <v>2080</v>
      </c>
      <c r="CG5" s="1014">
        <f t="shared" ref="CG5" si="10">+CF5+1</f>
        <v>2081</v>
      </c>
      <c r="CH5" s="1014">
        <f t="shared" ref="CH5" si="11">+CG5+1</f>
        <v>2082</v>
      </c>
      <c r="CI5" s="1014">
        <f t="shared" ref="CI5" si="12">+CH5+1</f>
        <v>2083</v>
      </c>
      <c r="CJ5" s="1014">
        <f t="shared" ref="CJ5" si="13">+CI5+1</f>
        <v>2084</v>
      </c>
      <c r="CK5" s="1014">
        <f t="shared" ref="CK5" si="14">+CJ5+1</f>
        <v>2085</v>
      </c>
      <c r="CL5" s="1014">
        <f t="shared" ref="CL5" si="15">+CK5+1</f>
        <v>2086</v>
      </c>
      <c r="CM5" s="1014">
        <f t="shared" ref="CM5" si="16">+CL5+1</f>
        <v>2087</v>
      </c>
      <c r="CN5" s="1014">
        <f t="shared" ref="CN5" si="17">+CM5+1</f>
        <v>2088</v>
      </c>
      <c r="CO5" s="1014">
        <f t="shared" ref="CO5" si="18">+CN5+1</f>
        <v>2089</v>
      </c>
      <c r="CP5" s="1014">
        <f t="shared" ref="CP5" si="19">+CO5+1</f>
        <v>2090</v>
      </c>
      <c r="CQ5" s="1014">
        <f t="shared" ref="CQ5" si="20">+CP5+1</f>
        <v>2091</v>
      </c>
      <c r="CR5" s="1014">
        <f t="shared" ref="CR5" si="21">+CQ5+1</f>
        <v>2092</v>
      </c>
      <c r="CS5" s="1014">
        <f t="shared" ref="CS5" si="22">+CR5+1</f>
        <v>2093</v>
      </c>
      <c r="CT5" s="1014">
        <f t="shared" ref="CT5" si="23">+CS5+1</f>
        <v>2094</v>
      </c>
      <c r="CU5" s="1014">
        <f t="shared" ref="CU5" si="24">+CT5+1</f>
        <v>2095</v>
      </c>
      <c r="CV5" s="1014">
        <f t="shared" ref="CV5" si="25">+CU5+1</f>
        <v>2096</v>
      </c>
      <c r="CW5" s="1014">
        <f t="shared" ref="CW5" si="26">+CV5+1</f>
        <v>2097</v>
      </c>
      <c r="CX5" s="1014">
        <f t="shared" ref="CX5" si="27">+CW5+1</f>
        <v>2098</v>
      </c>
      <c r="CY5" s="1014">
        <f t="shared" ref="CY5" si="28">+CX5+1</f>
        <v>2099</v>
      </c>
      <c r="CZ5" s="1014">
        <f t="shared" ref="CZ5" si="29">+CY5+1</f>
        <v>2100</v>
      </c>
    </row>
    <row r="6" spans="1:104" ht="13.8" thickBot="1" x14ac:dyDescent="0.3">
      <c r="A6" s="757" t="s">
        <v>1063</v>
      </c>
      <c r="B6" s="758"/>
      <c r="C6" s="758"/>
      <c r="D6" s="758"/>
      <c r="E6" s="758"/>
      <c r="F6" s="689"/>
      <c r="G6" s="758"/>
      <c r="H6" s="758"/>
      <c r="I6" s="758"/>
      <c r="J6" s="758"/>
      <c r="K6" s="758"/>
      <c r="L6" s="758"/>
      <c r="M6" s="758"/>
      <c r="N6" s="758"/>
      <c r="O6" s="758"/>
      <c r="P6" s="758"/>
      <c r="Q6" s="758"/>
      <c r="R6" s="758"/>
      <c r="S6" s="758"/>
      <c r="T6" s="758"/>
      <c r="U6" s="758"/>
      <c r="V6" s="758"/>
      <c r="W6" s="758"/>
      <c r="X6" s="758"/>
      <c r="Y6" s="758"/>
      <c r="Z6" s="758"/>
      <c r="AA6" s="758"/>
      <c r="AB6" s="758"/>
      <c r="AC6" s="758"/>
      <c r="AD6" s="758"/>
      <c r="AE6" s="758"/>
      <c r="AF6" s="758"/>
      <c r="AG6" s="758"/>
      <c r="AH6" s="758"/>
      <c r="AI6" s="758"/>
      <c r="AJ6" s="758"/>
      <c r="AK6" s="758"/>
      <c r="AL6" s="758"/>
      <c r="AM6" s="758"/>
      <c r="AN6" s="758"/>
      <c r="AO6" s="758"/>
      <c r="AP6" s="758"/>
      <c r="AQ6" s="758"/>
      <c r="AR6" s="758"/>
      <c r="AS6" s="758"/>
      <c r="AT6" s="758"/>
      <c r="AU6" s="758"/>
      <c r="AV6" s="758"/>
      <c r="AW6" s="758"/>
      <c r="AX6" s="758"/>
      <c r="AY6" s="758"/>
      <c r="AZ6" s="758"/>
      <c r="BA6" s="758"/>
      <c r="BC6" s="758"/>
      <c r="BD6" s="758"/>
      <c r="BE6" s="758"/>
      <c r="BF6" s="758"/>
      <c r="BG6" s="758"/>
      <c r="BH6" s="758"/>
      <c r="BI6" s="758"/>
      <c r="BJ6" s="758"/>
      <c r="BK6" s="758"/>
      <c r="BL6" s="758"/>
      <c r="BM6" s="758"/>
      <c r="BN6" s="758"/>
      <c r="BO6" s="758"/>
      <c r="BP6" s="758"/>
      <c r="BR6" s="758"/>
      <c r="BS6" s="758"/>
      <c r="BT6" s="758"/>
      <c r="BU6" s="758"/>
    </row>
    <row r="7" spans="1:104" x14ac:dyDescent="0.25">
      <c r="A7" s="772" t="str">
        <f>'HyARC Physical Property Data'!A73</f>
        <v>Residential Natural Gas</v>
      </c>
      <c r="B7" s="758">
        <v>2007</v>
      </c>
      <c r="C7" s="759">
        <f>VLOOKUP(ref_year,DeflatorTable,2,FALSE)/VLOOKUP(B7,DeflatorTable,2,FALSE)</f>
        <v>1.1413971588333081</v>
      </c>
      <c r="D7" s="772" t="str">
        <f>'HyARC Physical Property Data'!H73</f>
        <v>mmBtu</v>
      </c>
      <c r="E7" s="759" t="s">
        <v>1031</v>
      </c>
      <c r="F7" s="758">
        <f>'HyARC Physical Property Data'!$E$6</f>
        <v>47.141269049911173</v>
      </c>
      <c r="G7" s="758">
        <f>'HyARC Physical Property Data'!$I$6</f>
        <v>52.224661236371581</v>
      </c>
      <c r="H7" s="758">
        <f>((13.7000589370728/(mmBTU_to_GJ))*($C$7))*($G$7/$F$7)</f>
        <v>16.420301417436011</v>
      </c>
      <c r="I7" s="758">
        <f>((13.7000589370728/(mmBTU_to_GJ))*($C$7))*($G$7/$F$7)</f>
        <v>16.420301417436011</v>
      </c>
      <c r="J7" s="758">
        <f>((13.7000589370728/(mmBTU_to_GJ))*($C$7))*($G$7/$F$7)</f>
        <v>16.420301417436011</v>
      </c>
      <c r="K7" s="758">
        <f>((12.6911582946777/(mmBTU_to_GJ))*($C$7))*($G$7/$F$7)</f>
        <v>15.211076499173579</v>
      </c>
      <c r="L7" s="758">
        <f>((12.9778490066528/(mmBTU_to_GJ))*($C$7))*($G$7/$F$7)</f>
        <v>15.55469165629321</v>
      </c>
      <c r="M7" s="758">
        <f>((10.7176141738892/(mmBTU_to_GJ))*($C$7))*($G$7/$F$7)</f>
        <v>12.845671395968969</v>
      </c>
      <c r="N7" s="758">
        <f>((11.192774772644/(mmBTU_to_GJ))*($C$7))*($G$7/$F$7)</f>
        <v>13.415178453499211</v>
      </c>
      <c r="O7" s="758">
        <f>((11.4872808456421/(mmBTU_to_GJ))*($C$7))*($G$7/$F$7)</f>
        <v>13.768160766210887</v>
      </c>
      <c r="P7" s="758">
        <f>((11.3991556167603/(mmBTU_to_GJ))*($C$7))*($G$7/$F$7)</f>
        <v>13.662537657042796</v>
      </c>
      <c r="Q7" s="758">
        <f>((11.3077983856201/(mmBTU_to_GJ))*($C$7))*($G$7/$F$7)</f>
        <v>13.553040808972668</v>
      </c>
      <c r="R7" s="758">
        <f>((11.2896461486816/(mmBTU_to_GJ))*($C$7))*($G$7/$F$7)</f>
        <v>13.531284318486023</v>
      </c>
      <c r="S7" s="758">
        <f>((11.3454151153564/(mmBTU_to_GJ))*($C$7))*($G$7/$F$7)</f>
        <v>13.598126603380225</v>
      </c>
      <c r="T7" s="758">
        <f>((11.5382986068726/(mmBTU_to_GJ))*($C$7))*($G$7/$F$7)</f>
        <v>13.829308460603693</v>
      </c>
      <c r="U7" s="758">
        <f>((11.7583208084106/(mmBTU_to_GJ))*($C$7))*($G$7/$F$7)</f>
        <v>14.093017608453076</v>
      </c>
      <c r="V7" s="758">
        <f>((11.9751005172729/(mmBTU_to_GJ))*($C$7))*($G$7/$F$7)</f>
        <v>14.352840444037428</v>
      </c>
      <c r="W7" s="758">
        <f>((12.23952293396/(mmBTU_to_GJ))*($C$7))*($G$7/$F$7)</f>
        <v>14.669765780159871</v>
      </c>
      <c r="X7" s="758">
        <f>((12.557071685791/(mmBTU_to_GJ))*($C$7))*($G$7/$F$7)</f>
        <v>15.050366056680263</v>
      </c>
      <c r="Y7" s="758">
        <f>((12.7957820892334/(mmBTU_to_GJ))*($C$7))*($G$7/$F$7)</f>
        <v>15.336474079573154</v>
      </c>
      <c r="Z7" s="758">
        <f>((12.8716516494751/(mmBTU_to_GJ))*($C$7))*($G$7/$F$7)</f>
        <v>15.427408071412112</v>
      </c>
      <c r="AA7" s="758">
        <f>((12.6602811813354/(mmBTU_to_GJ))*($C$7))*($G$7/$F$7)</f>
        <v>15.174068519112346</v>
      </c>
      <c r="AB7" s="758">
        <f>((12.6240320205688/(mmBTU_to_GJ))*($C$7))*($G$7/$F$7)</f>
        <v>15.130621834054226</v>
      </c>
      <c r="AC7" s="758">
        <f>((12.5992183685303/(mmBTU_to_GJ))*($C$7))*($G$7/$F$7)</f>
        <v>15.100881257928895</v>
      </c>
      <c r="AD7" s="758">
        <f>((12.7868556976318/(mmBTU_to_GJ))*($C$7))*($G$7/$F$7)</f>
        <v>15.325775290513809</v>
      </c>
      <c r="AE7" s="758">
        <f>((13.07555103302/(mmBTU_to_GJ))*($C$7))*($G$7/$F$7)</f>
        <v>15.671793103039724</v>
      </c>
      <c r="AF7" s="758">
        <f>((13.407883644104/(mmBTU_to_GJ))*($C$7))*($G$7/$F$7)</f>
        <v>16.070112677423158</v>
      </c>
      <c r="AG7" s="758">
        <f>((13.6725673675537/(mmBTU_to_GJ))*($C$7))*($G$7/$F$7)</f>
        <v>16.387351204592733</v>
      </c>
      <c r="AH7" s="758">
        <f>((13.9620389938354/(mmBTU_to_GJ))*($C$7))*($G$7/$F$7)</f>
        <v>16.734299445996175</v>
      </c>
      <c r="AI7" s="758">
        <f>($BB7-$AH7)/20+AH7</f>
        <v>16.876364426263383</v>
      </c>
      <c r="AJ7" s="758">
        <f t="shared" ref="AJ7:AY10" si="30">($BB7-$AH7)/20+AI7</f>
        <v>17.01842940653059</v>
      </c>
      <c r="AK7" s="758">
        <f t="shared" si="30"/>
        <v>17.160494386797797</v>
      </c>
      <c r="AL7" s="758">
        <f t="shared" si="30"/>
        <v>17.302559367065005</v>
      </c>
      <c r="AM7" s="758">
        <f t="shared" si="30"/>
        <v>17.444624347332212</v>
      </c>
      <c r="AN7" s="758">
        <f t="shared" si="30"/>
        <v>17.586689327599419</v>
      </c>
      <c r="AO7" s="758">
        <f t="shared" si="30"/>
        <v>17.728754307866627</v>
      </c>
      <c r="AP7" s="758">
        <f t="shared" si="30"/>
        <v>17.870819288133834</v>
      </c>
      <c r="AQ7" s="758">
        <f t="shared" si="30"/>
        <v>18.012884268401042</v>
      </c>
      <c r="AR7" s="758">
        <f t="shared" si="30"/>
        <v>18.154949248668249</v>
      </c>
      <c r="AS7" s="758">
        <f t="shared" si="30"/>
        <v>18.297014228935456</v>
      </c>
      <c r="AT7" s="758">
        <f t="shared" si="30"/>
        <v>18.439079209202664</v>
      </c>
      <c r="AU7" s="758">
        <f t="shared" si="30"/>
        <v>18.581144189469871</v>
      </c>
      <c r="AV7" s="758">
        <f t="shared" si="30"/>
        <v>18.723209169737078</v>
      </c>
      <c r="AW7" s="758">
        <f t="shared" si="30"/>
        <v>18.865274150004286</v>
      </c>
      <c r="AX7" s="758">
        <f t="shared" si="30"/>
        <v>19.007339130271493</v>
      </c>
      <c r="AY7" s="758">
        <f t="shared" si="30"/>
        <v>19.149404110538701</v>
      </c>
      <c r="AZ7" s="758">
        <f t="shared" ref="AY7:BA10" si="31">($BB7-$AH7)/20+AY7</f>
        <v>19.291469090805908</v>
      </c>
      <c r="BA7" s="758">
        <f t="shared" si="31"/>
        <v>19.433534071073115</v>
      </c>
      <c r="BB7" s="809">
        <f>1.16978897829057*AH7</f>
        <v>19.575599051340316</v>
      </c>
      <c r="BC7" s="758">
        <f>($BQ7-$BB7)/15+BB7</f>
        <v>19.769431803386947</v>
      </c>
      <c r="BD7" s="758">
        <f t="shared" ref="BD7:BP7" si="32">($BQ7-$BB7)/15+BC7</f>
        <v>19.963264555433579</v>
      </c>
      <c r="BE7" s="758">
        <f t="shared" si="32"/>
        <v>20.15709730748021</v>
      </c>
      <c r="BF7" s="758">
        <f t="shared" si="32"/>
        <v>20.350930059526842</v>
      </c>
      <c r="BG7" s="758">
        <f t="shared" si="32"/>
        <v>20.544762811573474</v>
      </c>
      <c r="BH7" s="758">
        <f t="shared" si="32"/>
        <v>20.738595563620105</v>
      </c>
      <c r="BI7" s="758">
        <f t="shared" si="32"/>
        <v>20.932428315666737</v>
      </c>
      <c r="BJ7" s="758">
        <f t="shared" si="32"/>
        <v>21.126261067713369</v>
      </c>
      <c r="BK7" s="758">
        <f t="shared" si="32"/>
        <v>21.32009381976</v>
      </c>
      <c r="BL7" s="758">
        <f t="shared" si="32"/>
        <v>21.513926571806632</v>
      </c>
      <c r="BM7" s="758">
        <f t="shared" si="32"/>
        <v>21.707759323853264</v>
      </c>
      <c r="BN7" s="758">
        <f t="shared" si="32"/>
        <v>21.901592075899895</v>
      </c>
      <c r="BO7" s="758">
        <f t="shared" si="32"/>
        <v>22.095424827946527</v>
      </c>
      <c r="BP7" s="758">
        <f t="shared" si="32"/>
        <v>22.289257579993158</v>
      </c>
      <c r="BQ7" s="809">
        <f>1.14852629914794*BB7</f>
        <v>22.483090332039815</v>
      </c>
      <c r="BR7" s="758">
        <f>($BV7-$BQ7)/5+BQ7</f>
        <v>22.705712345401611</v>
      </c>
      <c r="BS7" s="758">
        <f>($BV7-$BQ7)/5+BR7</f>
        <v>22.928334358763408</v>
      </c>
      <c r="BT7" s="758">
        <f>($BV7-$BQ7)/5+BS7</f>
        <v>23.150956372125204</v>
      </c>
      <c r="BU7" s="758">
        <f>($BV7-$BQ7)/5+BT7</f>
        <v>23.373578385487001</v>
      </c>
      <c r="BV7" s="810">
        <f>1.04950876638265*BQ7</f>
        <v>23.59620039884879</v>
      </c>
      <c r="BW7" s="1013">
        <f>+BV7*BW$133/BV$133</f>
        <v>23.674546722408877</v>
      </c>
      <c r="BX7" s="1013">
        <f t="shared" ref="BX7:CZ7" si="33">+BW7*BX$133/BW$133</f>
        <v>23.753153178800169</v>
      </c>
      <c r="BY7" s="1013">
        <f t="shared" si="33"/>
        <v>23.832020631740154</v>
      </c>
      <c r="BZ7" s="1013">
        <f t="shared" si="33"/>
        <v>23.911149947814113</v>
      </c>
      <c r="CA7" s="1013">
        <f t="shared" si="33"/>
        <v>23.990541996484659</v>
      </c>
      <c r="CB7" s="1013">
        <f t="shared" si="33"/>
        <v>24.041736091563465</v>
      </c>
      <c r="CC7" s="1013">
        <f t="shared" si="33"/>
        <v>24.093039431167519</v>
      </c>
      <c r="CD7" s="1013">
        <f t="shared" si="33"/>
        <v>24.144452248416805</v>
      </c>
      <c r="CE7" s="1013">
        <f t="shared" si="33"/>
        <v>24.195974776928761</v>
      </c>
      <c r="CF7" s="1013">
        <f t="shared" si="33"/>
        <v>24.247607250819346</v>
      </c>
      <c r="CG7" s="1013">
        <f t="shared" si="33"/>
        <v>24.264371987566129</v>
      </c>
      <c r="CH7" s="1013">
        <f t="shared" si="33"/>
        <v>24.281148315411173</v>
      </c>
      <c r="CI7" s="1013">
        <f t="shared" si="33"/>
        <v>24.297936242368532</v>
      </c>
      <c r="CJ7" s="1013">
        <f t="shared" si="33"/>
        <v>24.314735776457805</v>
      </c>
      <c r="CK7" s="1013">
        <f t="shared" si="33"/>
        <v>24.331546925704139</v>
      </c>
      <c r="CL7" s="1013">
        <f t="shared" si="33"/>
        <v>24.337245159046461</v>
      </c>
      <c r="CM7" s="1013">
        <f t="shared" si="33"/>
        <v>24.34294472686469</v>
      </c>
      <c r="CN7" s="1013">
        <f t="shared" si="33"/>
        <v>24.348645629471353</v>
      </c>
      <c r="CO7" s="1013">
        <f t="shared" si="33"/>
        <v>24.354347867179047</v>
      </c>
      <c r="CP7" s="1013">
        <f t="shared" si="33"/>
        <v>24.360051440300435</v>
      </c>
      <c r="CQ7" s="1013">
        <f t="shared" si="33"/>
        <v>24.368695752977374</v>
      </c>
      <c r="CR7" s="1013">
        <f t="shared" si="33"/>
        <v>24.377343133141338</v>
      </c>
      <c r="CS7" s="1013">
        <f t="shared" si="33"/>
        <v>24.38599358188084</v>
      </c>
      <c r="CT7" s="1013">
        <f t="shared" si="33"/>
        <v>24.394647100284782</v>
      </c>
      <c r="CU7" s="1013">
        <f t="shared" si="33"/>
        <v>24.403303689442453</v>
      </c>
      <c r="CV7" s="1013">
        <f t="shared" si="33"/>
        <v>24.416626216805682</v>
      </c>
      <c r="CW7" s="1013">
        <f t="shared" si="33"/>
        <v>24.429956017353625</v>
      </c>
      <c r="CX7" s="1013">
        <f t="shared" si="33"/>
        <v>24.443293095056941</v>
      </c>
      <c r="CY7" s="1013">
        <f t="shared" si="33"/>
        <v>24.456637453888455</v>
      </c>
      <c r="CZ7" s="1013">
        <f t="shared" si="33"/>
        <v>24.469989097823163</v>
      </c>
    </row>
    <row r="8" spans="1:104" x14ac:dyDescent="0.25">
      <c r="A8" s="693" t="str">
        <f>'HyARC Physical Property Data'!A71</f>
        <v>Commercial Natural Gas</v>
      </c>
      <c r="B8">
        <v>2007</v>
      </c>
      <c r="C8" s="692">
        <f>VLOOKUP(ref_year,DeflatorTable,2,FALSE)/VLOOKUP(B8,DeflatorTable,2,FALSE)</f>
        <v>1.1413971588333081</v>
      </c>
      <c r="D8" s="693" t="str">
        <f>'HyARC Physical Property Data'!H71</f>
        <v>mmBtu</v>
      </c>
      <c r="E8" s="692" t="s">
        <v>1031</v>
      </c>
      <c r="F8">
        <f>'HyARC Physical Property Data'!$E$6</f>
        <v>47.141269049911173</v>
      </c>
      <c r="G8">
        <f>'HyARC Physical Property Data'!$I$6</f>
        <v>52.224661236371581</v>
      </c>
      <c r="H8">
        <f>((11.8960943222046/(mmBTU_to_GJ))*($C$8))*($G$8/$F$8)</f>
        <v>14.25814701659854</v>
      </c>
      <c r="I8">
        <f>((11.8960943222046/(mmBTU_to_GJ))*($C$8))*($G$8/$F$8)</f>
        <v>14.25814701659854</v>
      </c>
      <c r="J8">
        <f>((11.8960943222046/(mmBTU_to_GJ))*($C$8))*($G$8/$F$8)</f>
        <v>14.25814701659854</v>
      </c>
      <c r="K8">
        <f>((10.9898433685303/(mmBTU_to_GJ))*($C$8))*($G$8/$F$8)</f>
        <v>13.1719536003861</v>
      </c>
      <c r="L8">
        <f>((11.3387994766235/(mmBTU_to_GJ))*($C$8))*($G$8/$F$8)</f>
        <v>13.590197383326352</v>
      </c>
      <c r="M8">
        <f>((8.90759468078613/(mmBTU_to_GJ))*($C$8))*($G$8/$F$8)</f>
        <v>10.676259878492866</v>
      </c>
      <c r="N8">
        <f>((9.46560573577881/(mmBTU_to_GJ))*($C$8))*($G$8/$F$8)</f>
        <v>11.345067929562392</v>
      </c>
      <c r="O8">
        <f>((9.74632167816162/(mmBTU_to_GJ))*($C$8))*($G$8/$F$8)</f>
        <v>11.681521984817001</v>
      </c>
      <c r="P8">
        <f>((9.72109222412109/(mmBTU_to_GJ))*($C$8))*($G$8/$F$8)</f>
        <v>11.651283046295227</v>
      </c>
      <c r="Q8">
        <f>((9.67193412780762/(mmBTU_to_GJ))*($C$8))*($G$8/$F$8)</f>
        <v>11.59236426628982</v>
      </c>
      <c r="R8">
        <f>((9.71388721466064/(mmBTU_to_GJ))*($C$8))*($G$8/$F$8)</f>
        <v>11.642647431835503</v>
      </c>
      <c r="S8">
        <f>((9.83065605163574/(mmBTU_to_GJ))*($C$8))*($G$8/$F$8)</f>
        <v>11.782601537733989</v>
      </c>
      <c r="T8">
        <f>((10.0382099151611/(mmBTU_to_GJ))*($C$8))*($G$8/$F$8)</f>
        <v>12.031366671890995</v>
      </c>
      <c r="U8">
        <f>((10.2545003890991/(mmBTU_to_GJ))*($C$8))*($G$8/$F$8)</f>
        <v>12.290603131536537</v>
      </c>
      <c r="V8">
        <f>((10.476261138916/(mmBTU_to_GJ))*($C$8))*($G$8/$F$8)</f>
        <v>12.556396028579952</v>
      </c>
      <c r="W8">
        <f>((10.746561050415/(mmBTU_to_GJ))*($C$8))*($G$8/$F$8)</f>
        <v>12.880365877199319</v>
      </c>
      <c r="X8">
        <f>((11.0803880691528/(mmBTU_to_GJ))*($C$8))*($G$8/$F$8)</f>
        <v>13.280476584323763</v>
      </c>
      <c r="Y8">
        <f>((11.3143692016602/(mmBTU_to_GJ))*($C$8))*($G$8/$F$8)</f>
        <v>13.560916306474725</v>
      </c>
      <c r="Z8">
        <f>((11.4017143249512/(mmBTU_to_GJ))*($C$8))*($G$8/$F$8)</f>
        <v>13.665604414633171</v>
      </c>
      <c r="AA8">
        <f>((11.2125005722046/(mmBTU_to_GJ))*($C$8))*($G$8/$F$8)</f>
        <v>13.438820948467498</v>
      </c>
      <c r="AB8">
        <f>((11.1975994110107/(mmBTU_to_GJ))*($C$8))*($G$8/$F$8)</f>
        <v>13.420961057543121</v>
      </c>
      <c r="AC8">
        <f>((11.159740447998/(mmBTU_to_GJ))*($C$8))*($G$8/$F$8)</f>
        <v>13.37558493274866</v>
      </c>
      <c r="AD8">
        <f>((11.3503875732422/(mmBTU_to_GJ))*($C$8))*($G$8/$F$8)</f>
        <v>13.604086377542172</v>
      </c>
      <c r="AE8">
        <f>((11.6409521102905/(mmBTU_to_GJ))*($C$8))*($G$8/$F$8)</f>
        <v>13.952344534785565</v>
      </c>
      <c r="AF8">
        <f>((11.9785671234131/(mmBTU_to_GJ))*($C$8))*($G$8/$F$8)</f>
        <v>14.356995369062137</v>
      </c>
      <c r="AG8">
        <f>((12.2332496643066/(mmBTU_to_GJ))*($C$8))*($G$8/$F$8)</f>
        <v>14.662246908959766</v>
      </c>
      <c r="AH8">
        <f>((12.5188312530518/(mmBTU_to_GJ))*($C$8))*($G$8/$F$8)</f>
        <v>15.004532718678215</v>
      </c>
      <c r="AI8">
        <f>($BB8-$AH8)/20+AH8</f>
        <v>15.131912932679805</v>
      </c>
      <c r="AJ8">
        <f t="shared" si="30"/>
        <v>15.259293146681395</v>
      </c>
      <c r="AK8">
        <f t="shared" si="30"/>
        <v>15.386673360682986</v>
      </c>
      <c r="AL8">
        <f t="shared" si="30"/>
        <v>15.514053574684576</v>
      </c>
      <c r="AM8">
        <f t="shared" si="30"/>
        <v>15.641433788686166</v>
      </c>
      <c r="AN8">
        <f t="shared" si="30"/>
        <v>15.768814002687757</v>
      </c>
      <c r="AO8">
        <f t="shared" si="30"/>
        <v>15.896194216689347</v>
      </c>
      <c r="AP8">
        <f t="shared" si="30"/>
        <v>16.023574430690935</v>
      </c>
      <c r="AQ8">
        <f t="shared" si="30"/>
        <v>16.150954644692526</v>
      </c>
      <c r="AR8">
        <f t="shared" si="30"/>
        <v>16.278334858694116</v>
      </c>
      <c r="AS8">
        <f t="shared" si="30"/>
        <v>16.405715072695706</v>
      </c>
      <c r="AT8">
        <f t="shared" si="30"/>
        <v>16.533095286697296</v>
      </c>
      <c r="AU8">
        <f t="shared" si="30"/>
        <v>16.660475500698887</v>
      </c>
      <c r="AV8">
        <f t="shared" si="30"/>
        <v>16.787855714700477</v>
      </c>
      <c r="AW8">
        <f t="shared" si="30"/>
        <v>16.915235928702067</v>
      </c>
      <c r="AX8">
        <f t="shared" si="30"/>
        <v>17.042616142703658</v>
      </c>
      <c r="AY8">
        <f t="shared" si="31"/>
        <v>17.169996356705248</v>
      </c>
      <c r="AZ8">
        <f t="shared" si="31"/>
        <v>17.297376570706838</v>
      </c>
      <c r="BA8">
        <f t="shared" si="31"/>
        <v>17.424756784708428</v>
      </c>
      <c r="BB8" s="808">
        <f>1.16978897829057*AH8</f>
        <v>17.552136998710015</v>
      </c>
      <c r="BC8">
        <f t="shared" ref="BC8:BP10" si="34">($BQ8-$BB8)/15+BB8</f>
        <v>17.725933928747082</v>
      </c>
      <c r="BD8">
        <f t="shared" si="34"/>
        <v>17.899730858784149</v>
      </c>
      <c r="BE8">
        <f t="shared" si="34"/>
        <v>18.073527788821217</v>
      </c>
      <c r="BF8">
        <f t="shared" si="34"/>
        <v>18.247324718858284</v>
      </c>
      <c r="BG8">
        <f t="shared" si="34"/>
        <v>18.421121648895351</v>
      </c>
      <c r="BH8">
        <f t="shared" si="34"/>
        <v>18.594918578932418</v>
      </c>
      <c r="BI8">
        <f t="shared" si="34"/>
        <v>18.768715508969485</v>
      </c>
      <c r="BJ8">
        <f t="shared" si="34"/>
        <v>18.942512439006553</v>
      </c>
      <c r="BK8">
        <f t="shared" si="34"/>
        <v>19.11630936904362</v>
      </c>
      <c r="BL8">
        <f t="shared" si="34"/>
        <v>19.290106299080687</v>
      </c>
      <c r="BM8">
        <f t="shared" si="34"/>
        <v>19.463903229117754</v>
      </c>
      <c r="BN8">
        <f t="shared" si="34"/>
        <v>19.637700159154821</v>
      </c>
      <c r="BO8">
        <f t="shared" si="34"/>
        <v>19.811497089191889</v>
      </c>
      <c r="BP8">
        <f t="shared" si="34"/>
        <v>19.985294019228956</v>
      </c>
      <c r="BQ8" s="808">
        <f>1.14852629914794*BB8</f>
        <v>20.159090949266044</v>
      </c>
      <c r="BR8">
        <f t="shared" ref="BR8:BU10" si="35">($BV8-$BQ8)/5+BQ8</f>
        <v>20.358701294124806</v>
      </c>
      <c r="BS8">
        <f t="shared" si="35"/>
        <v>20.558311638983568</v>
      </c>
      <c r="BT8">
        <f t="shared" si="35"/>
        <v>20.75792198384233</v>
      </c>
      <c r="BU8">
        <f t="shared" si="35"/>
        <v>20.957532328701092</v>
      </c>
      <c r="BV8" s="811">
        <f>1.04950876638265*BQ8</f>
        <v>21.15714267355985</v>
      </c>
      <c r="BW8" s="1013">
        <f>+BV8*BW$134/BV$134</f>
        <v>21.227390608290499</v>
      </c>
      <c r="BX8" s="1013">
        <f t="shared" ref="BX8:CZ8" si="36">+BW8*BX$134/BW$134</f>
        <v>21.297871786820185</v>
      </c>
      <c r="BY8" s="1013">
        <f t="shared" si="36"/>
        <v>21.368586983586905</v>
      </c>
      <c r="BZ8" s="1013">
        <f t="shared" si="36"/>
        <v>21.439536975600014</v>
      </c>
      <c r="CA8" s="1013">
        <f t="shared" si="36"/>
        <v>21.510722542448768</v>
      </c>
      <c r="CB8" s="1013">
        <f t="shared" si="36"/>
        <v>21.556624880762481</v>
      </c>
      <c r="CC8" s="1013">
        <f t="shared" si="36"/>
        <v>21.602625171372235</v>
      </c>
      <c r="CD8" s="1013">
        <f t="shared" si="36"/>
        <v>21.648723623301212</v>
      </c>
      <c r="CE8" s="1013">
        <f t="shared" si="36"/>
        <v>21.694920446018617</v>
      </c>
      <c r="CF8" s="1013">
        <f t="shared" si="36"/>
        <v>21.741215849440653</v>
      </c>
      <c r="CG8" s="1013">
        <f t="shared" si="36"/>
        <v>21.75624767326148</v>
      </c>
      <c r="CH8" s="1013">
        <f t="shared" si="36"/>
        <v>21.771289890048781</v>
      </c>
      <c r="CI8" s="1013">
        <f t="shared" si="36"/>
        <v>21.78634250698822</v>
      </c>
      <c r="CJ8" s="1013">
        <f t="shared" si="36"/>
        <v>21.801405531270447</v>
      </c>
      <c r="CK8" s="1013">
        <f t="shared" si="36"/>
        <v>21.816478970091065</v>
      </c>
      <c r="CL8" s="1013">
        <f t="shared" si="36"/>
        <v>21.821588196736581</v>
      </c>
      <c r="CM8" s="1013">
        <f t="shared" si="36"/>
        <v>21.826698619917845</v>
      </c>
      <c r="CN8" s="1013">
        <f t="shared" si="36"/>
        <v>21.831810239915068</v>
      </c>
      <c r="CO8" s="1013">
        <f t="shared" si="36"/>
        <v>21.836923057008537</v>
      </c>
      <c r="CP8" s="1013">
        <f t="shared" si="36"/>
        <v>21.8420370714786</v>
      </c>
      <c r="CQ8" s="1013">
        <f t="shared" si="36"/>
        <v>21.849787851414753</v>
      </c>
      <c r="CR8" s="1013">
        <f t="shared" si="36"/>
        <v>21.857541381762392</v>
      </c>
      <c r="CS8" s="1013">
        <f t="shared" si="36"/>
        <v>21.865297663497515</v>
      </c>
      <c r="CT8" s="1013">
        <f t="shared" si="36"/>
        <v>21.873056697596471</v>
      </c>
      <c r="CU8" s="1013">
        <f t="shared" si="36"/>
        <v>21.880818485035956</v>
      </c>
      <c r="CV8" s="1013">
        <f t="shared" si="36"/>
        <v>21.89276390876655</v>
      </c>
      <c r="CW8" s="1013">
        <f t="shared" si="36"/>
        <v>21.904715853877878</v>
      </c>
      <c r="CX8" s="1013">
        <f t="shared" si="36"/>
        <v>21.916674323930163</v>
      </c>
      <c r="CY8" s="1013">
        <f t="shared" si="36"/>
        <v>21.928639322485584</v>
      </c>
      <c r="CZ8" s="1013">
        <f t="shared" si="36"/>
        <v>21.940610853108243</v>
      </c>
    </row>
    <row r="9" spans="1:104" x14ac:dyDescent="0.25">
      <c r="A9" s="693" t="str">
        <f>'HyARC Physical Property Data'!A72</f>
        <v>Industrial Natural Gas</v>
      </c>
      <c r="B9">
        <v>2007</v>
      </c>
      <c r="C9" s="692">
        <f t="shared" ref="C9:C18" si="37">VLOOKUP(ref_year,DeflatorTable,2,FALSE)/VLOOKUP(B9,DeflatorTable,2,FALSE)</f>
        <v>1.1413971588333081</v>
      </c>
      <c r="D9" s="976" t="str">
        <f>'HyARC Physical Property Data'!H72</f>
        <v>mmBtu</v>
      </c>
      <c r="E9" s="692" t="s">
        <v>1031</v>
      </c>
      <c r="F9">
        <f>'HyARC Physical Property Data'!$E$6</f>
        <v>47.141269049911173</v>
      </c>
      <c r="G9">
        <f>'HyARC Physical Property Data'!$I$6</f>
        <v>52.224661236371581</v>
      </c>
      <c r="H9">
        <f>((7.95407009124756/(mmBTU_to_GJ))*($C$9))*($G$9/$F$9)</f>
        <v>9.5334063155208515</v>
      </c>
      <c r="I9">
        <f>((7.95407009124756/(mmBTU_to_GJ))*($C$9))*($G$9/$F$9)</f>
        <v>9.5334063155208515</v>
      </c>
      <c r="J9">
        <f>((7.95407009124756/(mmBTU_to_GJ))*($C$9))*($G$9/$F$9)</f>
        <v>9.5334063155208515</v>
      </c>
      <c r="K9">
        <f>((7.51525163650513/(mmBTU_to_GJ))*($C$9))*($G$9/$F$9)</f>
        <v>9.0074573887680014</v>
      </c>
      <c r="L9">
        <f>((8.80127239227294/(mmBTU_to_GJ))*($C$9))*($G$9/$F$9)</f>
        <v>10.54882655628621</v>
      </c>
      <c r="M9">
        <f>((4.84856796264648/(mmBTU_to_GJ))*($C$9))*($G$9/$F$9)</f>
        <v>5.8112850284270117</v>
      </c>
      <c r="N9">
        <f>((5.49891996383666/(mmBTU_to_GJ))*($C$9))*($G$9/$F$9)</f>
        <v>6.5907689661258342</v>
      </c>
      <c r="O9">
        <f>((5.82616424560547/(mmBTU_to_GJ))*($C$9))*($G$9/$F$9)</f>
        <v>6.9829898878355561</v>
      </c>
      <c r="P9">
        <f>((5.87778615951538/(mmBTU_to_GJ))*($C$9))*($G$9/$F$9)</f>
        <v>7.0448616936459612</v>
      </c>
      <c r="Q9">
        <f>((5.95383930206299/(mmBTU_to_GJ))*($C$9))*($G$9/$F$9)</f>
        <v>7.1360157193411098</v>
      </c>
      <c r="R9">
        <f>((6.10985708236694/(mmBTU_to_GJ))*($C$9))*($G$9/$F$9)</f>
        <v>7.3230119206594617</v>
      </c>
      <c r="S9">
        <f>((6.32948446273804/(mmBTU_to_GJ))*($C$9))*($G$9/$F$9)</f>
        <v>7.5862478528390263</v>
      </c>
      <c r="T9">
        <f>((6.51258134841919/(mmBTU_to_GJ))*($C$9))*($G$9/$F$9)</f>
        <v>7.8056999052198099</v>
      </c>
      <c r="U9">
        <f>((6.70273017883301/(mmBTU_to_GJ))*($C$9))*($G$9/$F$9)</f>
        <v>8.0336041152607454</v>
      </c>
      <c r="V9">
        <f>((6.89887094497681/(mmBTU_to_GJ))*($C$9))*($G$9/$F$9)</f>
        <v>8.2686900017610387</v>
      </c>
      <c r="W9">
        <f>((7.15282821655273/(mmBTU_to_GJ))*($C$9))*($G$9/$F$9)</f>
        <v>8.5730722650476565</v>
      </c>
      <c r="X9">
        <f>((7.46860218048096/(mmBTU_to_GJ))*($C$9))*($G$9/$F$9)</f>
        <v>8.9515453571194765</v>
      </c>
      <c r="Y9">
        <f>((7.67867755889893/(mmBTU_to_GJ))*($C$9))*($G$9/$F$9)</f>
        <v>9.2033326705791669</v>
      </c>
      <c r="Z9">
        <f>((7.75380706787109/(mmBTU_to_GJ))*($C$9))*($G$9/$F$9)</f>
        <v>9.2933796687952501</v>
      </c>
      <c r="AA9">
        <f>((7.55847835540771/(mmBTU_to_GJ))*($C$9))*($G$9/$F$9)</f>
        <v>9.0592670749107693</v>
      </c>
      <c r="AB9">
        <f>((7.54617786407471/(mmBTU_to_GJ))*($C$9))*($G$9/$F$9)</f>
        <v>9.0445242350297033</v>
      </c>
      <c r="AC9">
        <f>((7.45927095413208/(mmBTU_to_GJ))*($C$9))*($G$9/$F$9)</f>
        <v>8.9403613505435402</v>
      </c>
      <c r="AD9">
        <f>((7.60022306442261/(mmBTU_to_GJ))*($C$9))*($G$9/$F$9)</f>
        <v>9.109300487741784</v>
      </c>
      <c r="AE9">
        <f>((7.85960483551025/(mmBTU_to_GJ))*($C$9))*($G$9/$F$9)</f>
        <v>9.4201843228413633</v>
      </c>
      <c r="AF9">
        <f>((8.19417572021484/(mmBTU_to_GJ))*($C$9))*($G$9/$F$9)</f>
        <v>9.8211865957207394</v>
      </c>
      <c r="AG9">
        <f>((8.42161273956299/(mmBTU_to_GJ))*($C$9))*($G$9/$F$9)</f>
        <v>10.09378282529417</v>
      </c>
      <c r="AH9">
        <f>((8.69355010986328/(mmBTU_to_GJ))*($C$9))*($G$9/$F$9)</f>
        <v>10.419715261607452</v>
      </c>
      <c r="AI9">
        <f>($BB9-$AH9)/20+AH9</f>
        <v>10.508172902024802</v>
      </c>
      <c r="AJ9">
        <f t="shared" si="30"/>
        <v>10.596630542442151</v>
      </c>
      <c r="AK9">
        <f t="shared" si="30"/>
        <v>10.6850881828595</v>
      </c>
      <c r="AL9">
        <f t="shared" si="30"/>
        <v>10.77354582327685</v>
      </c>
      <c r="AM9">
        <f t="shared" si="30"/>
        <v>10.862003463694199</v>
      </c>
      <c r="AN9">
        <f t="shared" si="30"/>
        <v>10.950461104111548</v>
      </c>
      <c r="AO9">
        <f t="shared" si="30"/>
        <v>11.038918744528898</v>
      </c>
      <c r="AP9">
        <f t="shared" si="30"/>
        <v>11.127376384946247</v>
      </c>
      <c r="AQ9">
        <f t="shared" si="30"/>
        <v>11.215834025363597</v>
      </c>
      <c r="AR9">
        <f t="shared" si="30"/>
        <v>11.304291665780946</v>
      </c>
      <c r="AS9">
        <f t="shared" si="30"/>
        <v>11.392749306198295</v>
      </c>
      <c r="AT9">
        <f t="shared" si="30"/>
        <v>11.481206946615645</v>
      </c>
      <c r="AU9">
        <f t="shared" si="30"/>
        <v>11.569664587032994</v>
      </c>
      <c r="AV9">
        <f t="shared" si="30"/>
        <v>11.658122227450344</v>
      </c>
      <c r="AW9">
        <f t="shared" si="30"/>
        <v>11.746579867867693</v>
      </c>
      <c r="AX9">
        <f t="shared" si="30"/>
        <v>11.835037508285042</v>
      </c>
      <c r="AY9">
        <f t="shared" si="30"/>
        <v>11.923495148702392</v>
      </c>
      <c r="AZ9">
        <f t="shared" si="31"/>
        <v>12.011952789119741</v>
      </c>
      <c r="BA9">
        <f t="shared" si="31"/>
        <v>12.10041042953709</v>
      </c>
      <c r="BB9" s="808">
        <f>1.16978897829057*AH9</f>
        <v>12.18886806995444</v>
      </c>
      <c r="BC9">
        <f t="shared" si="34"/>
        <v>12.309559234303295</v>
      </c>
      <c r="BD9">
        <f t="shared" si="34"/>
        <v>12.43025039865215</v>
      </c>
      <c r="BE9">
        <f t="shared" si="34"/>
        <v>12.550941563001006</v>
      </c>
      <c r="BF9">
        <f t="shared" si="34"/>
        <v>12.671632727349861</v>
      </c>
      <c r="BG9">
        <f t="shared" si="34"/>
        <v>12.792323891698716</v>
      </c>
      <c r="BH9">
        <f t="shared" si="34"/>
        <v>12.913015056047572</v>
      </c>
      <c r="BI9">
        <f t="shared" si="34"/>
        <v>13.033706220396427</v>
      </c>
      <c r="BJ9">
        <f t="shared" si="34"/>
        <v>13.154397384745282</v>
      </c>
      <c r="BK9">
        <f t="shared" si="34"/>
        <v>13.275088549094137</v>
      </c>
      <c r="BL9">
        <f t="shared" si="34"/>
        <v>13.395779713442993</v>
      </c>
      <c r="BM9">
        <f t="shared" si="34"/>
        <v>13.516470877791848</v>
      </c>
      <c r="BN9">
        <f t="shared" si="34"/>
        <v>13.637162042140703</v>
      </c>
      <c r="BO9">
        <f t="shared" si="34"/>
        <v>13.757853206489559</v>
      </c>
      <c r="BP9">
        <f t="shared" si="34"/>
        <v>13.878544370838414</v>
      </c>
      <c r="BQ9" s="808">
        <f>1.14852629914794*BB9</f>
        <v>13.999235535187266</v>
      </c>
      <c r="BR9">
        <f t="shared" si="35"/>
        <v>14.137852511516721</v>
      </c>
      <c r="BS9">
        <f t="shared" si="35"/>
        <v>14.276469487846176</v>
      </c>
      <c r="BT9">
        <f t="shared" si="35"/>
        <v>14.415086464175632</v>
      </c>
      <c r="BU9">
        <f t="shared" si="35"/>
        <v>14.553703440505087</v>
      </c>
      <c r="BV9" s="811">
        <f>1.04950876638265*BQ9</f>
        <v>14.692320416834542</v>
      </c>
      <c r="BW9" s="1013">
        <f>+BV9*BW$135/BV$135</f>
        <v>14.741103240754025</v>
      </c>
      <c r="BX9" s="1013">
        <f t="shared" ref="BX9:CZ9" si="38">+BW9*BX$135/BW$135</f>
        <v>14.79004803799304</v>
      </c>
      <c r="BY9" s="1013">
        <f t="shared" si="38"/>
        <v>14.839155346350635</v>
      </c>
      <c r="BZ9" s="1013">
        <f t="shared" si="38"/>
        <v>14.888425705411509</v>
      </c>
      <c r="CA9" s="1013">
        <f t="shared" si="38"/>
        <v>14.937859656551939</v>
      </c>
      <c r="CB9" s="1013">
        <f t="shared" si="38"/>
        <v>14.969735977130417</v>
      </c>
      <c r="CC9" s="1013">
        <f t="shared" si="38"/>
        <v>15.001680319489591</v>
      </c>
      <c r="CD9" s="1013">
        <f t="shared" si="38"/>
        <v>15.033692828783058</v>
      </c>
      <c r="CE9" s="1013">
        <f t="shared" si="38"/>
        <v>15.065773650474167</v>
      </c>
      <c r="CF9" s="1013">
        <f t="shared" si="38"/>
        <v>15.09792293033667</v>
      </c>
      <c r="CG9" s="1013">
        <f t="shared" si="38"/>
        <v>15.10836159757225</v>
      </c>
      <c r="CH9" s="1013">
        <f t="shared" si="38"/>
        <v>15.118807482076999</v>
      </c>
      <c r="CI9" s="1013">
        <f t="shared" si="38"/>
        <v>15.129260588840916</v>
      </c>
      <c r="CJ9" s="1013">
        <f t="shared" si="38"/>
        <v>15.139720922857455</v>
      </c>
      <c r="CK9" s="1013">
        <f t="shared" si="38"/>
        <v>15.150188489123522</v>
      </c>
      <c r="CL9" s="1013">
        <f t="shared" si="38"/>
        <v>15.153736529429171</v>
      </c>
      <c r="CM9" s="1013">
        <f t="shared" si="38"/>
        <v>15.157285400654516</v>
      </c>
      <c r="CN9" s="1013">
        <f t="shared" si="38"/>
        <v>15.160835102994151</v>
      </c>
      <c r="CO9" s="1013">
        <f t="shared" si="38"/>
        <v>15.164385636642713</v>
      </c>
      <c r="CP9" s="1013">
        <f t="shared" si="38"/>
        <v>15.167937001794892</v>
      </c>
      <c r="CQ9" s="1013">
        <f t="shared" si="38"/>
        <v>15.173319436656698</v>
      </c>
      <c r="CR9" s="1013">
        <f t="shared" si="38"/>
        <v>15.178703781508307</v>
      </c>
      <c r="CS9" s="1013">
        <f t="shared" si="38"/>
        <v>15.184090037027495</v>
      </c>
      <c r="CT9" s="1013">
        <f t="shared" si="38"/>
        <v>15.189478203892271</v>
      </c>
      <c r="CU9" s="1013">
        <f t="shared" si="38"/>
        <v>15.194868282780888</v>
      </c>
      <c r="CV9" s="1013">
        <f t="shared" si="38"/>
        <v>15.203163637010553</v>
      </c>
      <c r="CW9" s="1013">
        <f t="shared" si="38"/>
        <v>15.211463519933757</v>
      </c>
      <c r="CX9" s="1013">
        <f t="shared" si="38"/>
        <v>15.219767934022853</v>
      </c>
      <c r="CY9" s="1013">
        <f t="shared" si="38"/>
        <v>15.228076881751546</v>
      </c>
      <c r="CZ9" s="1013">
        <f t="shared" si="38"/>
        <v>15.236390365594895</v>
      </c>
    </row>
    <row r="10" spans="1:104" x14ac:dyDescent="0.25">
      <c r="A10" s="693" t="str">
        <f>'HyARC Physical Property Data'!A74</f>
        <v>Electric Utility Natural Gas</v>
      </c>
      <c r="B10">
        <v>2007</v>
      </c>
      <c r="C10" s="692">
        <f t="shared" si="37"/>
        <v>1.1413971588333081</v>
      </c>
      <c r="D10" s="976" t="str">
        <f>'HyARC Physical Property Data'!H74</f>
        <v>mmBtu</v>
      </c>
      <c r="E10" s="692" t="s">
        <v>1031</v>
      </c>
      <c r="F10">
        <f>'HyARC Physical Property Data'!$E$6</f>
        <v>47.141269049911173</v>
      </c>
      <c r="G10">
        <f>'HyARC Physical Property Data'!$I$6</f>
        <v>52.224661236371581</v>
      </c>
      <c r="H10">
        <f>((7.05463790893555/(mmBTU_to_GJ))*($C$10))*($G$10/$F$10)</f>
        <v>8.4553855853953603</v>
      </c>
      <c r="I10">
        <f>((7.05463790893555/(mmBTU_to_GJ))*($C$10))*($G$10/$F$10)</f>
        <v>8.4553855853953603</v>
      </c>
      <c r="J10">
        <f>((7.05463790893555/(mmBTU_to_GJ))*($C$10))*($G$10/$F$10)</f>
        <v>8.4553855853953603</v>
      </c>
      <c r="K10">
        <f>((7.01915979385375/(mmBTU_to_GJ))*($C$10))*($G$10/$F$10)</f>
        <v>8.4128630425332123</v>
      </c>
      <c r="L10">
        <f>((8.87161254882813/(mmBTU_to_GJ))*($C$10))*($G$10/$F$10)</f>
        <v>10.63313324268012</v>
      </c>
      <c r="M10">
        <f>((4.55562210083008/(mmBTU_to_GJ))*($C$10))*($G$10/$F$10)</f>
        <v>5.4601727177347454</v>
      </c>
      <c r="N10">
        <f>((5.12931346893311/(mmBTU_to_GJ))*($C$10))*($G$10/$F$10)</f>
        <v>6.1477745177052308</v>
      </c>
      <c r="O10">
        <f>((5.45354604721069/(mmBTU_to_GJ))*($C$10))*($G$10/$F$10)</f>
        <v>6.5363857411404362</v>
      </c>
      <c r="P10">
        <f>((5.51876354217529/(mmBTU_to_GJ))*($C$10))*($G$10/$F$10)</f>
        <v>6.6145526256719327</v>
      </c>
      <c r="Q10">
        <f>((5.53977298736572/(mmBTU_to_GJ))*($C$10))*($G$10/$F$10)</f>
        <v>6.6397336430839395</v>
      </c>
      <c r="R10">
        <f>((5.68350362777709/(mmBTU_to_GJ))*($C$10))*($G$10/$F$10)</f>
        <v>6.8120030069834847</v>
      </c>
      <c r="S10">
        <f>((5.8920464515686/(mmBTU_to_GJ))*($C$10))*($G$10/$F$10)</f>
        <v>7.0619534663813974</v>
      </c>
      <c r="T10">
        <f>((6.08193254470825/(mmBTU_to_GJ))*($C$10))*($G$10/$F$10)</f>
        <v>7.2895427708255562</v>
      </c>
      <c r="U10">
        <f>((6.26939964294434/(mmBTU_to_GJ))*($C$10))*($G$10/$F$10)</f>
        <v>7.5142327720166309</v>
      </c>
      <c r="V10">
        <f>((6.47751331329346/(mmBTU_to_GJ))*($C$10))*($G$10/$F$10)</f>
        <v>7.7636688665559168</v>
      </c>
      <c r="W10">
        <f>((6.73541975021362/(mmBTU_to_GJ))*($C$10))*($G$10/$F$10)</f>
        <v>8.0727844295748614</v>
      </c>
      <c r="X10">
        <f>((7.02784395217896/(mmBTU_to_GJ))*($C$10))*($G$10/$F$10)</f>
        <v>8.4232715012056651</v>
      </c>
      <c r="Y10">
        <f>((7.25390911102295/(mmBTU_to_GJ))*($C$10))*($G$10/$F$10)</f>
        <v>8.6942234777810281</v>
      </c>
      <c r="Z10">
        <f>((7.3283839225769/(mmBTU_to_GJ))*($C$10))*($G$10/$F$10)</f>
        <v>8.7834857838294642</v>
      </c>
      <c r="AA10">
        <f>((7.15062761306763/(mmBTU_to_GJ))*($C$10))*($G$10/$F$10)</f>
        <v>8.5704347163559618</v>
      </c>
      <c r="AB10">
        <f>((7.19241189956665/(mmBTU_to_GJ))*($C$10))*($G$10/$F$10)</f>
        <v>8.6205155650572607</v>
      </c>
      <c r="AC10">
        <f>((7.13988399505615/(mmBTU_to_GJ))*($C$10))*($G$10/$F$10)</f>
        <v>8.5575578778786525</v>
      </c>
      <c r="AD10">
        <f>((7.28062534332275/(mmBTU_to_GJ))*($C$10))*($G$10/$F$10)</f>
        <v>8.7262444047796599</v>
      </c>
      <c r="AE10">
        <f>((7.5354790687561/(mmBTU_to_GJ))*($C$10))*($G$10/$F$10)</f>
        <v>9.0317011191042926</v>
      </c>
      <c r="AF10">
        <f>((7.86007928848267/(mmBTU_to_GJ))*($C$10))*($G$10/$F$10)</f>
        <v>9.4207529817684019</v>
      </c>
      <c r="AG10">
        <f>((8.07421207427979/(mmBTU_to_GJ))*($C$10))*($G$10/$F$10)</f>
        <v>9.6774033292080919</v>
      </c>
      <c r="AH10">
        <f>((8.33951759338379/(mmBTU_to_GJ))*($C$10))*($G$10/$F$10)</f>
        <v>9.9953871139061636</v>
      </c>
      <c r="AI10">
        <f>($BB10-$AH10)/20+AH10</f>
        <v>10.080242442190606</v>
      </c>
      <c r="AJ10">
        <f t="shared" si="30"/>
        <v>10.165097770475048</v>
      </c>
      <c r="AK10">
        <f t="shared" si="30"/>
        <v>10.249953098759491</v>
      </c>
      <c r="AL10">
        <f t="shared" si="30"/>
        <v>10.334808427043933</v>
      </c>
      <c r="AM10">
        <f t="shared" si="30"/>
        <v>10.419663755328376</v>
      </c>
      <c r="AN10">
        <f t="shared" si="30"/>
        <v>10.504519083612818</v>
      </c>
      <c r="AO10">
        <f t="shared" si="30"/>
        <v>10.589374411897261</v>
      </c>
      <c r="AP10">
        <f t="shared" si="30"/>
        <v>10.674229740181703</v>
      </c>
      <c r="AQ10">
        <f t="shared" si="30"/>
        <v>10.759085068466145</v>
      </c>
      <c r="AR10">
        <f t="shared" si="30"/>
        <v>10.843940396750588</v>
      </c>
      <c r="AS10">
        <f t="shared" si="30"/>
        <v>10.92879572503503</v>
      </c>
      <c r="AT10">
        <f t="shared" si="30"/>
        <v>11.013651053319473</v>
      </c>
      <c r="AU10">
        <f t="shared" si="30"/>
        <v>11.098506381603915</v>
      </c>
      <c r="AV10">
        <f t="shared" si="30"/>
        <v>11.183361709888358</v>
      </c>
      <c r="AW10">
        <f t="shared" si="30"/>
        <v>11.2682170381728</v>
      </c>
      <c r="AX10">
        <f t="shared" si="30"/>
        <v>11.353072366457242</v>
      </c>
      <c r="AY10">
        <f t="shared" si="30"/>
        <v>11.437927694741685</v>
      </c>
      <c r="AZ10">
        <f t="shared" si="31"/>
        <v>11.522783023026127</v>
      </c>
      <c r="BA10">
        <f t="shared" si="31"/>
        <v>11.60763835131057</v>
      </c>
      <c r="BB10" s="808">
        <f>1.16978897829057*AH10</f>
        <v>11.692493679595019</v>
      </c>
      <c r="BC10">
        <f t="shared" si="34"/>
        <v>11.808269867197748</v>
      </c>
      <c r="BD10">
        <f t="shared" si="34"/>
        <v>11.924046054800476</v>
      </c>
      <c r="BE10">
        <f t="shared" si="34"/>
        <v>12.039822242403204</v>
      </c>
      <c r="BF10">
        <f t="shared" si="34"/>
        <v>12.155598430005933</v>
      </c>
      <c r="BG10">
        <f t="shared" si="34"/>
        <v>12.271374617608661</v>
      </c>
      <c r="BH10">
        <f t="shared" si="34"/>
        <v>12.387150805211389</v>
      </c>
      <c r="BI10">
        <f t="shared" si="34"/>
        <v>12.502926992814118</v>
      </c>
      <c r="BJ10">
        <f t="shared" si="34"/>
        <v>12.618703180416846</v>
      </c>
      <c r="BK10">
        <f t="shared" si="34"/>
        <v>12.734479368019574</v>
      </c>
      <c r="BL10">
        <f t="shared" si="34"/>
        <v>12.850255555622303</v>
      </c>
      <c r="BM10">
        <f t="shared" si="34"/>
        <v>12.966031743225031</v>
      </c>
      <c r="BN10">
        <f t="shared" si="34"/>
        <v>13.081807930827759</v>
      </c>
      <c r="BO10">
        <f t="shared" si="34"/>
        <v>13.197584118430488</v>
      </c>
      <c r="BP10">
        <f t="shared" si="34"/>
        <v>13.313360306033216</v>
      </c>
      <c r="BQ10" s="808">
        <f>1.14852629914794*BB10</f>
        <v>13.429136493635946</v>
      </c>
      <c r="BR10">
        <f t="shared" si="35"/>
        <v>13.562108489912774</v>
      </c>
      <c r="BS10">
        <f t="shared" si="35"/>
        <v>13.695080486189601</v>
      </c>
      <c r="BT10">
        <f t="shared" si="35"/>
        <v>13.828052482466429</v>
      </c>
      <c r="BU10">
        <f t="shared" si="35"/>
        <v>13.961024478743257</v>
      </c>
      <c r="BV10" s="811">
        <f>1.04950876638265*BQ10</f>
        <v>14.093996475020086</v>
      </c>
      <c r="BW10" s="1013">
        <f>+BV10*BW$136/BV$136</f>
        <v>14.140792687521339</v>
      </c>
      <c r="BX10" s="1013">
        <f t="shared" ref="BX10:CZ10" si="39">+BW10*BX$136/BW$136</f>
        <v>14.187744277208072</v>
      </c>
      <c r="BY10" s="1013">
        <f t="shared" si="39"/>
        <v>14.234851759978229</v>
      </c>
      <c r="BZ10" s="1013">
        <f t="shared" si="39"/>
        <v>14.282115653442684</v>
      </c>
      <c r="CA10" s="1013">
        <f t="shared" si="39"/>
        <v>14.329536476930937</v>
      </c>
      <c r="CB10" s="1013">
        <f t="shared" si="39"/>
        <v>14.360114679496878</v>
      </c>
      <c r="CC10" s="1013">
        <f t="shared" si="39"/>
        <v>14.390758133752827</v>
      </c>
      <c r="CD10" s="1013">
        <f t="shared" si="39"/>
        <v>14.42146697894121</v>
      </c>
      <c r="CE10" s="1013">
        <f t="shared" si="39"/>
        <v>14.452241354601584</v>
      </c>
      <c r="CF10" s="1013">
        <f t="shared" si="39"/>
        <v>14.483081400571274</v>
      </c>
      <c r="CG10" s="1013">
        <f t="shared" si="39"/>
        <v>14.493094967866853</v>
      </c>
      <c r="CH10" s="1013">
        <f t="shared" si="39"/>
        <v>14.503115458518533</v>
      </c>
      <c r="CI10" s="1013">
        <f t="shared" si="39"/>
        <v>14.513142877313106</v>
      </c>
      <c r="CJ10" s="1013">
        <f t="shared" si="39"/>
        <v>14.523177229040675</v>
      </c>
      <c r="CK10" s="1013">
        <f t="shared" si="39"/>
        <v>14.53321851849465</v>
      </c>
      <c r="CL10" s="1013">
        <f t="shared" si="39"/>
        <v>14.536622069883558</v>
      </c>
      <c r="CM10" s="1013">
        <f t="shared" si="39"/>
        <v>14.540026418354136</v>
      </c>
      <c r="CN10" s="1013">
        <f t="shared" si="39"/>
        <v>14.543431564093051</v>
      </c>
      <c r="CO10" s="1013">
        <f t="shared" si="39"/>
        <v>14.546837507287016</v>
      </c>
      <c r="CP10" s="1013">
        <f t="shared" si="39"/>
        <v>14.550244248122791</v>
      </c>
      <c r="CQ10" s="1013">
        <f t="shared" si="39"/>
        <v>14.555407490947415</v>
      </c>
      <c r="CR10" s="1013">
        <f t="shared" si="39"/>
        <v>14.560572565980214</v>
      </c>
      <c r="CS10" s="1013">
        <f t="shared" si="39"/>
        <v>14.565739473871359</v>
      </c>
      <c r="CT10" s="1013">
        <f t="shared" si="39"/>
        <v>14.570908215271251</v>
      </c>
      <c r="CU10" s="1013">
        <f t="shared" si="39"/>
        <v>14.576078790830522</v>
      </c>
      <c r="CV10" s="1013">
        <f t="shared" si="39"/>
        <v>14.584036328507008</v>
      </c>
      <c r="CW10" s="1013">
        <f t="shared" si="39"/>
        <v>14.591998210452399</v>
      </c>
      <c r="CX10" s="1013">
        <f t="shared" si="39"/>
        <v>14.59996443903837</v>
      </c>
      <c r="CY10" s="1013">
        <f t="shared" si="39"/>
        <v>14.607935016637887</v>
      </c>
      <c r="CZ10" s="1013">
        <f t="shared" si="39"/>
        <v>14.615909945625214</v>
      </c>
    </row>
    <row r="11" spans="1:104" x14ac:dyDescent="0.25">
      <c r="A11" s="693" t="str">
        <f>'HyARC Physical Property Data'!A75</f>
        <v>Bio Methane</v>
      </c>
      <c r="B11">
        <v>2007</v>
      </c>
      <c r="C11" s="692">
        <f t="shared" si="37"/>
        <v>1.1413971588333081</v>
      </c>
      <c r="D11" s="976" t="str">
        <f>'HyARC Physical Property Data'!H75</f>
        <v>mmBtu</v>
      </c>
      <c r="E11" s="692" t="s">
        <v>1031</v>
      </c>
      <c r="F11">
        <f>'HyARC Physical Property Data'!$E$6</f>
        <v>47.141269049911173</v>
      </c>
      <c r="G11">
        <f>'HyARC Physical Property Data'!$I$6</f>
        <v>52.224661236371581</v>
      </c>
      <c r="H11">
        <f t="shared" ref="H11:AM11" si="40">13.11*($C$11/mmBTU_to_GJ)</f>
        <v>14.183617774696369</v>
      </c>
      <c r="I11">
        <f t="shared" si="40"/>
        <v>14.183617774696369</v>
      </c>
      <c r="J11">
        <f t="shared" si="40"/>
        <v>14.183617774696369</v>
      </c>
      <c r="K11">
        <f t="shared" si="40"/>
        <v>14.183617774696369</v>
      </c>
      <c r="L11">
        <f t="shared" si="40"/>
        <v>14.183617774696369</v>
      </c>
      <c r="M11">
        <f t="shared" si="40"/>
        <v>14.183617774696369</v>
      </c>
      <c r="N11">
        <f t="shared" si="40"/>
        <v>14.183617774696369</v>
      </c>
      <c r="O11">
        <f t="shared" si="40"/>
        <v>14.183617774696369</v>
      </c>
      <c r="P11">
        <f t="shared" si="40"/>
        <v>14.183617774696369</v>
      </c>
      <c r="Q11">
        <f t="shared" si="40"/>
        <v>14.183617774696369</v>
      </c>
      <c r="R11">
        <f t="shared" si="40"/>
        <v>14.183617774696369</v>
      </c>
      <c r="S11">
        <f t="shared" si="40"/>
        <v>14.183617774696369</v>
      </c>
      <c r="T11">
        <f t="shared" si="40"/>
        <v>14.183617774696369</v>
      </c>
      <c r="U11">
        <f t="shared" si="40"/>
        <v>14.183617774696369</v>
      </c>
      <c r="V11">
        <f t="shared" si="40"/>
        <v>14.183617774696369</v>
      </c>
      <c r="W11">
        <f t="shared" si="40"/>
        <v>14.183617774696369</v>
      </c>
      <c r="X11">
        <f t="shared" si="40"/>
        <v>14.183617774696369</v>
      </c>
      <c r="Y11">
        <f t="shared" si="40"/>
        <v>14.183617774696369</v>
      </c>
      <c r="Z11">
        <f t="shared" si="40"/>
        <v>14.183617774696369</v>
      </c>
      <c r="AA11">
        <f t="shared" si="40"/>
        <v>14.183617774696369</v>
      </c>
      <c r="AB11">
        <f t="shared" si="40"/>
        <v>14.183617774696369</v>
      </c>
      <c r="AC11">
        <f t="shared" si="40"/>
        <v>14.183617774696369</v>
      </c>
      <c r="AD11">
        <f t="shared" si="40"/>
        <v>14.183617774696369</v>
      </c>
      <c r="AE11">
        <f t="shared" si="40"/>
        <v>14.183617774696369</v>
      </c>
      <c r="AF11">
        <f t="shared" si="40"/>
        <v>14.183617774696369</v>
      </c>
      <c r="AG11">
        <f t="shared" si="40"/>
        <v>14.183617774696369</v>
      </c>
      <c r="AH11">
        <f t="shared" si="40"/>
        <v>14.183617774696369</v>
      </c>
      <c r="AI11">
        <f t="shared" si="40"/>
        <v>14.183617774696369</v>
      </c>
      <c r="AJ11">
        <f t="shared" si="40"/>
        <v>14.183617774696369</v>
      </c>
      <c r="AK11">
        <f t="shared" si="40"/>
        <v>14.183617774696369</v>
      </c>
      <c r="AL11">
        <f t="shared" si="40"/>
        <v>14.183617774696369</v>
      </c>
      <c r="AM11">
        <f t="shared" si="40"/>
        <v>14.183617774696369</v>
      </c>
      <c r="AN11">
        <f t="shared" ref="AN11:BV11" si="41">13.11*($C$11/mmBTU_to_GJ)</f>
        <v>14.183617774696369</v>
      </c>
      <c r="AO11">
        <f t="shared" si="41"/>
        <v>14.183617774696369</v>
      </c>
      <c r="AP11">
        <f t="shared" si="41"/>
        <v>14.183617774696369</v>
      </c>
      <c r="AQ11">
        <f t="shared" si="41"/>
        <v>14.183617774696369</v>
      </c>
      <c r="AR11">
        <f t="shared" si="41"/>
        <v>14.183617774696369</v>
      </c>
      <c r="AS11">
        <f t="shared" si="41"/>
        <v>14.183617774696369</v>
      </c>
      <c r="AT11">
        <f t="shared" si="41"/>
        <v>14.183617774696369</v>
      </c>
      <c r="AU11">
        <f t="shared" si="41"/>
        <v>14.183617774696369</v>
      </c>
      <c r="AV11">
        <f t="shared" si="41"/>
        <v>14.183617774696369</v>
      </c>
      <c r="AW11">
        <f t="shared" si="41"/>
        <v>14.183617774696369</v>
      </c>
      <c r="AX11">
        <f t="shared" si="41"/>
        <v>14.183617774696369</v>
      </c>
      <c r="AY11">
        <f t="shared" si="41"/>
        <v>14.183617774696369</v>
      </c>
      <c r="AZ11">
        <f t="shared" si="41"/>
        <v>14.183617774696369</v>
      </c>
      <c r="BA11">
        <f t="shared" si="41"/>
        <v>14.183617774696369</v>
      </c>
      <c r="BB11">
        <f t="shared" si="41"/>
        <v>14.183617774696369</v>
      </c>
      <c r="BC11">
        <f t="shared" si="41"/>
        <v>14.183617774696369</v>
      </c>
      <c r="BD11">
        <f t="shared" si="41"/>
        <v>14.183617774696369</v>
      </c>
      <c r="BE11">
        <f t="shared" si="41"/>
        <v>14.183617774696369</v>
      </c>
      <c r="BF11">
        <f t="shared" si="41"/>
        <v>14.183617774696369</v>
      </c>
      <c r="BG11">
        <f t="shared" si="41"/>
        <v>14.183617774696369</v>
      </c>
      <c r="BH11">
        <f t="shared" si="41"/>
        <v>14.183617774696369</v>
      </c>
      <c r="BI11">
        <f t="shared" si="41"/>
        <v>14.183617774696369</v>
      </c>
      <c r="BJ11">
        <f t="shared" si="41"/>
        <v>14.183617774696369</v>
      </c>
      <c r="BK11">
        <f t="shared" si="41"/>
        <v>14.183617774696369</v>
      </c>
      <c r="BL11">
        <f t="shared" si="41"/>
        <v>14.183617774696369</v>
      </c>
      <c r="BM11">
        <f t="shared" si="41"/>
        <v>14.183617774696369</v>
      </c>
      <c r="BN11">
        <f t="shared" si="41"/>
        <v>14.183617774696369</v>
      </c>
      <c r="BO11">
        <f t="shared" si="41"/>
        <v>14.183617774696369</v>
      </c>
      <c r="BP11">
        <f t="shared" si="41"/>
        <v>14.183617774696369</v>
      </c>
      <c r="BQ11">
        <f t="shared" si="41"/>
        <v>14.183617774696369</v>
      </c>
      <c r="BR11">
        <f t="shared" si="41"/>
        <v>14.183617774696369</v>
      </c>
      <c r="BS11">
        <f t="shared" si="41"/>
        <v>14.183617774696369</v>
      </c>
      <c r="BT11">
        <f t="shared" si="41"/>
        <v>14.183617774696369</v>
      </c>
      <c r="BU11">
        <f t="shared" si="41"/>
        <v>14.183617774696369</v>
      </c>
      <c r="BV11">
        <f t="shared" si="41"/>
        <v>14.183617774696369</v>
      </c>
      <c r="BW11" s="1013">
        <f>+BV11*BW$136/BV$136</f>
        <v>14.230711556264829</v>
      </c>
      <c r="BX11" s="1013">
        <f t="shared" ref="BX11:CZ11" si="42">+BW11*BX$136/BW$136</f>
        <v>14.277961703035571</v>
      </c>
      <c r="BY11" s="1013">
        <f t="shared" si="42"/>
        <v>14.325368734187041</v>
      </c>
      <c r="BZ11" s="1013">
        <f t="shared" si="42"/>
        <v>14.372933170621517</v>
      </c>
      <c r="CA11" s="1013">
        <f t="shared" si="42"/>
        <v>14.420655534970821</v>
      </c>
      <c r="CB11" s="1013">
        <f t="shared" si="42"/>
        <v>14.451428179067991</v>
      </c>
      <c r="CC11" s="1013">
        <f t="shared" si="42"/>
        <v>14.482266489779443</v>
      </c>
      <c r="CD11" s="1013">
        <f t="shared" si="42"/>
        <v>14.51317060723302</v>
      </c>
      <c r="CE11" s="1013">
        <f t="shared" si="42"/>
        <v>14.54414067185559</v>
      </c>
      <c r="CF11" s="1013">
        <f t="shared" si="42"/>
        <v>14.575176824373679</v>
      </c>
      <c r="CG11" s="1013">
        <f t="shared" si="42"/>
        <v>14.585254066221541</v>
      </c>
      <c r="CH11" s="1013">
        <f t="shared" si="42"/>
        <v>14.595338275449933</v>
      </c>
      <c r="CI11" s="1013">
        <f t="shared" si="42"/>
        <v>14.605429456876088</v>
      </c>
      <c r="CJ11" s="1013">
        <f t="shared" si="42"/>
        <v>14.615527615320566</v>
      </c>
      <c r="CK11" s="1013">
        <f t="shared" si="42"/>
        <v>14.625632755607262</v>
      </c>
      <c r="CL11" s="1013">
        <f t="shared" si="42"/>
        <v>14.629057949594106</v>
      </c>
      <c r="CM11" s="1013">
        <f t="shared" si="42"/>
        <v>14.632483945731124</v>
      </c>
      <c r="CN11" s="1013">
        <f t="shared" si="42"/>
        <v>14.635910744206171</v>
      </c>
      <c r="CO11" s="1013">
        <f t="shared" si="42"/>
        <v>14.639338345207147</v>
      </c>
      <c r="CP11" s="1013">
        <f t="shared" si="42"/>
        <v>14.642766748922</v>
      </c>
      <c r="CQ11" s="1013">
        <f t="shared" si="42"/>
        <v>14.647962823919764</v>
      </c>
      <c r="CR11" s="1013">
        <f t="shared" si="42"/>
        <v>14.6531607427764</v>
      </c>
      <c r="CS11" s="1013">
        <f t="shared" si="42"/>
        <v>14.658360506146211</v>
      </c>
      <c r="CT11" s="1013">
        <f t="shared" si="42"/>
        <v>14.663562114683737</v>
      </c>
      <c r="CU11" s="1013">
        <f t="shared" si="42"/>
        <v>14.668765569043746</v>
      </c>
      <c r="CV11" s="1013">
        <f t="shared" si="42"/>
        <v>14.676773707333766</v>
      </c>
      <c r="CW11" s="1013">
        <f t="shared" si="42"/>
        <v>14.68478621751715</v>
      </c>
      <c r="CX11" s="1013">
        <f t="shared" si="42"/>
        <v>14.692803101980653</v>
      </c>
      <c r="CY11" s="1013">
        <f t="shared" si="42"/>
        <v>14.700824363112332</v>
      </c>
      <c r="CZ11" s="1013">
        <f t="shared" si="42"/>
        <v>14.708850003301547</v>
      </c>
    </row>
    <row r="12" spans="1:104" x14ac:dyDescent="0.25">
      <c r="A12" s="763" t="str">
        <f>'HyARC Physical Property Data'!A85</f>
        <v>Woody Biomass</v>
      </c>
      <c r="B12">
        <v>2005</v>
      </c>
      <c r="C12" s="692">
        <f>VLOOKUP(ref_year,DeflatorTable,2,FALSE)/VLOOKUP(B12,DeflatorTable,2,FALSE)</f>
        <v>1.208440716126562</v>
      </c>
      <c r="D12" s="976" t="str">
        <f>+'HyARC Physical Property Data'!$H$85</f>
        <v>kg</v>
      </c>
      <c r="E12" s="709" t="s">
        <v>1025</v>
      </c>
      <c r="F12">
        <f>'HyARC Physical Property Data'!$E$45</f>
        <v>19.551069237418005</v>
      </c>
      <c r="G12">
        <f>'HyARC Physical Property Data'!$I$45</f>
        <v>20.588656379262464</v>
      </c>
      <c r="H12" s="764">
        <f t="shared" ref="H12:O12" si="43">1.27*($C$12)</f>
        <v>1.5347197094807337</v>
      </c>
      <c r="I12" s="764">
        <f t="shared" si="43"/>
        <v>1.5347197094807337</v>
      </c>
      <c r="J12" s="764">
        <f t="shared" si="43"/>
        <v>1.5347197094807337</v>
      </c>
      <c r="K12" s="764">
        <f t="shared" si="43"/>
        <v>1.5347197094807337</v>
      </c>
      <c r="L12" s="764">
        <f t="shared" si="43"/>
        <v>1.5347197094807337</v>
      </c>
      <c r="M12" s="764">
        <f t="shared" si="43"/>
        <v>1.5347197094807337</v>
      </c>
      <c r="N12" s="764">
        <f t="shared" si="43"/>
        <v>1.5347197094807337</v>
      </c>
      <c r="O12" s="764">
        <f t="shared" si="43"/>
        <v>1.5347197094807337</v>
      </c>
      <c r="P12" s="764">
        <f>1.28*($C$12)</f>
        <v>1.5468041166419995</v>
      </c>
      <c r="Q12" s="764">
        <f>1.32*($C$12)</f>
        <v>1.595141745287062</v>
      </c>
      <c r="R12" s="764">
        <f>1.32*($C$12)</f>
        <v>1.595141745287062</v>
      </c>
      <c r="S12" s="764">
        <f>1.34*($C$12)</f>
        <v>1.6193105596095931</v>
      </c>
      <c r="T12" s="764">
        <f>1.34*($C$12)</f>
        <v>1.6193105596095931</v>
      </c>
      <c r="U12" s="764">
        <f>1.36*($C$12)</f>
        <v>1.6434793739321245</v>
      </c>
      <c r="V12" s="764">
        <f>1.36*($C$12)</f>
        <v>1.6434793739321245</v>
      </c>
      <c r="W12" s="764">
        <f>1.38*($C$12)</f>
        <v>1.6676481882546554</v>
      </c>
      <c r="X12" s="764">
        <f>1.4*($C$12)</f>
        <v>1.6918170025771868</v>
      </c>
      <c r="Y12" s="764">
        <f>1.46*($C$12)</f>
        <v>1.7643234455447805</v>
      </c>
      <c r="Z12" s="764">
        <f>1.48*($C$12)</f>
        <v>1.7884922598673119</v>
      </c>
      <c r="AA12" s="764">
        <f>1.48*($C$12)</f>
        <v>1.7884922598673119</v>
      </c>
      <c r="AB12" s="764">
        <f>1.51*($C$12)</f>
        <v>1.8247454813511086</v>
      </c>
      <c r="AC12" s="764">
        <f>1.52*($C$12)</f>
        <v>1.8368298885123742</v>
      </c>
      <c r="AD12" s="764">
        <f>1.62*($C$12)</f>
        <v>1.9576739601250306</v>
      </c>
      <c r="AE12" s="764">
        <f>1.72*($C$12)</f>
        <v>2.0785180317376866</v>
      </c>
      <c r="AF12" s="764">
        <f>1.82*($C$12)</f>
        <v>2.1993621033503428</v>
      </c>
      <c r="AG12" s="764">
        <f>1.91*($C$12)</f>
        <v>2.3081217678017332</v>
      </c>
      <c r="AH12" s="764">
        <f>2.01*($C$12)</f>
        <v>2.4289658394143894</v>
      </c>
      <c r="AI12" s="764">
        <f>2.11*($C$12)</f>
        <v>2.5498099110270456</v>
      </c>
      <c r="AJ12" s="764">
        <f>2.2*($C$12)</f>
        <v>2.6585695754784364</v>
      </c>
      <c r="AK12" s="764">
        <f>2.3*($C$12)</f>
        <v>2.7794136470910926</v>
      </c>
      <c r="AL12" s="764">
        <f>2.4*($C$12)</f>
        <v>2.9002577187037488</v>
      </c>
      <c r="AM12" s="764">
        <f>2.5*($C$12)</f>
        <v>3.021101790316405</v>
      </c>
      <c r="AN12" s="764">
        <f>2.57*($C$12)</f>
        <v>3.1056926404452643</v>
      </c>
      <c r="AO12" s="764">
        <f>2.64*($C$12)</f>
        <v>3.190283490574124</v>
      </c>
      <c r="AP12" s="764">
        <f>2.71*($C$12)</f>
        <v>3.2748743407029832</v>
      </c>
      <c r="AQ12" s="764">
        <f>2.78*($C$12)</f>
        <v>3.359465190831842</v>
      </c>
      <c r="AR12" s="764">
        <f>2.85*($C$12)</f>
        <v>3.4440560409607017</v>
      </c>
      <c r="AS12" s="764">
        <f>2.92*($C$12)</f>
        <v>3.528646891089561</v>
      </c>
      <c r="AT12" s="764">
        <f>2.99*($C$12)</f>
        <v>3.6132377412184207</v>
      </c>
      <c r="AU12" s="764">
        <f>3.07*($C$12)</f>
        <v>3.7099129985085453</v>
      </c>
      <c r="AV12" s="764">
        <f>3.14*($C$12)</f>
        <v>3.794503848637405</v>
      </c>
      <c r="AW12" s="764">
        <f>3.21*($C$12)</f>
        <v>3.8790946987662642</v>
      </c>
      <c r="AX12" s="764">
        <f>3.28*($C$12)</f>
        <v>3.963685548895123</v>
      </c>
      <c r="AY12" s="764">
        <f>3.35*($C$12)</f>
        <v>4.0482763990239832</v>
      </c>
      <c r="AZ12" s="764">
        <f>3.42*($C$12)</f>
        <v>4.1328672491528424</v>
      </c>
      <c r="BA12" s="764">
        <f>3.49*($C$12)</f>
        <v>4.2174580992817017</v>
      </c>
      <c r="BB12" s="764">
        <f>3.56*($C$12)</f>
        <v>4.3020489494105609</v>
      </c>
      <c r="BC12" s="764">
        <f>3.64*($C$12)</f>
        <v>4.3987242067006855</v>
      </c>
      <c r="BD12" s="764">
        <f>3.71*($C$12)</f>
        <v>4.4833150568295448</v>
      </c>
      <c r="BE12" s="764">
        <f>3.78*($C$12)</f>
        <v>4.567905906958404</v>
      </c>
      <c r="BF12" s="764">
        <f>3.85*($C$12)</f>
        <v>4.6524967570872642</v>
      </c>
      <c r="BG12" s="764">
        <f>3.92*($C$12)</f>
        <v>4.7370876072161234</v>
      </c>
      <c r="BH12" s="764">
        <f>3.99*($C$12)</f>
        <v>4.8216784573449827</v>
      </c>
      <c r="BI12" s="764">
        <f>4.06*($C$12)</f>
        <v>4.906269307473841</v>
      </c>
      <c r="BJ12" s="764">
        <f>4.14*($C$12)</f>
        <v>5.0029445647639665</v>
      </c>
      <c r="BK12" s="764">
        <f>4.21*($C$12)</f>
        <v>5.0875354148928258</v>
      </c>
      <c r="BL12" s="764">
        <f>4.28*($C$12)</f>
        <v>5.1721262650216859</v>
      </c>
      <c r="BM12" s="764">
        <f>4.35*($C$12)</f>
        <v>5.2567171151505443</v>
      </c>
      <c r="BN12" s="764">
        <f>4.42*($C$12)</f>
        <v>5.3413079652794044</v>
      </c>
      <c r="BO12" s="764">
        <f>4.49*($C$12)</f>
        <v>5.4258988154082637</v>
      </c>
      <c r="BP12" s="764">
        <f>4.56*($C$12)</f>
        <v>5.5104896655371221</v>
      </c>
      <c r="BQ12" s="764">
        <f>4.63*($C$12)</f>
        <v>5.5950805156659822</v>
      </c>
      <c r="BR12" s="764">
        <f>4.71*($C$12)</f>
        <v>5.6917557729561068</v>
      </c>
      <c r="BS12" s="764">
        <f>4.78*($C$12)</f>
        <v>5.7763466230849669</v>
      </c>
      <c r="BT12" s="764">
        <f>4.85*($C$12)</f>
        <v>5.8609374732138253</v>
      </c>
      <c r="BU12" s="764">
        <f>4.92*($C$12)</f>
        <v>5.9455283233426854</v>
      </c>
      <c r="BV12" s="765">
        <f>4.99*($C$12)</f>
        <v>6.0301191734715447</v>
      </c>
      <c r="BW12" s="1013">
        <f>+BV12*BW$137/BV$137</f>
        <v>6.0446132076616896</v>
      </c>
      <c r="BX12" s="1013">
        <f t="shared" ref="BX12:CZ12" si="44">+BW12*BX$137/BW$137</f>
        <v>6.0591420798079438</v>
      </c>
      <c r="BY12" s="1013">
        <f t="shared" si="44"/>
        <v>6.0737058736470511</v>
      </c>
      <c r="BZ12" s="1013">
        <f t="shared" si="44"/>
        <v>6.0883046731170198</v>
      </c>
      <c r="CA12" s="1013">
        <f t="shared" si="44"/>
        <v>6.1029385623576156</v>
      </c>
      <c r="CB12" s="1013">
        <f t="shared" si="44"/>
        <v>6.1157485681116217</v>
      </c>
      <c r="CC12" s="1013">
        <f t="shared" si="44"/>
        <v>6.1285854619369617</v>
      </c>
      <c r="CD12" s="1013">
        <f t="shared" si="44"/>
        <v>6.1414493002714252</v>
      </c>
      <c r="CE12" s="1013">
        <f t="shared" si="44"/>
        <v>6.1543401396712598</v>
      </c>
      <c r="CF12" s="1013">
        <f t="shared" si="44"/>
        <v>6.167258036811428</v>
      </c>
      <c r="CG12" s="1013">
        <f t="shared" si="44"/>
        <v>6.183149548139812</v>
      </c>
      <c r="CH12" s="1013">
        <f t="shared" si="44"/>
        <v>6.1990820079952069</v>
      </c>
      <c r="CI12" s="1013">
        <f t="shared" si="44"/>
        <v>6.215055521891923</v>
      </c>
      <c r="CJ12" s="1013">
        <f t="shared" si="44"/>
        <v>6.2310701956161552</v>
      </c>
      <c r="CK12" s="1013">
        <f t="shared" si="44"/>
        <v>6.2471261352266838</v>
      </c>
      <c r="CL12" s="1013">
        <f t="shared" si="44"/>
        <v>6.2604975997429575</v>
      </c>
      <c r="CM12" s="1013">
        <f t="shared" si="44"/>
        <v>6.2738976847896071</v>
      </c>
      <c r="CN12" s="1013">
        <f t="shared" si="44"/>
        <v>6.2873264516265444</v>
      </c>
      <c r="CO12" s="1013">
        <f t="shared" si="44"/>
        <v>6.3007839616448056</v>
      </c>
      <c r="CP12" s="1013">
        <f t="shared" si="44"/>
        <v>6.3142702763668277</v>
      </c>
      <c r="CQ12" s="1013">
        <f t="shared" si="44"/>
        <v>6.326614172551615</v>
      </c>
      <c r="CR12" s="1013">
        <f t="shared" si="44"/>
        <v>6.3389822000716718</v>
      </c>
      <c r="CS12" s="1013">
        <f t="shared" si="44"/>
        <v>6.3513744061018391</v>
      </c>
      <c r="CT12" s="1013">
        <f t="shared" si="44"/>
        <v>6.3637908379091801</v>
      </c>
      <c r="CU12" s="1013">
        <f t="shared" si="44"/>
        <v>6.376231542853164</v>
      </c>
      <c r="CV12" s="1013">
        <f t="shared" si="44"/>
        <v>6.3909193633613004</v>
      </c>
      <c r="CW12" s="1013">
        <f t="shared" si="44"/>
        <v>6.4056410176582252</v>
      </c>
      <c r="CX12" s="1013">
        <f t="shared" si="44"/>
        <v>6.4203965836809767</v>
      </c>
      <c r="CY12" s="1013">
        <f t="shared" si="44"/>
        <v>6.4351861395461265</v>
      </c>
      <c r="CZ12" s="1013">
        <f t="shared" si="44"/>
        <v>6.450009763550189</v>
      </c>
    </row>
    <row r="13" spans="1:104" x14ac:dyDescent="0.25">
      <c r="A13" s="763" t="str">
        <f>'HyARC Physical Property Data'!A86</f>
        <v>Woody Biomass B2A</v>
      </c>
      <c r="B13">
        <v>2007</v>
      </c>
      <c r="C13" s="692">
        <f>VLOOKUP(ref_year,DeflatorTable,2,FALSE)/VLOOKUP(B13,DeflatorTable,2,FALSE)</f>
        <v>1.1413971588333081</v>
      </c>
      <c r="D13" s="976" t="str">
        <f>+'HyARC Physical Property Data'!$H$86</f>
        <v>kg</v>
      </c>
      <c r="E13" s="709" t="s">
        <v>1025</v>
      </c>
      <c r="F13">
        <f>'HyARC Physical Property Data'!$E$45</f>
        <v>19.551069237418005</v>
      </c>
      <c r="G13">
        <f>'HyARC Physical Property Data'!$I$45</f>
        <v>20.588656379262464</v>
      </c>
      <c r="H13" s="764">
        <f>3.80872262322035*($C$13)</f>
        <v>4.3472651809278515</v>
      </c>
      <c r="I13" s="764">
        <f>3.80872262322035*($C$13)</f>
        <v>4.3472651809278515</v>
      </c>
      <c r="J13" s="764">
        <f>3.80872262322035*($C$13)</f>
        <v>4.3472651809278515</v>
      </c>
      <c r="K13" s="764">
        <f>3.80872262322035*($C$13)</f>
        <v>4.3472651809278515</v>
      </c>
      <c r="L13" s="764">
        <f>3.58036841709093*($C$13)</f>
        <v>4.0866223388440961</v>
      </c>
      <c r="M13" s="764">
        <f>3.28153451771169*($C$13)</f>
        <v>3.7455341751295528</v>
      </c>
      <c r="N13" s="764">
        <f>3.05599949931226*($C$13)</f>
        <v>3.4881091459110256</v>
      </c>
      <c r="O13" s="764">
        <f>2.9206784882726*($C$13)</f>
        <v>3.3336541283799068</v>
      </c>
      <c r="P13" s="764">
        <f t="shared" ref="P13:BV13" si="45">2.85865635821276*($C$13)</f>
        <v>3.2628622453448157</v>
      </c>
      <c r="Q13" s="764">
        <f t="shared" si="45"/>
        <v>3.2628622453448157</v>
      </c>
      <c r="R13" s="764">
        <f t="shared" si="45"/>
        <v>3.2628622453448157</v>
      </c>
      <c r="S13" s="764">
        <f t="shared" si="45"/>
        <v>3.2628622453448157</v>
      </c>
      <c r="T13" s="764">
        <f t="shared" si="45"/>
        <v>3.2628622453448157</v>
      </c>
      <c r="U13" s="764">
        <f t="shared" si="45"/>
        <v>3.2628622453448157</v>
      </c>
      <c r="V13" s="764">
        <f t="shared" si="45"/>
        <v>3.2628622453448157</v>
      </c>
      <c r="W13" s="764">
        <f t="shared" si="45"/>
        <v>3.2628622453448157</v>
      </c>
      <c r="X13" s="764">
        <f t="shared" si="45"/>
        <v>3.2628622453448157</v>
      </c>
      <c r="Y13" s="764">
        <f t="shared" si="45"/>
        <v>3.2628622453448157</v>
      </c>
      <c r="Z13" s="764">
        <f t="shared" si="45"/>
        <v>3.2628622453448157</v>
      </c>
      <c r="AA13" s="764">
        <f t="shared" si="45"/>
        <v>3.2628622453448157</v>
      </c>
      <c r="AB13" s="764">
        <f t="shared" si="45"/>
        <v>3.2628622453448157</v>
      </c>
      <c r="AC13" s="764">
        <f t="shared" si="45"/>
        <v>3.2628622453448157</v>
      </c>
      <c r="AD13" s="764">
        <f t="shared" si="45"/>
        <v>3.2628622453448157</v>
      </c>
      <c r="AE13" s="764">
        <f t="shared" si="45"/>
        <v>3.2628622453448157</v>
      </c>
      <c r="AF13" s="764">
        <f t="shared" si="45"/>
        <v>3.2628622453448157</v>
      </c>
      <c r="AG13" s="764">
        <f t="shared" si="45"/>
        <v>3.2628622453448157</v>
      </c>
      <c r="AH13" s="764">
        <f t="shared" si="45"/>
        <v>3.2628622453448157</v>
      </c>
      <c r="AI13" s="764">
        <f t="shared" si="45"/>
        <v>3.2628622453448157</v>
      </c>
      <c r="AJ13" s="764">
        <f t="shared" si="45"/>
        <v>3.2628622453448157</v>
      </c>
      <c r="AK13" s="764">
        <f t="shared" si="45"/>
        <v>3.2628622453448157</v>
      </c>
      <c r="AL13" s="764">
        <f t="shared" si="45"/>
        <v>3.2628622453448157</v>
      </c>
      <c r="AM13" s="764">
        <f t="shared" si="45"/>
        <v>3.2628622453448157</v>
      </c>
      <c r="AN13" s="764">
        <f t="shared" si="45"/>
        <v>3.2628622453448157</v>
      </c>
      <c r="AO13" s="764">
        <f t="shared" si="45"/>
        <v>3.2628622453448157</v>
      </c>
      <c r="AP13" s="764">
        <f t="shared" si="45"/>
        <v>3.2628622453448157</v>
      </c>
      <c r="AQ13" s="764">
        <f t="shared" si="45"/>
        <v>3.2628622453448157</v>
      </c>
      <c r="AR13" s="764">
        <f t="shared" si="45"/>
        <v>3.2628622453448157</v>
      </c>
      <c r="AS13" s="764">
        <f t="shared" si="45"/>
        <v>3.2628622453448157</v>
      </c>
      <c r="AT13" s="764">
        <f t="shared" si="45"/>
        <v>3.2628622453448157</v>
      </c>
      <c r="AU13" s="764">
        <f t="shared" si="45"/>
        <v>3.2628622453448157</v>
      </c>
      <c r="AV13" s="764">
        <f t="shared" si="45"/>
        <v>3.2628622453448157</v>
      </c>
      <c r="AW13" s="764">
        <f t="shared" si="45"/>
        <v>3.2628622453448157</v>
      </c>
      <c r="AX13" s="764">
        <f t="shared" si="45"/>
        <v>3.2628622453448157</v>
      </c>
      <c r="AY13" s="764">
        <f t="shared" si="45"/>
        <v>3.2628622453448157</v>
      </c>
      <c r="AZ13" s="764">
        <f t="shared" si="45"/>
        <v>3.2628622453448157</v>
      </c>
      <c r="BA13" s="764">
        <f t="shared" si="45"/>
        <v>3.2628622453448157</v>
      </c>
      <c r="BB13" s="764">
        <f t="shared" si="45"/>
        <v>3.2628622453448157</v>
      </c>
      <c r="BC13" s="764">
        <f t="shared" si="45"/>
        <v>3.2628622453448157</v>
      </c>
      <c r="BD13" s="764">
        <f t="shared" si="45"/>
        <v>3.2628622453448157</v>
      </c>
      <c r="BE13" s="764">
        <f t="shared" si="45"/>
        <v>3.2628622453448157</v>
      </c>
      <c r="BF13" s="764">
        <f t="shared" si="45"/>
        <v>3.2628622453448157</v>
      </c>
      <c r="BG13" s="764">
        <f t="shared" si="45"/>
        <v>3.2628622453448157</v>
      </c>
      <c r="BH13" s="764">
        <f t="shared" si="45"/>
        <v>3.2628622453448157</v>
      </c>
      <c r="BI13" s="764">
        <f t="shared" si="45"/>
        <v>3.2628622453448157</v>
      </c>
      <c r="BJ13" s="764">
        <f t="shared" si="45"/>
        <v>3.2628622453448157</v>
      </c>
      <c r="BK13" s="764">
        <f t="shared" si="45"/>
        <v>3.2628622453448157</v>
      </c>
      <c r="BL13" s="764">
        <f t="shared" si="45"/>
        <v>3.2628622453448157</v>
      </c>
      <c r="BM13" s="764">
        <f t="shared" si="45"/>
        <v>3.2628622453448157</v>
      </c>
      <c r="BN13" s="764">
        <f t="shared" si="45"/>
        <v>3.2628622453448157</v>
      </c>
      <c r="BO13" s="764">
        <f t="shared" si="45"/>
        <v>3.2628622453448157</v>
      </c>
      <c r="BP13" s="764">
        <f t="shared" si="45"/>
        <v>3.2628622453448157</v>
      </c>
      <c r="BQ13" s="764">
        <f t="shared" si="45"/>
        <v>3.2628622453448157</v>
      </c>
      <c r="BR13" s="764">
        <f t="shared" si="45"/>
        <v>3.2628622453448157</v>
      </c>
      <c r="BS13" s="764">
        <f t="shared" si="45"/>
        <v>3.2628622453448157</v>
      </c>
      <c r="BT13" s="764">
        <f t="shared" si="45"/>
        <v>3.2628622453448157</v>
      </c>
      <c r="BU13" s="764">
        <f t="shared" si="45"/>
        <v>3.2628622453448157</v>
      </c>
      <c r="BV13" s="765">
        <f t="shared" si="45"/>
        <v>3.2628622453448157</v>
      </c>
      <c r="BW13" s="1013">
        <f>+BV13*BW$137/BV$137</f>
        <v>3.2707048825433991</v>
      </c>
      <c r="BX13" s="1013">
        <f t="shared" ref="BX13:CZ13" si="46">+BW13*BX$137/BW$137</f>
        <v>3.2785663703564443</v>
      </c>
      <c r="BY13" s="1013">
        <f t="shared" si="46"/>
        <v>3.2864467540934128</v>
      </c>
      <c r="BZ13" s="1013">
        <f t="shared" si="46"/>
        <v>3.2943460791726715</v>
      </c>
      <c r="CA13" s="1013">
        <f t="shared" si="46"/>
        <v>3.3022643911217555</v>
      </c>
      <c r="CB13" s="1013">
        <f t="shared" si="46"/>
        <v>3.3091958103748405</v>
      </c>
      <c r="CC13" s="1013">
        <f t="shared" si="46"/>
        <v>3.3161417786061929</v>
      </c>
      <c r="CD13" s="1013">
        <f t="shared" si="46"/>
        <v>3.323102326353971</v>
      </c>
      <c r="CE13" s="1013">
        <f t="shared" si="46"/>
        <v>3.3300774842204302</v>
      </c>
      <c r="CF13" s="1013">
        <f t="shared" si="46"/>
        <v>3.3370672828720607</v>
      </c>
      <c r="CG13" s="1013">
        <f t="shared" si="46"/>
        <v>3.3456660867834271</v>
      </c>
      <c r="CH13" s="1013">
        <f t="shared" si="46"/>
        <v>3.3542870477034605</v>
      </c>
      <c r="CI13" s="1013">
        <f t="shared" si="46"/>
        <v>3.3629302227253368</v>
      </c>
      <c r="CJ13" s="1013">
        <f t="shared" si="46"/>
        <v>3.3715956690893476</v>
      </c>
      <c r="CK13" s="1013">
        <f t="shared" si="46"/>
        <v>3.3802834441832799</v>
      </c>
      <c r="CL13" s="1013">
        <f t="shared" si="46"/>
        <v>3.3875186654915184</v>
      </c>
      <c r="CM13" s="1013">
        <f t="shared" si="46"/>
        <v>3.3947693732014868</v>
      </c>
      <c r="CN13" s="1013">
        <f t="shared" si="46"/>
        <v>3.4020356004605672</v>
      </c>
      <c r="CO13" s="1013">
        <f t="shared" si="46"/>
        <v>3.4093173804870895</v>
      </c>
      <c r="CP13" s="1013">
        <f t="shared" si="46"/>
        <v>3.416614746570485</v>
      </c>
      <c r="CQ13" s="1013">
        <f t="shared" si="46"/>
        <v>3.4232939566595637</v>
      </c>
      <c r="CR13" s="1013">
        <f t="shared" si="46"/>
        <v>3.4299862240731356</v>
      </c>
      <c r="CS13" s="1013">
        <f t="shared" si="46"/>
        <v>3.4366915743372313</v>
      </c>
      <c r="CT13" s="1013">
        <f t="shared" si="46"/>
        <v>3.4434100330277828</v>
      </c>
      <c r="CU13" s="1013">
        <f t="shared" si="46"/>
        <v>3.4501416257707223</v>
      </c>
      <c r="CV13" s="1013">
        <f t="shared" si="46"/>
        <v>3.4580891196135033</v>
      </c>
      <c r="CW13" s="1013">
        <f t="shared" si="46"/>
        <v>3.466054920721676</v>
      </c>
      <c r="CX13" s="1013">
        <f t="shared" si="46"/>
        <v>3.474039071266517</v>
      </c>
      <c r="CY13" s="1013">
        <f t="shared" si="46"/>
        <v>3.4820416135164467</v>
      </c>
      <c r="CZ13" s="1013">
        <f t="shared" si="46"/>
        <v>3.490062589837251</v>
      </c>
    </row>
    <row r="14" spans="1:104" x14ac:dyDescent="0.25">
      <c r="A14" s="763" t="str">
        <f>'HyARC Physical Property Data'!$A$87</f>
        <v>Woody Biomass MYPP</v>
      </c>
      <c r="B14">
        <v>2007</v>
      </c>
      <c r="C14" s="692">
        <f>VLOOKUP(ref_year,DeflatorTable,2,FALSE)/VLOOKUP(B14,DeflatorTable,2,FALSE)</f>
        <v>1.1413971588333081</v>
      </c>
      <c r="D14" s="976" t="str">
        <f>+'HyARC Physical Property Data'!$H$87</f>
        <v>kg</v>
      </c>
      <c r="E14" s="709" t="s">
        <v>1025</v>
      </c>
      <c r="F14">
        <v>18.608000000000001</v>
      </c>
      <c r="H14">
        <f>4.44432502149613*$C$14</f>
        <v>5.0727399524674635</v>
      </c>
      <c r="I14">
        <f t="shared" ref="I14:N14" si="47">4.44432502149613*$C$14</f>
        <v>5.0727399524674635</v>
      </c>
      <c r="J14">
        <f t="shared" si="47"/>
        <v>5.0727399524674635</v>
      </c>
      <c r="K14">
        <f t="shared" si="47"/>
        <v>5.0727399524674635</v>
      </c>
      <c r="L14">
        <f t="shared" si="47"/>
        <v>5.0727399524674635</v>
      </c>
      <c r="M14">
        <f t="shared" si="47"/>
        <v>5.0727399524674635</v>
      </c>
      <c r="N14">
        <f t="shared" si="47"/>
        <v>5.0727399524674635</v>
      </c>
      <c r="O14" s="764">
        <f t="shared" ref="O14:T14" si="48">N14-($N$14-$U$14)/7</f>
        <v>4.9524277749801975</v>
      </c>
      <c r="P14" s="764">
        <f t="shared" si="48"/>
        <v>4.8321155974929315</v>
      </c>
      <c r="Q14" s="764">
        <f t="shared" si="48"/>
        <v>4.7118034200056655</v>
      </c>
      <c r="R14" s="764">
        <f t="shared" si="48"/>
        <v>4.5914912425183996</v>
      </c>
      <c r="S14" s="764">
        <f t="shared" si="48"/>
        <v>4.4711790650311336</v>
      </c>
      <c r="T14" s="764">
        <f t="shared" si="48"/>
        <v>4.3508668875438676</v>
      </c>
      <c r="U14" s="764">
        <f>3.70647033533964*$C$14</f>
        <v>4.2305547100566034</v>
      </c>
      <c r="V14" s="764">
        <f t="shared" ref="V14:BV14" si="49">3.70647033533964*$C$14</f>
        <v>4.2305547100566034</v>
      </c>
      <c r="W14" s="764">
        <f t="shared" si="49"/>
        <v>4.2305547100566034</v>
      </c>
      <c r="X14" s="764">
        <f t="shared" si="49"/>
        <v>4.2305547100566034</v>
      </c>
      <c r="Y14" s="764">
        <f t="shared" si="49"/>
        <v>4.2305547100566034</v>
      </c>
      <c r="Z14" s="764">
        <f t="shared" si="49"/>
        <v>4.2305547100566034</v>
      </c>
      <c r="AA14" s="764">
        <f t="shared" si="49"/>
        <v>4.2305547100566034</v>
      </c>
      <c r="AB14" s="764">
        <f t="shared" si="49"/>
        <v>4.2305547100566034</v>
      </c>
      <c r="AC14" s="764">
        <f t="shared" si="49"/>
        <v>4.2305547100566034</v>
      </c>
      <c r="AD14" s="764">
        <f t="shared" si="49"/>
        <v>4.2305547100566034</v>
      </c>
      <c r="AE14" s="764">
        <f t="shared" si="49"/>
        <v>4.2305547100566034</v>
      </c>
      <c r="AF14" s="764">
        <f t="shared" si="49"/>
        <v>4.2305547100566034</v>
      </c>
      <c r="AG14" s="764">
        <f t="shared" si="49"/>
        <v>4.2305547100566034</v>
      </c>
      <c r="AH14" s="764">
        <f t="shared" si="49"/>
        <v>4.2305547100566034</v>
      </c>
      <c r="AI14" s="764">
        <f t="shared" si="49"/>
        <v>4.2305547100566034</v>
      </c>
      <c r="AJ14" s="764">
        <f t="shared" si="49"/>
        <v>4.2305547100566034</v>
      </c>
      <c r="AK14" s="764">
        <f t="shared" si="49"/>
        <v>4.2305547100566034</v>
      </c>
      <c r="AL14" s="764">
        <f t="shared" si="49"/>
        <v>4.2305547100566034</v>
      </c>
      <c r="AM14" s="764">
        <f t="shared" si="49"/>
        <v>4.2305547100566034</v>
      </c>
      <c r="AN14" s="764">
        <f t="shared" si="49"/>
        <v>4.2305547100566034</v>
      </c>
      <c r="AO14" s="764">
        <f t="shared" si="49"/>
        <v>4.2305547100566034</v>
      </c>
      <c r="AP14" s="764">
        <f t="shared" si="49"/>
        <v>4.2305547100566034</v>
      </c>
      <c r="AQ14" s="764">
        <f t="shared" si="49"/>
        <v>4.2305547100566034</v>
      </c>
      <c r="AR14" s="764">
        <f t="shared" si="49"/>
        <v>4.2305547100566034</v>
      </c>
      <c r="AS14" s="764">
        <f t="shared" si="49"/>
        <v>4.2305547100566034</v>
      </c>
      <c r="AT14" s="764">
        <f t="shared" si="49"/>
        <v>4.2305547100566034</v>
      </c>
      <c r="AU14" s="764">
        <f t="shared" si="49"/>
        <v>4.2305547100566034</v>
      </c>
      <c r="AV14" s="764">
        <f t="shared" si="49"/>
        <v>4.2305547100566034</v>
      </c>
      <c r="AW14" s="764">
        <f t="shared" si="49"/>
        <v>4.2305547100566034</v>
      </c>
      <c r="AX14" s="764">
        <f t="shared" si="49"/>
        <v>4.2305547100566034</v>
      </c>
      <c r="AY14" s="764">
        <f t="shared" si="49"/>
        <v>4.2305547100566034</v>
      </c>
      <c r="AZ14" s="764">
        <f t="shared" si="49"/>
        <v>4.2305547100566034</v>
      </c>
      <c r="BA14" s="764">
        <f t="shared" si="49"/>
        <v>4.2305547100566034</v>
      </c>
      <c r="BB14" s="764">
        <f t="shared" si="49"/>
        <v>4.2305547100566034</v>
      </c>
      <c r="BC14" s="764">
        <f t="shared" si="49"/>
        <v>4.2305547100566034</v>
      </c>
      <c r="BD14" s="764">
        <f t="shared" si="49"/>
        <v>4.2305547100566034</v>
      </c>
      <c r="BE14" s="764">
        <f t="shared" si="49"/>
        <v>4.2305547100566034</v>
      </c>
      <c r="BF14" s="764">
        <f t="shared" si="49"/>
        <v>4.2305547100566034</v>
      </c>
      <c r="BG14" s="764">
        <f t="shared" si="49"/>
        <v>4.2305547100566034</v>
      </c>
      <c r="BH14" s="764">
        <f t="shared" si="49"/>
        <v>4.2305547100566034</v>
      </c>
      <c r="BI14" s="764">
        <f t="shared" si="49"/>
        <v>4.2305547100566034</v>
      </c>
      <c r="BJ14" s="764">
        <f t="shared" si="49"/>
        <v>4.2305547100566034</v>
      </c>
      <c r="BK14" s="764">
        <f t="shared" si="49"/>
        <v>4.2305547100566034</v>
      </c>
      <c r="BL14" s="764">
        <f t="shared" si="49"/>
        <v>4.2305547100566034</v>
      </c>
      <c r="BM14" s="764">
        <f t="shared" si="49"/>
        <v>4.2305547100566034</v>
      </c>
      <c r="BN14" s="764">
        <f t="shared" si="49"/>
        <v>4.2305547100566034</v>
      </c>
      <c r="BO14" s="764">
        <f t="shared" si="49"/>
        <v>4.2305547100566034</v>
      </c>
      <c r="BP14" s="764">
        <f t="shared" si="49"/>
        <v>4.2305547100566034</v>
      </c>
      <c r="BQ14" s="764">
        <f t="shared" si="49"/>
        <v>4.2305547100566034</v>
      </c>
      <c r="BR14" s="764">
        <f t="shared" si="49"/>
        <v>4.2305547100566034</v>
      </c>
      <c r="BS14" s="764">
        <f t="shared" si="49"/>
        <v>4.2305547100566034</v>
      </c>
      <c r="BT14" s="764">
        <f t="shared" si="49"/>
        <v>4.2305547100566034</v>
      </c>
      <c r="BU14" s="764">
        <f t="shared" si="49"/>
        <v>4.2305547100566034</v>
      </c>
      <c r="BV14" s="764">
        <f t="shared" si="49"/>
        <v>4.2305547100566034</v>
      </c>
      <c r="BW14" s="1013">
        <f>+BV14*BW$137/BV$137</f>
        <v>4.2407232992414734</v>
      </c>
      <c r="BX14" s="1013">
        <f t="shared" ref="BX14:CZ14" si="50">+BW14*BX$137/BW$137</f>
        <v>4.2509163297143298</v>
      </c>
      <c r="BY14" s="1013">
        <f t="shared" si="50"/>
        <v>4.2611338602224134</v>
      </c>
      <c r="BZ14" s="1013">
        <f t="shared" si="50"/>
        <v>4.2713759496541703</v>
      </c>
      <c r="CA14" s="1013">
        <f t="shared" si="50"/>
        <v>4.2816426570395922</v>
      </c>
      <c r="CB14" s="1013">
        <f t="shared" si="50"/>
        <v>4.2906297812770164</v>
      </c>
      <c r="CC14" s="1013">
        <f t="shared" si="50"/>
        <v>4.2996357693964899</v>
      </c>
      <c r="CD14" s="1013">
        <f t="shared" si="50"/>
        <v>4.3086606609931088</v>
      </c>
      <c r="CE14" s="1013">
        <f t="shared" si="50"/>
        <v>4.3177044957450779</v>
      </c>
      <c r="CF14" s="1013">
        <f t="shared" si="50"/>
        <v>4.3267673134138871</v>
      </c>
      <c r="CG14" s="1013">
        <f t="shared" si="50"/>
        <v>4.3379163315619822</v>
      </c>
      <c r="CH14" s="1013">
        <f t="shared" si="50"/>
        <v>4.3490940779953462</v>
      </c>
      <c r="CI14" s="1013">
        <f t="shared" si="50"/>
        <v>4.3603006267397229</v>
      </c>
      <c r="CJ14" s="1013">
        <f t="shared" si="50"/>
        <v>4.3715360520116029</v>
      </c>
      <c r="CK14" s="1013">
        <f t="shared" si="50"/>
        <v>4.3828004282187161</v>
      </c>
      <c r="CL14" s="1013">
        <f t="shared" si="50"/>
        <v>4.3921814554525627</v>
      </c>
      <c r="CM14" s="1013">
        <f t="shared" si="50"/>
        <v>4.4015825620108968</v>
      </c>
      <c r="CN14" s="1013">
        <f t="shared" si="50"/>
        <v>4.4110037908718764</v>
      </c>
      <c r="CO14" s="1013">
        <f t="shared" si="50"/>
        <v>4.4204451851056508</v>
      </c>
      <c r="CP14" s="1013">
        <f t="shared" si="50"/>
        <v>4.4299067878745575</v>
      </c>
      <c r="CQ14" s="1013">
        <f t="shared" si="50"/>
        <v>4.4385669033121991</v>
      </c>
      <c r="CR14" s="1013">
        <f t="shared" si="50"/>
        <v>4.4472439485867392</v>
      </c>
      <c r="CS14" s="1013">
        <f t="shared" si="50"/>
        <v>4.4559379567946618</v>
      </c>
      <c r="CT14" s="1013">
        <f t="shared" si="50"/>
        <v>4.4646489610971525</v>
      </c>
      <c r="CU14" s="1013">
        <f t="shared" si="50"/>
        <v>4.4733769947202253</v>
      </c>
      <c r="CV14" s="1013">
        <f t="shared" si="50"/>
        <v>4.4836815387008029</v>
      </c>
      <c r="CW14" s="1013">
        <f t="shared" si="50"/>
        <v>4.494009819475032</v>
      </c>
      <c r="CX14" s="1013">
        <f t="shared" si="50"/>
        <v>4.5043618917212536</v>
      </c>
      <c r="CY14" s="1013">
        <f t="shared" si="50"/>
        <v>4.5147378102437621</v>
      </c>
      <c r="CZ14" s="1013">
        <f t="shared" si="50"/>
        <v>4.525137629973095</v>
      </c>
    </row>
    <row r="15" spans="1:104" x14ac:dyDescent="0.25">
      <c r="A15" s="769" t="str">
        <f>'HyARC Physical Property Data'!A79</f>
        <v>Electric Utility Steam Coal</v>
      </c>
      <c r="B15">
        <v>2007</v>
      </c>
      <c r="C15" s="692">
        <f>VLOOKUP(ref_year,DeflatorTable,2,FALSE)/VLOOKUP(B15,DeflatorTable,2,FALSE)</f>
        <v>1.1413971588333081</v>
      </c>
      <c r="D15" s="976" t="str">
        <f>+'HyARC Physical Property Data'!$H$79</f>
        <v>kg</v>
      </c>
      <c r="E15" s="709" t="s">
        <v>1025</v>
      </c>
      <c r="F15">
        <f>'HyARC Physical Property Data'!E42</f>
        <v>22.7322030001394</v>
      </c>
      <c r="G15">
        <f>'HyARC Physical Property Data'!I42</f>
        <v>23.967615189707661</v>
      </c>
      <c r="H15">
        <f>1.73552525043488*($C$15/mmBTU_to_GJ*$G$15/$F$15)</f>
        <v>1.9796962563875427</v>
      </c>
      <c r="I15">
        <f>1.73552525043488*($C$15/mmBTU_to_GJ*$G$15/$F$15)</f>
        <v>1.9796962563875427</v>
      </c>
      <c r="J15">
        <f>1.73552525043488*($C$15/mmBTU_to_GJ*$G$15/$F$15)</f>
        <v>1.9796962563875427</v>
      </c>
      <c r="K15">
        <f>1.78000020980835*($C$15/mmBTU_to_GJ*$G$15/$F$15)</f>
        <v>2.0304283967309829</v>
      </c>
      <c r="L15">
        <f>1.9310736656189*($C$15/mmBTU_to_GJ*$G$15/$F$15)</f>
        <v>2.2027563734243398</v>
      </c>
      <c r="M15">
        <f>1.98230564594269*($C$15/mmBTU_to_GJ*$G$15/$F$15)</f>
        <v>2.2611961798339055</v>
      </c>
      <c r="N15">
        <f>1.86225914955139*($C$15/mmBTU_to_GJ*$G$15/$F$15)</f>
        <v>2.1242603447380195</v>
      </c>
      <c r="O15">
        <f>1.87335216999054*($C$15/mmBTU_to_GJ*$G$15/$F$15)</f>
        <v>2.1369140419572981</v>
      </c>
      <c r="P15">
        <f>1.85759365558624*($C$15/mmBTU_to_GJ*$G$15/$F$15)</f>
        <v>2.1189384625385577</v>
      </c>
      <c r="Q15">
        <f>1.88174879550934*($C$15/mmBTU_to_GJ*$G$15/$F$15)</f>
        <v>2.1464919885194074</v>
      </c>
      <c r="R15">
        <f>1.90431761741638*($C$15/mmBTU_to_GJ*$G$15/$F$15)</f>
        <v>2.1722360174404782</v>
      </c>
      <c r="S15">
        <f>1.90719401836395*($C$15/mmBTU_to_GJ*$G$15/$F$15)</f>
        <v>2.1755170991685295</v>
      </c>
      <c r="T15">
        <f>1.91704928874969*($C$15/mmBTU_to_GJ*$G$15/$F$15)</f>
        <v>2.1867589073090032</v>
      </c>
      <c r="U15">
        <f>1.92595064640045*($C$15/mmBTU_to_GJ*$G$15/$F$15)</f>
        <v>2.1969125967546401</v>
      </c>
      <c r="V15">
        <f>1.94080138206482*($C$15/mmBTU_to_GJ*$G$15/$F$15)</f>
        <v>2.2138526820642528</v>
      </c>
      <c r="W15">
        <f>1.94636797904968*($C$15/mmBTU_to_GJ*$G$15/$F$15)</f>
        <v>2.2202024434457042</v>
      </c>
      <c r="X15">
        <f>1.95628917217255*($C$15/mmBTU_to_GJ*$G$15/$F$15)</f>
        <v>2.2315194489916172</v>
      </c>
      <c r="Y15">
        <f>1.96225011348724*($C$15/mmBTU_to_GJ*$G$15/$F$15)</f>
        <v>2.2383190349972262</v>
      </c>
      <c r="Z15">
        <f>1.97535526752472*($C$15/mmBTU_to_GJ*$G$15/$F$15)</f>
        <v>2.2532679528426334</v>
      </c>
      <c r="AA15">
        <f>1.98115420341492*($C$15/mmBTU_to_GJ*$G$15/$F$15)</f>
        <v>2.259882740884458</v>
      </c>
      <c r="AB15">
        <f>1.98549652099609*($C$15/mmBTU_to_GJ*$G$15/$F$15)</f>
        <v>2.264835979022211</v>
      </c>
      <c r="AC15">
        <f>1.98988306522369*($C$15/mmBTU_to_GJ*$G$15/$F$15)</f>
        <v>2.2698396660522224</v>
      </c>
      <c r="AD15">
        <f>1.99634909629822*($C$15/mmBTU_to_GJ*$G$15/$F$15)</f>
        <v>2.277215402883896</v>
      </c>
      <c r="AE15">
        <f>2.00744533538818*($C$15/mmBTU_to_GJ*$G$15/$F$15)</f>
        <v>2.2898727715858902</v>
      </c>
      <c r="AF15">
        <f>2.02021908760071*($C$15/mmBTU_to_GJ*$G$15/$F$15)</f>
        <v>2.3044436626915257</v>
      </c>
      <c r="AG15">
        <f>2.03361201286316*($C$15/mmBTU_to_GJ*$G$15/$F$15)</f>
        <v>2.3197208382886583</v>
      </c>
      <c r="AH15">
        <f>2.04451942443848*($C$15/mmBTU_to_GJ*$G$15/$F$15)</f>
        <v>2.3321628133374963</v>
      </c>
      <c r="AI15">
        <f>(($BB$15-$AH$15)/20+AH15)</f>
        <v>2.3372909448097223</v>
      </c>
      <c r="AJ15">
        <f t="shared" ref="AJ15:BA15" si="51">(($BB$15-$AH$15)/20+AI15)</f>
        <v>2.3424190762819483</v>
      </c>
      <c r="AK15">
        <f t="shared" si="51"/>
        <v>2.3475472077541744</v>
      </c>
      <c r="AL15">
        <f t="shared" si="51"/>
        <v>2.3526753392264004</v>
      </c>
      <c r="AM15">
        <f t="shared" si="51"/>
        <v>2.3578034706986264</v>
      </c>
      <c r="AN15">
        <f t="shared" si="51"/>
        <v>2.3629316021708524</v>
      </c>
      <c r="AO15">
        <f t="shared" si="51"/>
        <v>2.3680597336430784</v>
      </c>
      <c r="AP15">
        <f t="shared" si="51"/>
        <v>2.3731878651153044</v>
      </c>
      <c r="AQ15">
        <f t="shared" si="51"/>
        <v>2.3783159965875305</v>
      </c>
      <c r="AR15">
        <f t="shared" si="51"/>
        <v>2.3834441280597565</v>
      </c>
      <c r="AS15">
        <f t="shared" si="51"/>
        <v>2.3885722595319825</v>
      </c>
      <c r="AT15">
        <f t="shared" si="51"/>
        <v>2.3937003910042085</v>
      </c>
      <c r="AU15">
        <f t="shared" si="51"/>
        <v>2.3988285224764345</v>
      </c>
      <c r="AV15">
        <f t="shared" si="51"/>
        <v>2.4039566539486605</v>
      </c>
      <c r="AW15">
        <f t="shared" si="51"/>
        <v>2.4090847854208866</v>
      </c>
      <c r="AX15">
        <f t="shared" si="51"/>
        <v>2.4142129168931126</v>
      </c>
      <c r="AY15">
        <f t="shared" si="51"/>
        <v>2.4193410483653386</v>
      </c>
      <c r="AZ15">
        <f t="shared" si="51"/>
        <v>2.4244691798375646</v>
      </c>
      <c r="BA15">
        <f t="shared" si="51"/>
        <v>2.4295973113097906</v>
      </c>
      <c r="BB15" s="808">
        <f>(1.04397747398165*AH15)</f>
        <v>2.434725442782018</v>
      </c>
      <c r="BC15">
        <f>(($BQ$15-$BB$15)/15+BB15)</f>
        <v>2.4393430815285027</v>
      </c>
      <c r="BD15">
        <f t="shared" ref="BD15:BP15" si="52">(($BQ$15-$BB$15)/15+BC15)</f>
        <v>2.4439607202749873</v>
      </c>
      <c r="BE15">
        <f t="shared" si="52"/>
        <v>2.448578359021472</v>
      </c>
      <c r="BF15">
        <f t="shared" si="52"/>
        <v>2.4531959977679567</v>
      </c>
      <c r="BG15">
        <f t="shared" si="52"/>
        <v>2.4578136365144414</v>
      </c>
      <c r="BH15">
        <f t="shared" si="52"/>
        <v>2.4624312752609261</v>
      </c>
      <c r="BI15">
        <f t="shared" si="52"/>
        <v>2.4670489140074108</v>
      </c>
      <c r="BJ15">
        <f t="shared" si="52"/>
        <v>2.4716665527538955</v>
      </c>
      <c r="BK15">
        <f t="shared" si="52"/>
        <v>2.4762841915003801</v>
      </c>
      <c r="BL15">
        <f t="shared" si="52"/>
        <v>2.4809018302468648</v>
      </c>
      <c r="BM15">
        <f t="shared" si="52"/>
        <v>2.4855194689933495</v>
      </c>
      <c r="BN15">
        <f t="shared" si="52"/>
        <v>2.4901371077398342</v>
      </c>
      <c r="BO15">
        <f t="shared" si="52"/>
        <v>2.4947547464863189</v>
      </c>
      <c r="BP15">
        <f t="shared" si="52"/>
        <v>2.4993723852328036</v>
      </c>
      <c r="BQ15" s="808">
        <f>(1.02844862093285*BB15)</f>
        <v>2.5039900239792892</v>
      </c>
      <c r="BR15">
        <f>(($BV$15-$BQ$15)/5+BQ15)</f>
        <v>2.5087390281800759</v>
      </c>
      <c r="BS15">
        <f>(($BV$15-$BQ$15)/5+BR15)</f>
        <v>2.5134880323808626</v>
      </c>
      <c r="BT15">
        <f>(($BV$15-$BQ$15)/5+BS15)</f>
        <v>2.5182370365816493</v>
      </c>
      <c r="BU15">
        <f>(($BV$15-$BQ$15)/5+BT15)</f>
        <v>2.522986040782436</v>
      </c>
      <c r="BV15" s="811">
        <f>(1.00948287364428*BQ15)</f>
        <v>2.5277350449832223</v>
      </c>
      <c r="BW15" s="1013">
        <f>+BV15*BW$138/BV$138</f>
        <v>2.536281204043199</v>
      </c>
      <c r="BX15" s="1013">
        <f t="shared" ref="BX15:CZ15" si="53">+BW15*BX$138/BW$138</f>
        <v>2.5448562572844797</v>
      </c>
      <c r="BY15" s="1013">
        <f t="shared" si="53"/>
        <v>2.5534603023969979</v>
      </c>
      <c r="BZ15" s="1013">
        <f t="shared" si="53"/>
        <v>2.5620934374009732</v>
      </c>
      <c r="CA15" s="1013">
        <f t="shared" si="53"/>
        <v>2.5707557606480269</v>
      </c>
      <c r="CB15" s="1013">
        <f t="shared" si="53"/>
        <v>2.5781162379988212</v>
      </c>
      <c r="CC15" s="1013">
        <f t="shared" si="53"/>
        <v>2.585497789551864</v>
      </c>
      <c r="CD15" s="1013">
        <f t="shared" si="53"/>
        <v>2.5929004756459051</v>
      </c>
      <c r="CE15" s="1013">
        <f t="shared" si="53"/>
        <v>2.6003243567924534</v>
      </c>
      <c r="CF15" s="1013">
        <f t="shared" si="53"/>
        <v>2.6077694936762716</v>
      </c>
      <c r="CG15" s="1013">
        <f t="shared" si="53"/>
        <v>2.6134538634410465</v>
      </c>
      <c r="CH15" s="1013">
        <f t="shared" si="53"/>
        <v>2.6191506238943774</v>
      </c>
      <c r="CI15" s="1013">
        <f t="shared" si="53"/>
        <v>2.6248598020452683</v>
      </c>
      <c r="CJ15" s="1013">
        <f t="shared" si="53"/>
        <v>2.6305814249615964</v>
      </c>
      <c r="CK15" s="1013">
        <f t="shared" si="53"/>
        <v>2.6363155197702408</v>
      </c>
      <c r="CL15" s="1013">
        <f t="shared" si="53"/>
        <v>2.640202757935151</v>
      </c>
      <c r="CM15" s="1013">
        <f t="shared" si="53"/>
        <v>2.6440957278193635</v>
      </c>
      <c r="CN15" s="1013">
        <f t="shared" si="53"/>
        <v>2.6479944378742784</v>
      </c>
      <c r="CO15" s="1013">
        <f t="shared" si="53"/>
        <v>2.6518988965637571</v>
      </c>
      <c r="CP15" s="1013">
        <f t="shared" si="53"/>
        <v>2.6558091123641421</v>
      </c>
      <c r="CQ15" s="1013">
        <f t="shared" si="53"/>
        <v>2.6571185824873536</v>
      </c>
      <c r="CR15" s="1013">
        <f t="shared" si="53"/>
        <v>2.6584286982563667</v>
      </c>
      <c r="CS15" s="1013">
        <f t="shared" si="53"/>
        <v>2.659739459989523</v>
      </c>
      <c r="CT15" s="1013">
        <f t="shared" si="53"/>
        <v>2.6610508680053204</v>
      </c>
      <c r="CU15" s="1013">
        <f t="shared" si="53"/>
        <v>2.6623629226224148</v>
      </c>
      <c r="CV15" s="1013">
        <f t="shared" si="53"/>
        <v>2.6604772171816178</v>
      </c>
      <c r="CW15" s="1013">
        <f t="shared" si="53"/>
        <v>2.6585928473532499</v>
      </c>
      <c r="CX15" s="1013">
        <f t="shared" si="53"/>
        <v>2.6567098121913197</v>
      </c>
      <c r="CY15" s="1013">
        <f t="shared" si="53"/>
        <v>2.6548281107505058</v>
      </c>
      <c r="CZ15" s="1013">
        <f t="shared" si="53"/>
        <v>2.6529477420861576</v>
      </c>
    </row>
    <row r="16" spans="1:104" x14ac:dyDescent="0.25">
      <c r="A16" s="763" t="str">
        <f>'HyARC Physical Property Data'!A76</f>
        <v>Commercial Electricity</v>
      </c>
      <c r="B16">
        <v>2007</v>
      </c>
      <c r="C16" s="692">
        <f t="shared" si="37"/>
        <v>1.1413971588333081</v>
      </c>
      <c r="D16" s="976" t="str">
        <f>'HyARC Physical Property Data'!$H$76</f>
        <v>kWh</v>
      </c>
      <c r="E16" s="692" t="s">
        <v>1044</v>
      </c>
      <c r="F16" s="692"/>
      <c r="G16" s="692"/>
      <c r="H16">
        <f>(28.3762531280518/(mmBTU_to_GJ))*($C$16)</f>
        <v>30.700070804448433</v>
      </c>
      <c r="I16">
        <f>(28.3762531280518/(mmBTU_to_GJ))*($C$16)</f>
        <v>30.700070804448433</v>
      </c>
      <c r="J16">
        <f>(28.3762531280518/(mmBTU_to_GJ))*($C$16)</f>
        <v>30.700070804448433</v>
      </c>
      <c r="K16">
        <f>(28.0297355651855/(mmBTU_to_GJ))*($C$16)</f>
        <v>30.325175864409157</v>
      </c>
      <c r="L16">
        <f>(29.057315826416/(mmBTU_to_GJ))*($C$16)</f>
        <v>31.436907798666674</v>
      </c>
      <c r="M16">
        <f>(27.6067714691162/(mmBTU_to_GJ))*($C$16)</f>
        <v>29.867573952047074</v>
      </c>
      <c r="N16">
        <f>(24.8355846405029/(mmBTU_to_GJ))*($C$16)</f>
        <v>26.869446205340434</v>
      </c>
      <c r="O16">
        <f>(25.5812511444092/(mmBTU_to_GJ))*($C$16)</f>
        <v>27.676177607232201</v>
      </c>
      <c r="P16">
        <f>(25.4402256011963/(mmBTU_to_GJ))*($C$16)</f>
        <v>27.523603053349618</v>
      </c>
      <c r="Q16">
        <f>(25.4701290130615/(mmBTU_to_GJ))*($C$16)</f>
        <v>27.555955346565124</v>
      </c>
      <c r="R16">
        <f>(25.6722831726074/(mmBTU_to_GJ))*($C$16)</f>
        <v>27.774664525097851</v>
      </c>
      <c r="S16">
        <f>(25.7632827758789/(mmBTU_to_GJ))*($C$16)</f>
        <v>27.87311636266093</v>
      </c>
      <c r="T16">
        <f>(26.1006698608398/(mmBTU_to_GJ))*($C$16)</f>
        <v>28.238133102188346</v>
      </c>
      <c r="U16">
        <f>(26.4680442810059/(mmBTU_to_GJ))*($C$16)</f>
        <v>28.635592931008837</v>
      </c>
      <c r="V16">
        <f>(26.885612487793/(mmBTU_to_GJ))*($C$16)</f>
        <v>29.087357068303547</v>
      </c>
      <c r="W16">
        <f>(27.1694507598877/(mmBTU_to_GJ))*($C$16)</f>
        <v>29.394439719807853</v>
      </c>
      <c r="X16">
        <f>(27.6201095581055/(mmBTU_to_GJ))*($C$16)</f>
        <v>29.882004337712146</v>
      </c>
      <c r="Y16">
        <f>(28.0024471282958/(mmBTU_to_GJ))*($C$16)</f>
        <v>30.29565269442346</v>
      </c>
      <c r="Z16">
        <f>(28.2454071044922/(mmBTU_to_GJ))*($C$16)</f>
        <v>30.558509402045058</v>
      </c>
      <c r="AA16">
        <f>(28.1863746643066/(mmBTU_to_GJ))*($C$16)</f>
        <v>30.494642615782649</v>
      </c>
      <c r="AB16">
        <f>(28.2032489776611/(mmBTU_to_GJ))*($C$16)</f>
        <v>30.512898817981785</v>
      </c>
      <c r="AC16">
        <f>(28.1397113800049/(mmBTU_to_GJ))*($C$16)</f>
        <v>30.444157933200852</v>
      </c>
      <c r="AD16">
        <f>(28.178466796875/(mmBTU_to_GJ))*($C$16)</f>
        <v>30.486087149034912</v>
      </c>
      <c r="AE16">
        <f>(28.4951820373535/(mmBTU_to_GJ))*($C$16)</f>
        <v>30.828739163860856</v>
      </c>
      <c r="AF16">
        <f>(28.9155654907227/(mmBTU_to_GJ))*($C$16)</f>
        <v>31.283549096842975</v>
      </c>
      <c r="AG16">
        <f>(29.2894115447998/(mmBTU_to_GJ))*($C$16)</f>
        <v>31.688010541359226</v>
      </c>
      <c r="AH16">
        <f>(29.6516952514648/(mmBTU_to_GJ))*($C$16)</f>
        <v>32.079962762666369</v>
      </c>
      <c r="AI16">
        <f t="shared" ref="AI16:BA18" si="54">($BB16-$AH16)/20+AH16</f>
        <v>32.070504288889573</v>
      </c>
      <c r="AJ16">
        <f t="shared" si="54"/>
        <v>32.061045815112777</v>
      </c>
      <c r="AK16">
        <f t="shared" si="54"/>
        <v>32.051587341335981</v>
      </c>
      <c r="AL16">
        <f t="shared" si="54"/>
        <v>32.042128867559185</v>
      </c>
      <c r="AM16">
        <f t="shared" si="54"/>
        <v>32.032670393782389</v>
      </c>
      <c r="AN16">
        <f t="shared" si="54"/>
        <v>32.023211920005593</v>
      </c>
      <c r="AO16">
        <f t="shared" si="54"/>
        <v>32.013753446228797</v>
      </c>
      <c r="AP16">
        <f t="shared" si="54"/>
        <v>32.004294972452001</v>
      </c>
      <c r="AQ16">
        <f t="shared" si="54"/>
        <v>31.994836498675209</v>
      </c>
      <c r="AR16">
        <f t="shared" si="54"/>
        <v>31.985378024898417</v>
      </c>
      <c r="AS16">
        <f t="shared" si="54"/>
        <v>31.975919551121624</v>
      </c>
      <c r="AT16">
        <f t="shared" si="54"/>
        <v>31.966461077344832</v>
      </c>
      <c r="AU16">
        <f t="shared" si="54"/>
        <v>31.957002603568039</v>
      </c>
      <c r="AV16">
        <f t="shared" si="54"/>
        <v>31.947544129791247</v>
      </c>
      <c r="AW16">
        <f t="shared" si="54"/>
        <v>31.938085656014454</v>
      </c>
      <c r="AX16">
        <f t="shared" si="54"/>
        <v>31.928627182237662</v>
      </c>
      <c r="AY16">
        <f t="shared" si="54"/>
        <v>31.91916870846087</v>
      </c>
      <c r="AZ16">
        <f t="shared" si="54"/>
        <v>31.909710234684077</v>
      </c>
      <c r="BA16">
        <f t="shared" si="54"/>
        <v>31.900251760907285</v>
      </c>
      <c r="BB16" s="808">
        <f>0.994103189054944*AH16</f>
        <v>31.890793287130489</v>
      </c>
      <c r="BC16">
        <f t="shared" ref="BC16:BP18" si="55">($BQ16-$BB16)/15+BB16</f>
        <v>31.911051832953525</v>
      </c>
      <c r="BD16">
        <f t="shared" si="55"/>
        <v>31.931310378776562</v>
      </c>
      <c r="BE16">
        <f t="shared" si="55"/>
        <v>31.951568924599599</v>
      </c>
      <c r="BF16">
        <f t="shared" si="55"/>
        <v>31.971827470422635</v>
      </c>
      <c r="BG16">
        <f t="shared" si="55"/>
        <v>31.992086016245672</v>
      </c>
      <c r="BH16">
        <f t="shared" si="55"/>
        <v>32.012344562068712</v>
      </c>
      <c r="BI16">
        <f t="shared" si="55"/>
        <v>32.032603107891752</v>
      </c>
      <c r="BJ16">
        <f t="shared" si="55"/>
        <v>32.052861653714793</v>
      </c>
      <c r="BK16">
        <f t="shared" si="55"/>
        <v>32.073120199537833</v>
      </c>
      <c r="BL16">
        <f t="shared" si="55"/>
        <v>32.093378745360873</v>
      </c>
      <c r="BM16">
        <f t="shared" si="55"/>
        <v>32.113637291183913</v>
      </c>
      <c r="BN16">
        <f t="shared" si="55"/>
        <v>32.133895837006953</v>
      </c>
      <c r="BO16">
        <f t="shared" si="55"/>
        <v>32.154154382829994</v>
      </c>
      <c r="BP16">
        <f t="shared" si="55"/>
        <v>32.174412928653034</v>
      </c>
      <c r="BQ16" s="808">
        <f>1.00952871208344*BB16</f>
        <v>32.194671474476053</v>
      </c>
      <c r="BR16">
        <f t="shared" ref="BR16:BU18" si="56">($BV16-$BQ16)/5+BQ16</f>
        <v>32.215123058149487</v>
      </c>
      <c r="BS16">
        <f t="shared" si="56"/>
        <v>32.235574641822922</v>
      </c>
      <c r="BT16">
        <f t="shared" si="56"/>
        <v>32.256026225496356</v>
      </c>
      <c r="BU16">
        <f t="shared" si="56"/>
        <v>32.276477809169791</v>
      </c>
      <c r="BV16" s="811">
        <f>1.00317623736115*BQ16</f>
        <v>32.296929392843232</v>
      </c>
      <c r="BW16" s="1013">
        <f>+BV16*BW$139/BV$139</f>
        <v>32.282708933053591</v>
      </c>
      <c r="BX16" s="1013">
        <f t="shared" ref="BX16:CZ16" si="57">+BW16*BX$139/BW$139</f>
        <v>32.268494734586014</v>
      </c>
      <c r="BY16" s="1013">
        <f t="shared" si="57"/>
        <v>32.254286794683622</v>
      </c>
      <c r="BZ16" s="1013">
        <f t="shared" si="57"/>
        <v>32.240085110590741</v>
      </c>
      <c r="CA16" s="1013">
        <f t="shared" si="57"/>
        <v>32.225889679552914</v>
      </c>
      <c r="CB16" s="1013">
        <f t="shared" si="57"/>
        <v>32.20007724517788</v>
      </c>
      <c r="CC16" s="1013">
        <f t="shared" si="57"/>
        <v>32.174285486159683</v>
      </c>
      <c r="CD16" s="1013">
        <f t="shared" si="57"/>
        <v>32.148514385937681</v>
      </c>
      <c r="CE16" s="1013">
        <f t="shared" si="57"/>
        <v>32.122763927964499</v>
      </c>
      <c r="CF16" s="1013">
        <f t="shared" si="57"/>
        <v>32.097034095706015</v>
      </c>
      <c r="CG16" s="1013">
        <f t="shared" si="57"/>
        <v>32.061589809857011</v>
      </c>
      <c r="CH16" s="1013">
        <f t="shared" si="57"/>
        <v>32.026184664615073</v>
      </c>
      <c r="CI16" s="1013">
        <f t="shared" si="57"/>
        <v>31.990818616757792</v>
      </c>
      <c r="CJ16" s="1013">
        <f t="shared" si="57"/>
        <v>31.9554916231105</v>
      </c>
      <c r="CK16" s="1013">
        <f t="shared" si="57"/>
        <v>31.920203640546202</v>
      </c>
      <c r="CL16" s="1013">
        <f t="shared" si="57"/>
        <v>31.881731115497008</v>
      </c>
      <c r="CM16" s="1013">
        <f t="shared" si="57"/>
        <v>31.843304960301854</v>
      </c>
      <c r="CN16" s="1013">
        <f t="shared" si="57"/>
        <v>31.804925119072454</v>
      </c>
      <c r="CO16" s="1013">
        <f t="shared" si="57"/>
        <v>31.766591535987885</v>
      </c>
      <c r="CP16" s="1013">
        <f t="shared" si="57"/>
        <v>31.728304155294506</v>
      </c>
      <c r="CQ16" s="1013">
        <f t="shared" si="57"/>
        <v>31.683957370716094</v>
      </c>
      <c r="CR16" s="1013">
        <f t="shared" si="57"/>
        <v>31.639672569825585</v>
      </c>
      <c r="CS16" s="1013">
        <f t="shared" si="57"/>
        <v>31.59544966598812</v>
      </c>
      <c r="CT16" s="1013">
        <f t="shared" si="57"/>
        <v>31.551288572689923</v>
      </c>
      <c r="CU16" s="1013">
        <f t="shared" si="57"/>
        <v>31.50718920353814</v>
      </c>
      <c r="CV16" s="1013">
        <f t="shared" si="57"/>
        <v>31.46414036817173</v>
      </c>
      <c r="CW16" s="1013">
        <f t="shared" si="57"/>
        <v>31.421150351197987</v>
      </c>
      <c r="CX16" s="1013">
        <f t="shared" si="57"/>
        <v>31.378219072252289</v>
      </c>
      <c r="CY16" s="1013">
        <f t="shared" si="57"/>
        <v>31.335346451079825</v>
      </c>
      <c r="CZ16" s="1013">
        <f t="shared" si="57"/>
        <v>31.292532407535425</v>
      </c>
    </row>
    <row r="17" spans="1:104" x14ac:dyDescent="0.25">
      <c r="A17" s="763" t="str">
        <f>'HyARC Physical Property Data'!A77</f>
        <v>Industrial Electricity</v>
      </c>
      <c r="B17">
        <v>2007</v>
      </c>
      <c r="C17" s="692">
        <f t="shared" si="37"/>
        <v>1.1413971588333081</v>
      </c>
      <c r="D17" s="763" t="str">
        <f>'HyARC Physical Property Data'!$H$77</f>
        <v>kWh</v>
      </c>
      <c r="E17" s="692" t="s">
        <v>1044</v>
      </c>
      <c r="F17" s="692"/>
      <c r="G17" s="692"/>
      <c r="H17">
        <f>(18.4008941650391/(mmBTU_to_GJ))*($C$17)</f>
        <v>19.907799355419932</v>
      </c>
      <c r="I17">
        <f>(18.4008941650391/(mmBTU_to_GJ))*($C$17)</f>
        <v>19.907799355419932</v>
      </c>
      <c r="J17">
        <f>(18.4008941650391/(mmBTU_to_GJ))*($C$17)</f>
        <v>19.907799355419932</v>
      </c>
      <c r="K17">
        <f>(18.6226921081543/(mmBTU_to_GJ))*($C$17)</f>
        <v>20.147761006705959</v>
      </c>
      <c r="L17">
        <f>(20.3344097137451/(mmBTU_to_GJ))*($C$17)</f>
        <v>21.999656373290122</v>
      </c>
      <c r="M17">
        <f>(19.1594867706299/(mmBTU_to_GJ))*($C$17)</f>
        <v>20.728515416778507</v>
      </c>
      <c r="N17">
        <f>(16.8281726837158/(mmBTU_to_GJ))*($C$17)</f>
        <v>18.206282928482938</v>
      </c>
      <c r="O17">
        <f>(17.2643089294434/(mmBTU_to_GJ))*($C$17)</f>
        <v>18.678135697902565</v>
      </c>
      <c r="P17">
        <f>(17.1560707092285/(mmBTU_to_GJ))*($C$17)</f>
        <v>18.561033520622512</v>
      </c>
      <c r="Q17">
        <f>(17.0836048126221/(mmBTU_to_GJ))*($C$17)</f>
        <v>18.482633171334495</v>
      </c>
      <c r="R17">
        <f>(17.1988334655762/(mmBTU_to_GJ))*($C$17)</f>
        <v>18.607298249152503</v>
      </c>
      <c r="S17">
        <f>(17.3181438446045/(mmBTU_to_GJ))*($C$17)</f>
        <v>18.736379318007696</v>
      </c>
      <c r="T17">
        <f>(17.6150741577148/(mmBTU_to_GJ))*($C$17)</f>
        <v>19.057626157586448</v>
      </c>
      <c r="U17">
        <f>(17.9101543426514/(mmBTU_to_GJ))*($C$17)</f>
        <v>19.376871356368099</v>
      </c>
      <c r="V17">
        <f>(18.2101707458496/(mmBTU_to_GJ))*($C$17)</f>
        <v>19.701457015338534</v>
      </c>
      <c r="W17">
        <f>(18.456880569458/(mmBTU_to_GJ))*($C$17)</f>
        <v>19.968370656782042</v>
      </c>
      <c r="X17">
        <f>(18.8030014038086/(mmBTU_to_GJ))*($C$17)</f>
        <v>20.342836379000801</v>
      </c>
      <c r="Y17">
        <f>(19.0852069854736/(mmBTU_to_GJ))*($C$17)</f>
        <v>20.648152634090209</v>
      </c>
      <c r="Z17">
        <f>(19.30615234375/(mmBTU_to_GJ))*($C$17)</f>
        <v>20.887191879771816</v>
      </c>
      <c r="AA17">
        <f>(19.3043308258057/(mmBTU_to_GJ))*($C$17)</f>
        <v>20.885221192182819</v>
      </c>
      <c r="AB17">
        <f>(19.3253479003906/(mmBTU_to_GJ))*($C$17)</f>
        <v>20.90795941892992</v>
      </c>
      <c r="AC17">
        <f>(19.3248138427734/(mmBTU_to_GJ))*($C$17)</f>
        <v>20.907381625710087</v>
      </c>
      <c r="AD17">
        <f>(19.3542194366455/(mmBTU_to_GJ))*($C$17)</f>
        <v>20.939195333102905</v>
      </c>
      <c r="AE17">
        <f>(19.6148834228516/(mmBTU_to_GJ))*($C$17)</f>
        <v>21.221205885961488</v>
      </c>
      <c r="AF17">
        <f>(19.97239112854/(mmBTU_to_GJ))*($C$17)</f>
        <v>21.607990985045614</v>
      </c>
      <c r="AG17">
        <f>(20.29469871521/(mmBTU_to_GJ))*($C$17)</f>
        <v>21.956693320302069</v>
      </c>
      <c r="AH17">
        <f>(20.5609893798828/(mmBTU_to_GJ))*($C$17)</f>
        <v>22.244791337440805</v>
      </c>
      <c r="AI17">
        <f t="shared" si="54"/>
        <v>22.238232670989351</v>
      </c>
      <c r="AJ17">
        <f t="shared" si="54"/>
        <v>22.231674004537897</v>
      </c>
      <c r="AK17">
        <f t="shared" si="54"/>
        <v>22.225115338086443</v>
      </c>
      <c r="AL17">
        <f t="shared" si="54"/>
        <v>22.218556671634989</v>
      </c>
      <c r="AM17">
        <f t="shared" si="54"/>
        <v>22.211998005183535</v>
      </c>
      <c r="AN17">
        <f t="shared" si="54"/>
        <v>22.205439338732081</v>
      </c>
      <c r="AO17">
        <f t="shared" si="54"/>
        <v>22.198880672280627</v>
      </c>
      <c r="AP17">
        <f t="shared" si="54"/>
        <v>22.192322005829173</v>
      </c>
      <c r="AQ17">
        <f t="shared" si="54"/>
        <v>22.185763339377718</v>
      </c>
      <c r="AR17">
        <f t="shared" si="54"/>
        <v>22.179204672926264</v>
      </c>
      <c r="AS17">
        <f t="shared" si="54"/>
        <v>22.17264600647481</v>
      </c>
      <c r="AT17">
        <f t="shared" si="54"/>
        <v>22.166087340023356</v>
      </c>
      <c r="AU17">
        <f t="shared" si="54"/>
        <v>22.159528673571902</v>
      </c>
      <c r="AV17">
        <f t="shared" si="54"/>
        <v>22.152970007120448</v>
      </c>
      <c r="AW17">
        <f t="shared" si="54"/>
        <v>22.146411340668994</v>
      </c>
      <c r="AX17">
        <f t="shared" si="54"/>
        <v>22.13985267421754</v>
      </c>
      <c r="AY17">
        <f t="shared" si="54"/>
        <v>22.133294007766086</v>
      </c>
      <c r="AZ17">
        <f t="shared" si="54"/>
        <v>22.126735341314632</v>
      </c>
      <c r="BA17">
        <f t="shared" si="54"/>
        <v>22.120176674863178</v>
      </c>
      <c r="BB17" s="808">
        <f>0.994103189054944*AH17</f>
        <v>22.113618008411699</v>
      </c>
      <c r="BC17">
        <f t="shared" si="55"/>
        <v>22.127665628353387</v>
      </c>
      <c r="BD17">
        <f t="shared" si="55"/>
        <v>22.141713248295076</v>
      </c>
      <c r="BE17">
        <f t="shared" si="55"/>
        <v>22.155760868236765</v>
      </c>
      <c r="BF17">
        <f t="shared" si="55"/>
        <v>22.169808488178454</v>
      </c>
      <c r="BG17">
        <f t="shared" si="55"/>
        <v>22.183856108120143</v>
      </c>
      <c r="BH17">
        <f t="shared" si="55"/>
        <v>22.197903728061831</v>
      </c>
      <c r="BI17">
        <f t="shared" si="55"/>
        <v>22.21195134800352</v>
      </c>
      <c r="BJ17">
        <f t="shared" si="55"/>
        <v>22.225998967945209</v>
      </c>
      <c r="BK17">
        <f t="shared" si="55"/>
        <v>22.240046587886898</v>
      </c>
      <c r="BL17">
        <f t="shared" si="55"/>
        <v>22.254094207828587</v>
      </c>
      <c r="BM17">
        <f t="shared" si="55"/>
        <v>22.268141827770275</v>
      </c>
      <c r="BN17">
        <f t="shared" si="55"/>
        <v>22.282189447711964</v>
      </c>
      <c r="BO17">
        <f t="shared" si="55"/>
        <v>22.296237067653653</v>
      </c>
      <c r="BP17">
        <f t="shared" si="55"/>
        <v>22.310284687595342</v>
      </c>
      <c r="BQ17" s="808">
        <f>1.00952871208344*BB17</f>
        <v>22.324332307537027</v>
      </c>
      <c r="BR17">
        <f t="shared" si="56"/>
        <v>22.338513783204611</v>
      </c>
      <c r="BS17">
        <f t="shared" si="56"/>
        <v>22.352695258872195</v>
      </c>
      <c r="BT17">
        <f t="shared" si="56"/>
        <v>22.36687673453978</v>
      </c>
      <c r="BU17">
        <f t="shared" si="56"/>
        <v>22.381058210207364</v>
      </c>
      <c r="BV17" s="811">
        <f>1.00317623736115*BQ17</f>
        <v>22.395239685874952</v>
      </c>
      <c r="BW17" s="1013">
        <f>+BV17*BW$140/BV$140</f>
        <v>22.402006623717899</v>
      </c>
      <c r="BX17" s="1013">
        <f t="shared" ref="BX17:CZ17" si="58">+BW17*BX$140/BW$140</f>
        <v>22.40877560625643</v>
      </c>
      <c r="BY17" s="1013">
        <f t="shared" si="58"/>
        <v>22.415546634108377</v>
      </c>
      <c r="BZ17" s="1013">
        <f t="shared" si="58"/>
        <v>22.422319707891749</v>
      </c>
      <c r="CA17" s="1013">
        <f t="shared" si="58"/>
        <v>22.429094828224738</v>
      </c>
      <c r="CB17" s="1013">
        <f t="shared" si="58"/>
        <v>22.426558269957198</v>
      </c>
      <c r="CC17" s="1013">
        <f t="shared" si="58"/>
        <v>22.424021998554906</v>
      </c>
      <c r="CD17" s="1013">
        <f t="shared" si="58"/>
        <v>22.421486013985415</v>
      </c>
      <c r="CE17" s="1013">
        <f t="shared" si="58"/>
        <v>22.418950316216293</v>
      </c>
      <c r="CF17" s="1013">
        <f t="shared" si="58"/>
        <v>22.416414905215102</v>
      </c>
      <c r="CG17" s="1013">
        <f t="shared" si="58"/>
        <v>22.406246620986774</v>
      </c>
      <c r="CH17" s="1013">
        <f t="shared" si="58"/>
        <v>22.39608294918218</v>
      </c>
      <c r="CI17" s="1013">
        <f t="shared" si="58"/>
        <v>22.385923887709083</v>
      </c>
      <c r="CJ17" s="1013">
        <f t="shared" si="58"/>
        <v>22.375769434476197</v>
      </c>
      <c r="CK17" s="1013">
        <f t="shared" si="58"/>
        <v>22.365619587393184</v>
      </c>
      <c r="CL17" s="1013">
        <f t="shared" si="58"/>
        <v>22.353167809865965</v>
      </c>
      <c r="CM17" s="1013">
        <f t="shared" si="58"/>
        <v>22.340722964709347</v>
      </c>
      <c r="CN17" s="1013">
        <f t="shared" si="58"/>
        <v>22.328285048063812</v>
      </c>
      <c r="CO17" s="1013">
        <f t="shared" si="58"/>
        <v>22.315854056072002</v>
      </c>
      <c r="CP17" s="1013">
        <f t="shared" si="58"/>
        <v>22.303429984878701</v>
      </c>
      <c r="CQ17" s="1013">
        <f t="shared" si="58"/>
        <v>22.286408389138984</v>
      </c>
      <c r="CR17" s="1013">
        <f t="shared" si="58"/>
        <v>22.269399783989581</v>
      </c>
      <c r="CS17" s="1013">
        <f t="shared" si="58"/>
        <v>22.252404159516296</v>
      </c>
      <c r="CT17" s="1013">
        <f t="shared" si="58"/>
        <v>22.2354215058125</v>
      </c>
      <c r="CU17" s="1013">
        <f t="shared" si="58"/>
        <v>22.218451812979119</v>
      </c>
      <c r="CV17" s="1013">
        <f t="shared" si="58"/>
        <v>22.202497084041635</v>
      </c>
      <c r="CW17" s="1013">
        <f t="shared" si="58"/>
        <v>22.186553811949913</v>
      </c>
      <c r="CX17" s="1013">
        <f t="shared" si="58"/>
        <v>22.17062198847697</v>
      </c>
      <c r="CY17" s="1013">
        <f t="shared" si="58"/>
        <v>22.154701605401723</v>
      </c>
      <c r="CZ17" s="1013">
        <f t="shared" si="58"/>
        <v>22.138792654509</v>
      </c>
    </row>
    <row r="18" spans="1:104" ht="13.8" thickBot="1" x14ac:dyDescent="0.3">
      <c r="A18" s="766" t="str">
        <f>'HyARC Physical Property Data'!A78</f>
        <v>Residential Electricity</v>
      </c>
      <c r="B18" s="461">
        <v>2007</v>
      </c>
      <c r="C18" s="697">
        <f t="shared" si="37"/>
        <v>1.1413971588333081</v>
      </c>
      <c r="D18" s="766" t="str">
        <f>'HyARC Physical Property Data'!$H$78</f>
        <v>kWh</v>
      </c>
      <c r="E18" s="697" t="s">
        <v>1044</v>
      </c>
      <c r="F18" s="461"/>
      <c r="G18" s="461"/>
      <c r="H18" s="461">
        <f>(31.2067794799805/(mmBTU_to_GJ))*($C$18)</f>
        <v>33.762397568518793</v>
      </c>
      <c r="I18" s="461">
        <f>(31.2067794799805/(mmBTU_to_GJ))*($C$18)</f>
        <v>33.762397568518793</v>
      </c>
      <c r="J18" s="461">
        <f>(31.2067794799805/(mmBTU_to_GJ))*($C$18)</f>
        <v>33.762397568518793</v>
      </c>
      <c r="K18" s="461">
        <f>(31.181957244873/(mmBTU_to_GJ))*($C$18)</f>
        <v>33.735542565080316</v>
      </c>
      <c r="L18" s="461">
        <f>(31.772819519043/(mmBTU_to_GJ))*($C$18)</f>
        <v>34.374792348018154</v>
      </c>
      <c r="M18" s="461">
        <f>(30.736837387085/(mmBTU_to_GJ))*($C$18)</f>
        <v>33.253970488284573</v>
      </c>
      <c r="N18" s="461">
        <f>(28.6163578033447/(mmBTU_to_GJ))*($C$18)</f>
        <v>30.959838381891004</v>
      </c>
      <c r="O18" s="461">
        <f>(29.8736190795898/(mmBTU_to_GJ))*($C$18)</f>
        <v>32.320060608068538</v>
      </c>
      <c r="P18" s="461">
        <f>(30.101655960083/(mmBTU_to_GJ))*($C$18)</f>
        <v>32.56677212229048</v>
      </c>
      <c r="Q18" s="461">
        <f>(30.4253902435303/(mmBTU_to_GJ))*($C$18)</f>
        <v>32.917017990862689</v>
      </c>
      <c r="R18" s="461">
        <f>(30.7938537597656/(mmBTU_to_GJ))*($C$18)</f>
        <v>33.315656105142033</v>
      </c>
      <c r="S18" s="461">
        <f>(30.8830280303955/(mmBTU_to_GJ))*($C$18)</f>
        <v>33.412133128021651</v>
      </c>
      <c r="T18" s="461">
        <f>(31.1491451263428/(mmBTU_to_GJ))*($C$18)</f>
        <v>33.700043362364035</v>
      </c>
      <c r="U18" s="461">
        <f>(31.4898681640625/(mmBTU_to_GJ))*($C$18)</f>
        <v>34.068669245968131</v>
      </c>
      <c r="V18" s="461">
        <f>(31.8156299591064/(mmBTU_to_GJ))*($C$18)</f>
        <v>34.42110866522836</v>
      </c>
      <c r="W18" s="461">
        <f>(32.0206985473633/(mmBTU_to_GJ))*($C$18)</f>
        <v>34.642970943903613</v>
      </c>
      <c r="X18" s="461">
        <f>(32.4303588867188/(mmBTU_to_GJ))*($C$18)</f>
        <v>35.086179614450586</v>
      </c>
      <c r="Y18" s="461">
        <f>(32.7907905578613/(mmBTU_to_GJ))*($C$18)</f>
        <v>35.476128131413226</v>
      </c>
      <c r="Z18" s="461">
        <f>(32.9940071105957/(mmBTU_to_GJ))*($C$18)</f>
        <v>35.695986705743984</v>
      </c>
      <c r="AA18" s="461">
        <f>(32.9234657287598/(mmBTU_to_GJ))*($C$18)</f>
        <v>35.61966847559453</v>
      </c>
      <c r="AB18" s="461">
        <f>(32.9201545715332/(mmBTU_to_GJ))*($C$18)</f>
        <v>35.616086157631599</v>
      </c>
      <c r="AC18" s="461">
        <f>(32.902271270752/(mmBTU_to_GJ))*($C$18)</f>
        <v>35.596738338956506</v>
      </c>
      <c r="AD18" s="461">
        <f>(32.9582405090332/(mmBTU_to_GJ))*($C$18)</f>
        <v>35.657291068393683</v>
      </c>
      <c r="AE18" s="461">
        <f>(33.321102142334/(mmBTU_to_GJ))*($C$18)</f>
        <v>36.049868544506616</v>
      </c>
      <c r="AF18" s="461">
        <f>(33.7343635559082/(mmBTU_to_GJ))*($C$18)</f>
        <v>36.496973192192904</v>
      </c>
      <c r="AG18" s="461">
        <f>(34.1495399475098/(mmBTU_to_GJ))*($C$18)</f>
        <v>36.94614964128175</v>
      </c>
      <c r="AH18" s="461">
        <f>(34.4904899597167/(mmBTU_to_GJ))*($C$18)</f>
        <v>37.315021087004148</v>
      </c>
      <c r="AI18" s="461">
        <f t="shared" si="54"/>
        <v>37.304019105766102</v>
      </c>
      <c r="AJ18" s="461">
        <f t="shared" si="54"/>
        <v>37.293017124528063</v>
      </c>
      <c r="AK18" s="461">
        <f t="shared" si="54"/>
        <v>37.282015143290025</v>
      </c>
      <c r="AL18" s="461">
        <f t="shared" si="54"/>
        <v>37.271013162051986</v>
      </c>
      <c r="AM18" s="461">
        <f t="shared" si="54"/>
        <v>37.260011180813947</v>
      </c>
      <c r="AN18" s="461">
        <f t="shared" si="54"/>
        <v>37.249009199575909</v>
      </c>
      <c r="AO18" s="461">
        <f t="shared" si="54"/>
        <v>37.23800721833787</v>
      </c>
      <c r="AP18" s="461">
        <f t="shared" si="54"/>
        <v>37.227005237099831</v>
      </c>
      <c r="AQ18" s="461">
        <f t="shared" si="54"/>
        <v>37.216003255861793</v>
      </c>
      <c r="AR18" s="461">
        <f t="shared" si="54"/>
        <v>37.205001274623754</v>
      </c>
      <c r="AS18" s="461">
        <f t="shared" si="54"/>
        <v>37.193999293385716</v>
      </c>
      <c r="AT18" s="461">
        <f t="shared" si="54"/>
        <v>37.182997312147677</v>
      </c>
      <c r="AU18" s="461">
        <f t="shared" si="54"/>
        <v>37.171995330909638</v>
      </c>
      <c r="AV18" s="461">
        <f t="shared" si="54"/>
        <v>37.1609933496716</v>
      </c>
      <c r="AW18" s="461">
        <f t="shared" si="54"/>
        <v>37.149991368433561</v>
      </c>
      <c r="AX18" s="461">
        <f t="shared" si="54"/>
        <v>37.138989387195522</v>
      </c>
      <c r="AY18" s="461">
        <f t="shared" si="54"/>
        <v>37.127987405957484</v>
      </c>
      <c r="AZ18" s="461">
        <f t="shared" si="54"/>
        <v>37.116985424719445</v>
      </c>
      <c r="BA18" s="461">
        <f t="shared" si="54"/>
        <v>37.105983443481406</v>
      </c>
      <c r="BB18" s="812">
        <f>0.994103189054944*AH18</f>
        <v>37.094981462243304</v>
      </c>
      <c r="BC18" s="461">
        <f t="shared" si="55"/>
        <v>37.118545955449591</v>
      </c>
      <c r="BD18" s="461">
        <f t="shared" si="55"/>
        <v>37.142110448655878</v>
      </c>
      <c r="BE18" s="461">
        <f t="shared" si="55"/>
        <v>37.165674941862164</v>
      </c>
      <c r="BF18" s="461">
        <f t="shared" si="55"/>
        <v>37.189239435068451</v>
      </c>
      <c r="BG18" s="461">
        <f t="shared" si="55"/>
        <v>37.212803928274738</v>
      </c>
      <c r="BH18" s="461">
        <f t="shared" si="55"/>
        <v>37.236368421481025</v>
      </c>
      <c r="BI18" s="461">
        <f t="shared" si="55"/>
        <v>37.259932914687312</v>
      </c>
      <c r="BJ18" s="461">
        <f t="shared" si="55"/>
        <v>37.283497407893599</v>
      </c>
      <c r="BK18" s="461">
        <f t="shared" si="55"/>
        <v>37.307061901099885</v>
      </c>
      <c r="BL18" s="461">
        <f t="shared" si="55"/>
        <v>37.330626394306172</v>
      </c>
      <c r="BM18" s="461">
        <f t="shared" si="55"/>
        <v>37.354190887512459</v>
      </c>
      <c r="BN18" s="461">
        <f t="shared" si="55"/>
        <v>37.377755380718746</v>
      </c>
      <c r="BO18" s="461">
        <f t="shared" si="55"/>
        <v>37.401319873925033</v>
      </c>
      <c r="BP18" s="461">
        <f t="shared" si="55"/>
        <v>37.42488436713132</v>
      </c>
      <c r="BQ18" s="812">
        <f>1.00952871208344*BB18</f>
        <v>37.448448860337564</v>
      </c>
      <c r="BR18" s="461">
        <f t="shared" si="56"/>
        <v>37.472237892815023</v>
      </c>
      <c r="BS18" s="461">
        <f t="shared" si="56"/>
        <v>37.496026925292483</v>
      </c>
      <c r="BT18" s="461">
        <f t="shared" si="56"/>
        <v>37.519815957769943</v>
      </c>
      <c r="BU18" s="461">
        <f t="shared" si="56"/>
        <v>37.543604990247402</v>
      </c>
      <c r="BV18" s="813">
        <f>1.00317623736115*BQ18</f>
        <v>37.567394022724876</v>
      </c>
      <c r="BW18" s="1013">
        <f>+BV18*BW$141/BV$141</f>
        <v>37.550852957486022</v>
      </c>
      <c r="BX18" s="1013">
        <f t="shared" ref="BX18:CZ18" si="59">+BW18*BX$141/BW$141</f>
        <v>37.534319175340556</v>
      </c>
      <c r="BY18" s="1013">
        <f t="shared" si="59"/>
        <v>37.517792673081715</v>
      </c>
      <c r="BZ18" s="1013">
        <f t="shared" si="59"/>
        <v>37.501273447504133</v>
      </c>
      <c r="CA18" s="1013">
        <f t="shared" si="59"/>
        <v>37.484761495403866</v>
      </c>
      <c r="CB18" s="1013">
        <f t="shared" si="59"/>
        <v>37.454736786829947</v>
      </c>
      <c r="CC18" s="1013">
        <f t="shared" si="59"/>
        <v>37.424736127578718</v>
      </c>
      <c r="CD18" s="1013">
        <f t="shared" si="59"/>
        <v>37.394759498387039</v>
      </c>
      <c r="CE18" s="1013">
        <f t="shared" si="59"/>
        <v>37.364806880007208</v>
      </c>
      <c r="CF18" s="1013">
        <f t="shared" si="59"/>
        <v>37.334878253206945</v>
      </c>
      <c r="CG18" s="1013">
        <f t="shared" si="59"/>
        <v>37.293649892574038</v>
      </c>
      <c r="CH18" s="1013">
        <f t="shared" si="59"/>
        <v>37.252467059817484</v>
      </c>
      <c r="CI18" s="1013">
        <f t="shared" si="59"/>
        <v>37.211329704661502</v>
      </c>
      <c r="CJ18" s="1013">
        <f t="shared" si="59"/>
        <v>37.170237776885841</v>
      </c>
      <c r="CK18" s="1013">
        <f t="shared" si="59"/>
        <v>37.129191226325716</v>
      </c>
      <c r="CL18" s="1013">
        <f t="shared" si="59"/>
        <v>37.084440454820722</v>
      </c>
      <c r="CM18" s="1013">
        <f t="shared" si="59"/>
        <v>37.039743620163904</v>
      </c>
      <c r="CN18" s="1013">
        <f t="shared" si="59"/>
        <v>36.995100657346704</v>
      </c>
      <c r="CO18" s="1013">
        <f t="shared" si="59"/>
        <v>36.950511501438903</v>
      </c>
      <c r="CP18" s="1013">
        <f t="shared" si="59"/>
        <v>36.905976087588542</v>
      </c>
      <c r="CQ18" s="1013">
        <f t="shared" si="59"/>
        <v>36.854392449105958</v>
      </c>
      <c r="CR18" s="1013">
        <f t="shared" si="59"/>
        <v>36.802880909292512</v>
      </c>
      <c r="CS18" s="1013">
        <f t="shared" si="59"/>
        <v>36.751441367375584</v>
      </c>
      <c r="CT18" s="1013">
        <f t="shared" si="59"/>
        <v>36.70007372272341</v>
      </c>
      <c r="CU18" s="1013">
        <f t="shared" si="59"/>
        <v>36.648777874844889</v>
      </c>
      <c r="CV18" s="1013">
        <f t="shared" si="59"/>
        <v>36.598703995041703</v>
      </c>
      <c r="CW18" s="1013">
        <f t="shared" si="59"/>
        <v>36.548698532074873</v>
      </c>
      <c r="CX18" s="1013">
        <f t="shared" si="59"/>
        <v>36.498761392465255</v>
      </c>
      <c r="CY18" s="1013">
        <f t="shared" si="59"/>
        <v>36.448892482861424</v>
      </c>
      <c r="CZ18" s="1013">
        <f t="shared" si="59"/>
        <v>36.399091710039507</v>
      </c>
    </row>
    <row r="19" spans="1:104" ht="13.8" thickTop="1" x14ac:dyDescent="0.25"/>
    <row r="21" spans="1:104" ht="13.8" thickBot="1" x14ac:dyDescent="0.3"/>
    <row r="22" spans="1:104" ht="13.8" thickTop="1" x14ac:dyDescent="0.25">
      <c r="A22" s="686" t="s">
        <v>1076</v>
      </c>
      <c r="B22" s="573" t="str">
        <f>"Prices are in $(" &amp; ref_year&amp;")/GJ LHV"</f>
        <v>Prices are in $(2016)/GJ LHV</v>
      </c>
      <c r="C22" s="687"/>
      <c r="D22" s="687"/>
      <c r="E22" s="687"/>
      <c r="F22" s="687"/>
      <c r="G22" s="687"/>
      <c r="H22" s="687"/>
      <c r="I22" s="687"/>
      <c r="J22" s="687"/>
      <c r="K22" s="687"/>
      <c r="L22" s="687"/>
      <c r="M22" s="687"/>
      <c r="N22" s="687"/>
      <c r="O22" s="687"/>
      <c r="P22" s="687"/>
      <c r="Q22" s="687"/>
      <c r="R22" s="687"/>
      <c r="S22" s="687"/>
      <c r="T22" s="687"/>
      <c r="U22" s="687"/>
      <c r="V22" s="687"/>
      <c r="W22" s="687"/>
      <c r="X22" s="687"/>
      <c r="Y22" s="687"/>
      <c r="Z22" s="687"/>
      <c r="AA22" s="687"/>
      <c r="AB22" s="687"/>
      <c r="AC22" s="687"/>
      <c r="AD22" s="687"/>
      <c r="AE22" s="687"/>
      <c r="AF22" s="687"/>
      <c r="AG22" s="687"/>
      <c r="AH22" s="687"/>
      <c r="AI22" s="687"/>
      <c r="AJ22" s="687"/>
      <c r="AK22" s="687"/>
      <c r="AL22" s="687"/>
      <c r="AM22" s="687"/>
      <c r="AN22" s="687"/>
      <c r="AO22" s="687"/>
      <c r="AP22" s="687"/>
      <c r="AQ22" s="687"/>
      <c r="AR22" s="687"/>
      <c r="AS22" s="698" t="s">
        <v>757</v>
      </c>
      <c r="AT22" s="699"/>
      <c r="AU22" s="699"/>
      <c r="AV22" s="699"/>
      <c r="AW22" s="699"/>
      <c r="AX22" s="699"/>
      <c r="AY22" s="699"/>
      <c r="AZ22" s="699"/>
      <c r="BA22" s="699"/>
      <c r="BB22" s="699"/>
      <c r="BC22" s="699"/>
      <c r="BD22" s="699"/>
      <c r="BE22" s="699"/>
      <c r="BF22" s="699"/>
      <c r="BG22" s="699"/>
      <c r="BH22" s="699"/>
      <c r="BI22" s="699"/>
      <c r="BJ22" s="699"/>
      <c r="BK22" s="699"/>
      <c r="BL22" s="699"/>
      <c r="BM22" s="699"/>
      <c r="BN22" s="699"/>
      <c r="BO22" s="699"/>
      <c r="BP22" s="699"/>
      <c r="BQ22" s="699"/>
      <c r="BR22" s="699"/>
      <c r="BS22" s="699"/>
      <c r="BT22" s="699"/>
      <c r="BU22" s="699"/>
      <c r="BV22" s="700"/>
    </row>
    <row r="23" spans="1:104" ht="40.200000000000003" thickBot="1" x14ac:dyDescent="0.3">
      <c r="A23" s="702" t="s">
        <v>1057</v>
      </c>
      <c r="B23" s="703" t="s">
        <v>663</v>
      </c>
      <c r="C23" s="703" t="s">
        <v>664</v>
      </c>
      <c r="D23" s="703" t="s">
        <v>675</v>
      </c>
      <c r="E23" s="703" t="s">
        <v>676</v>
      </c>
      <c r="F23" s="1" t="s">
        <v>665</v>
      </c>
      <c r="G23" s="1" t="s">
        <v>677</v>
      </c>
      <c r="H23" s="801">
        <v>2004</v>
      </c>
      <c r="I23" s="801">
        <v>2005</v>
      </c>
      <c r="J23" s="801">
        <v>2006</v>
      </c>
      <c r="K23" s="801">
        <v>2007</v>
      </c>
      <c r="L23" s="801">
        <v>2008</v>
      </c>
      <c r="M23" s="801">
        <v>2009</v>
      </c>
      <c r="N23" s="1">
        <v>2010</v>
      </c>
      <c r="O23" s="1">
        <v>2011</v>
      </c>
      <c r="P23" s="1">
        <v>2012</v>
      </c>
      <c r="Q23" s="1">
        <v>2013</v>
      </c>
      <c r="R23" s="1">
        <v>2014</v>
      </c>
      <c r="S23" s="1">
        <v>2015</v>
      </c>
      <c r="T23" s="1">
        <v>2016</v>
      </c>
      <c r="U23" s="1">
        <v>2017</v>
      </c>
      <c r="V23" s="1">
        <v>2018</v>
      </c>
      <c r="W23" s="1">
        <v>2019</v>
      </c>
      <c r="X23" s="1">
        <v>2020</v>
      </c>
      <c r="Y23" s="1">
        <v>2021</v>
      </c>
      <c r="Z23" s="1">
        <v>2022</v>
      </c>
      <c r="AA23" s="1">
        <v>2023</v>
      </c>
      <c r="AB23" s="1">
        <v>2024</v>
      </c>
      <c r="AC23" s="1">
        <v>2025</v>
      </c>
      <c r="AD23" s="1">
        <v>2026</v>
      </c>
      <c r="AE23" s="1">
        <v>2027</v>
      </c>
      <c r="AF23" s="1">
        <v>2028</v>
      </c>
      <c r="AG23" s="1">
        <v>2029</v>
      </c>
      <c r="AH23" s="1">
        <v>2030</v>
      </c>
      <c r="AI23" s="1">
        <v>2031</v>
      </c>
      <c r="AJ23" s="1">
        <v>2032</v>
      </c>
      <c r="AK23" s="1">
        <v>2033</v>
      </c>
      <c r="AL23" s="1">
        <v>2034</v>
      </c>
      <c r="AM23" s="1">
        <v>2035</v>
      </c>
      <c r="AN23" s="1">
        <v>2036</v>
      </c>
      <c r="AO23" s="1">
        <v>2037</v>
      </c>
      <c r="AP23" s="1">
        <v>2038</v>
      </c>
      <c r="AQ23" s="1">
        <v>2039</v>
      </c>
      <c r="AR23" s="1">
        <v>2040</v>
      </c>
      <c r="AS23" s="1">
        <v>2041</v>
      </c>
      <c r="AT23" s="1">
        <v>2042</v>
      </c>
      <c r="AU23" s="1">
        <v>2043</v>
      </c>
      <c r="AV23" s="1">
        <v>2044</v>
      </c>
      <c r="AW23" s="1">
        <v>2045</v>
      </c>
      <c r="AX23" s="1">
        <v>2046</v>
      </c>
      <c r="AY23" s="1">
        <v>2047</v>
      </c>
      <c r="AZ23" s="1">
        <v>2048</v>
      </c>
      <c r="BA23" s="1">
        <v>2049</v>
      </c>
      <c r="BB23" s="1">
        <v>2050</v>
      </c>
      <c r="BC23" s="1">
        <v>2051</v>
      </c>
      <c r="BD23" s="1">
        <v>2052</v>
      </c>
      <c r="BE23" s="1">
        <v>2053</v>
      </c>
      <c r="BF23" s="1">
        <v>2054</v>
      </c>
      <c r="BG23" s="1">
        <v>2055</v>
      </c>
      <c r="BH23" s="1">
        <v>2056</v>
      </c>
      <c r="BI23" s="1">
        <v>2057</v>
      </c>
      <c r="BJ23" s="1">
        <v>2058</v>
      </c>
      <c r="BK23" s="1">
        <v>2059</v>
      </c>
      <c r="BL23" s="1">
        <v>2060</v>
      </c>
      <c r="BM23" s="1">
        <v>2061</v>
      </c>
      <c r="BN23" s="1">
        <v>2062</v>
      </c>
      <c r="BO23" s="1">
        <v>2063</v>
      </c>
      <c r="BP23" s="1">
        <v>2064</v>
      </c>
      <c r="BQ23" s="1">
        <v>2065</v>
      </c>
      <c r="BR23" s="1">
        <v>2066</v>
      </c>
      <c r="BS23" s="1">
        <v>2067</v>
      </c>
      <c r="BT23" s="1">
        <v>2068</v>
      </c>
      <c r="BU23" s="1">
        <v>2069</v>
      </c>
      <c r="BV23" s="704">
        <v>2070</v>
      </c>
      <c r="BW23" s="1014">
        <f t="shared" ref="BW23" si="60">+BV23+1</f>
        <v>2071</v>
      </c>
      <c r="BX23" s="1014">
        <f t="shared" ref="BX23" si="61">+BW23+1</f>
        <v>2072</v>
      </c>
      <c r="BY23" s="1014">
        <f t="shared" ref="BY23" si="62">+BX23+1</f>
        <v>2073</v>
      </c>
      <c r="BZ23" s="1014">
        <f t="shared" ref="BZ23" si="63">+BY23+1</f>
        <v>2074</v>
      </c>
      <c r="CA23" s="1014">
        <f t="shared" ref="CA23" si="64">+BZ23+1</f>
        <v>2075</v>
      </c>
      <c r="CB23" s="1014">
        <f t="shared" ref="CB23" si="65">+CA23+1</f>
        <v>2076</v>
      </c>
      <c r="CC23" s="1014">
        <f t="shared" ref="CC23" si="66">+CB23+1</f>
        <v>2077</v>
      </c>
      <c r="CD23" s="1014">
        <f t="shared" ref="CD23" si="67">+CC23+1</f>
        <v>2078</v>
      </c>
      <c r="CE23" s="1014">
        <f t="shared" ref="CE23" si="68">+CD23+1</f>
        <v>2079</v>
      </c>
      <c r="CF23" s="1014">
        <f t="shared" ref="CF23" si="69">+CE23+1</f>
        <v>2080</v>
      </c>
      <c r="CG23" s="1014">
        <f t="shared" ref="CG23" si="70">+CF23+1</f>
        <v>2081</v>
      </c>
      <c r="CH23" s="1014">
        <f t="shared" ref="CH23" si="71">+CG23+1</f>
        <v>2082</v>
      </c>
      <c r="CI23" s="1014">
        <f t="shared" ref="CI23" si="72">+CH23+1</f>
        <v>2083</v>
      </c>
      <c r="CJ23" s="1014">
        <f t="shared" ref="CJ23" si="73">+CI23+1</f>
        <v>2084</v>
      </c>
      <c r="CK23" s="1014">
        <f t="shared" ref="CK23" si="74">+CJ23+1</f>
        <v>2085</v>
      </c>
      <c r="CL23" s="1014">
        <f t="shared" ref="CL23" si="75">+CK23+1</f>
        <v>2086</v>
      </c>
      <c r="CM23" s="1014">
        <f t="shared" ref="CM23" si="76">+CL23+1</f>
        <v>2087</v>
      </c>
      <c r="CN23" s="1014">
        <f t="shared" ref="CN23" si="77">+CM23+1</f>
        <v>2088</v>
      </c>
      <c r="CO23" s="1014">
        <f t="shared" ref="CO23" si="78">+CN23+1</f>
        <v>2089</v>
      </c>
      <c r="CP23" s="1014">
        <f t="shared" ref="CP23" si="79">+CO23+1</f>
        <v>2090</v>
      </c>
      <c r="CQ23" s="1014">
        <f t="shared" ref="CQ23" si="80">+CP23+1</f>
        <v>2091</v>
      </c>
      <c r="CR23" s="1014">
        <f t="shared" ref="CR23" si="81">+CQ23+1</f>
        <v>2092</v>
      </c>
      <c r="CS23" s="1014">
        <f t="shared" ref="CS23" si="82">+CR23+1</f>
        <v>2093</v>
      </c>
      <c r="CT23" s="1014">
        <f t="shared" ref="CT23" si="83">+CS23+1</f>
        <v>2094</v>
      </c>
      <c r="CU23" s="1014">
        <f t="shared" ref="CU23" si="84">+CT23+1</f>
        <v>2095</v>
      </c>
      <c r="CV23" s="1014">
        <f t="shared" ref="CV23" si="85">+CU23+1</f>
        <v>2096</v>
      </c>
      <c r="CW23" s="1014">
        <f t="shared" ref="CW23" si="86">+CV23+1</f>
        <v>2097</v>
      </c>
      <c r="CX23" s="1014">
        <f t="shared" ref="CX23" si="87">+CW23+1</f>
        <v>2098</v>
      </c>
      <c r="CY23" s="1014">
        <f t="shared" ref="CY23" si="88">+CX23+1</f>
        <v>2099</v>
      </c>
      <c r="CZ23" s="1014">
        <f t="shared" ref="CZ23" si="89">+CY23+1</f>
        <v>2100</v>
      </c>
    </row>
    <row r="24" spans="1:104" ht="13.8" thickBot="1" x14ac:dyDescent="0.3">
      <c r="A24" s="757" t="s">
        <v>1063</v>
      </c>
      <c r="B24" s="758"/>
      <c r="C24" s="758"/>
      <c r="D24" s="758"/>
      <c r="E24" s="758"/>
      <c r="F24" s="689"/>
      <c r="G24" s="758"/>
      <c r="H24" s="758"/>
      <c r="I24" s="758"/>
      <c r="J24" s="758"/>
      <c r="K24" s="758"/>
      <c r="L24" s="758"/>
      <c r="M24" s="758"/>
      <c r="N24" s="758"/>
      <c r="O24" s="758"/>
      <c r="P24" s="758"/>
      <c r="Q24" s="758"/>
      <c r="R24" s="758"/>
      <c r="S24" s="758"/>
      <c r="T24" s="758"/>
      <c r="U24" s="758"/>
      <c r="V24" s="758"/>
      <c r="W24" s="758"/>
      <c r="X24" s="758"/>
      <c r="Y24" s="758"/>
      <c r="Z24" s="758"/>
      <c r="AA24" s="758"/>
      <c r="AB24" s="758"/>
      <c r="AC24" s="758"/>
      <c r="AD24" s="758"/>
      <c r="AE24" s="758"/>
      <c r="AF24" s="758"/>
      <c r="AG24" s="758"/>
      <c r="AH24" s="758"/>
      <c r="AI24" s="758"/>
      <c r="AJ24" s="758"/>
      <c r="AK24" s="758"/>
      <c r="AL24" s="758"/>
      <c r="AM24" s="758"/>
      <c r="AN24" s="758"/>
      <c r="AO24" s="758"/>
      <c r="AP24" s="758"/>
      <c r="AQ24" s="758"/>
      <c r="AR24" s="758"/>
      <c r="AS24" s="758"/>
      <c r="AT24" s="758"/>
      <c r="AU24" s="758"/>
      <c r="AV24" s="758"/>
      <c r="AW24" s="758"/>
      <c r="AX24" s="758"/>
      <c r="AY24" s="758"/>
      <c r="AZ24" s="758"/>
      <c r="BA24" s="758"/>
      <c r="BC24" s="758"/>
      <c r="BD24" s="758"/>
      <c r="BE24" s="758"/>
      <c r="BF24" s="758"/>
      <c r="BG24" s="758"/>
      <c r="BH24" s="758"/>
      <c r="BI24" s="758"/>
      <c r="BJ24" s="758"/>
      <c r="BK24" s="758"/>
      <c r="BL24" s="758"/>
      <c r="BM24" s="758"/>
      <c r="BN24" s="758"/>
      <c r="BO24" s="758"/>
      <c r="BP24" s="758"/>
      <c r="BR24" s="758"/>
      <c r="BS24" s="758"/>
      <c r="BT24" s="758"/>
      <c r="BU24" s="758"/>
    </row>
    <row r="25" spans="1:104" x14ac:dyDescent="0.25">
      <c r="A25" s="772" t="str">
        <f>'HyARC Physical Property Data'!A73</f>
        <v>Residential Natural Gas</v>
      </c>
      <c r="B25" s="758">
        <v>2011</v>
      </c>
      <c r="C25" s="759">
        <f>VLOOKUP(ref_year,DeflatorTable,2,FALSE)/VLOOKUP(B25,DeflatorTable,2,FALSE)</f>
        <v>1.0771767810026385</v>
      </c>
      <c r="D25" s="962" t="str">
        <f>'HyARC Physical Property Data'!H73</f>
        <v>mmBtu</v>
      </c>
      <c r="E25" s="759" t="s">
        <v>1031</v>
      </c>
      <c r="F25" s="758">
        <f>'HyARC Physical Property Data'!$E$6</f>
        <v>47.141269049911173</v>
      </c>
      <c r="G25" s="758">
        <f>'HyARC Physical Property Data'!$I$6</f>
        <v>52.224661236371581</v>
      </c>
      <c r="H25" s="802">
        <v>14.386141835345208</v>
      </c>
      <c r="I25" s="802">
        <v>14.386141835345208</v>
      </c>
      <c r="J25" s="802">
        <v>14.386141835345208</v>
      </c>
      <c r="K25" s="802">
        <v>13.326716630976858</v>
      </c>
      <c r="L25" s="802">
        <v>13.627764477872551</v>
      </c>
      <c r="M25" s="802">
        <v>11.254339733155913</v>
      </c>
      <c r="N25" s="758">
        <f t="shared" ref="N25:AR25" si="90">((N42/(mmBTU_to_GJ))*($C25))*($G25/$F25)</f>
        <v>12.848820030872972</v>
      </c>
      <c r="O25" s="758">
        <f t="shared" si="90"/>
        <v>12.218751960936617</v>
      </c>
      <c r="P25" s="758">
        <f t="shared" si="90"/>
        <v>11.836476203703018</v>
      </c>
      <c r="Q25" s="758">
        <f t="shared" si="90"/>
        <v>11.8517734777777</v>
      </c>
      <c r="R25" s="758">
        <f t="shared" si="90"/>
        <v>11.597927407987708</v>
      </c>
      <c r="S25" s="758">
        <f t="shared" si="90"/>
        <v>11.487750612568879</v>
      </c>
      <c r="T25" s="758">
        <f t="shared" si="90"/>
        <v>12.060887123888937</v>
      </c>
      <c r="U25" s="758">
        <f t="shared" si="90"/>
        <v>12.431586993598115</v>
      </c>
      <c r="V25" s="758">
        <f t="shared" si="90"/>
        <v>12.891966623565866</v>
      </c>
      <c r="W25" s="758">
        <f t="shared" si="90"/>
        <v>13.149168727974281</v>
      </c>
      <c r="X25" s="758">
        <f t="shared" si="90"/>
        <v>13.320350247045116</v>
      </c>
      <c r="Y25" s="758">
        <f t="shared" si="90"/>
        <v>13.528204956004251</v>
      </c>
      <c r="Z25" s="758">
        <f t="shared" si="90"/>
        <v>13.803266322492309</v>
      </c>
      <c r="AA25" s="758">
        <f t="shared" si="90"/>
        <v>14.062393594046176</v>
      </c>
      <c r="AB25" s="758">
        <f t="shared" si="90"/>
        <v>14.234621399609106</v>
      </c>
      <c r="AC25" s="758">
        <f t="shared" si="90"/>
        <v>14.336189236658935</v>
      </c>
      <c r="AD25" s="758">
        <f t="shared" si="90"/>
        <v>14.525745808772006</v>
      </c>
      <c r="AE25" s="758">
        <f t="shared" si="90"/>
        <v>14.629217321677178</v>
      </c>
      <c r="AF25" s="758">
        <f t="shared" si="90"/>
        <v>14.801367079923402</v>
      </c>
      <c r="AG25" s="758">
        <f t="shared" si="90"/>
        <v>14.969684601807232</v>
      </c>
      <c r="AH25" s="758">
        <f t="shared" si="90"/>
        <v>15.121948129980476</v>
      </c>
      <c r="AI25" s="758">
        <f t="shared" si="90"/>
        <v>15.323390516643737</v>
      </c>
      <c r="AJ25" s="758">
        <f t="shared" si="90"/>
        <v>15.521017633752583</v>
      </c>
      <c r="AK25" s="758">
        <f t="shared" si="90"/>
        <v>15.763176966206016</v>
      </c>
      <c r="AL25" s="758">
        <f t="shared" si="90"/>
        <v>16.117258413059144</v>
      </c>
      <c r="AM25" s="758">
        <f t="shared" si="90"/>
        <v>16.51303296272155</v>
      </c>
      <c r="AN25" s="758">
        <f t="shared" si="90"/>
        <v>16.993618929872834</v>
      </c>
      <c r="AO25" s="758">
        <f t="shared" si="90"/>
        <v>17.437235353556446</v>
      </c>
      <c r="AP25" s="758">
        <f t="shared" si="90"/>
        <v>17.919522525987844</v>
      </c>
      <c r="AQ25" s="758">
        <f t="shared" si="90"/>
        <v>18.161000923881019</v>
      </c>
      <c r="AR25" s="758">
        <f t="shared" si="90"/>
        <v>18.508607836809013</v>
      </c>
      <c r="AS25" s="758">
        <f>($BB25-$AR25)/10+AR25</f>
        <v>18.515839395504365</v>
      </c>
      <c r="AT25" s="758">
        <f t="shared" ref="AT25:BA25" si="91">($BB25-$AR25)/10+AS25</f>
        <v>18.523070954199717</v>
      </c>
      <c r="AU25" s="758">
        <f t="shared" si="91"/>
        <v>18.530302512895069</v>
      </c>
      <c r="AV25" s="758">
        <f t="shared" si="91"/>
        <v>18.537534071590422</v>
      </c>
      <c r="AW25" s="758">
        <f t="shared" si="91"/>
        <v>18.544765630285774</v>
      </c>
      <c r="AX25" s="758">
        <f t="shared" si="91"/>
        <v>18.551997188981126</v>
      </c>
      <c r="AY25" s="758">
        <f t="shared" si="91"/>
        <v>18.559228747676478</v>
      </c>
      <c r="AZ25" s="758">
        <f t="shared" si="91"/>
        <v>18.56646030637183</v>
      </c>
      <c r="BA25" s="758">
        <f t="shared" si="91"/>
        <v>18.573691865067183</v>
      </c>
      <c r="BB25" s="760">
        <f>'AEO Data'!$B$30*AM25</f>
        <v>18.580923423762542</v>
      </c>
      <c r="BC25" s="758">
        <f>($BQ25-$BB25)/15+BB25</f>
        <v>18.732326935626944</v>
      </c>
      <c r="BD25" s="758">
        <f t="shared" ref="BD25:BP25" si="92">($BQ25-$BB25)/15+BC25</f>
        <v>18.883730447491345</v>
      </c>
      <c r="BE25" s="758">
        <f t="shared" si="92"/>
        <v>19.035133959355747</v>
      </c>
      <c r="BF25" s="758">
        <f t="shared" si="92"/>
        <v>19.186537471220149</v>
      </c>
      <c r="BG25" s="758">
        <f t="shared" si="92"/>
        <v>19.33794098308455</v>
      </c>
      <c r="BH25" s="758">
        <f t="shared" si="92"/>
        <v>19.489344494948952</v>
      </c>
      <c r="BI25" s="758">
        <f t="shared" si="92"/>
        <v>19.640748006813354</v>
      </c>
      <c r="BJ25" s="758">
        <f t="shared" si="92"/>
        <v>19.792151518677755</v>
      </c>
      <c r="BK25" s="758">
        <f t="shared" si="92"/>
        <v>19.943555030542157</v>
      </c>
      <c r="BL25" s="758">
        <f t="shared" si="92"/>
        <v>20.094958542406559</v>
      </c>
      <c r="BM25" s="758">
        <f t="shared" si="92"/>
        <v>20.246362054270961</v>
      </c>
      <c r="BN25" s="758">
        <f t="shared" si="92"/>
        <v>20.397765566135362</v>
      </c>
      <c r="BO25" s="758">
        <f t="shared" si="92"/>
        <v>20.549169077999764</v>
      </c>
      <c r="BP25" s="758">
        <f t="shared" si="92"/>
        <v>20.700572589864166</v>
      </c>
      <c r="BQ25" s="760">
        <f>'AEO Data'!$C$30*BB25</f>
        <v>20.851976101728582</v>
      </c>
      <c r="BR25" s="758">
        <f>($BV25-$BQ25)/5+BQ25</f>
        <v>20.971163273815758</v>
      </c>
      <c r="BS25" s="758">
        <f>($BV25-$BQ25)/5+BR25</f>
        <v>21.090350445902935</v>
      </c>
      <c r="BT25" s="758">
        <f>($BV25-$BQ25)/5+BS25</f>
        <v>21.209537617990112</v>
      </c>
      <c r="BU25" s="758">
        <f>($BV25-$BQ25)/5+BT25</f>
        <v>21.328724790077288</v>
      </c>
      <c r="BV25" s="761">
        <f>'AEO Data'!$D$30*BQ25</f>
        <v>21.447911962164458</v>
      </c>
      <c r="BW25" s="1013">
        <f>+BV25*BW$133/BV$133</f>
        <v>21.519125336431191</v>
      </c>
      <c r="BX25" s="1013">
        <f t="shared" ref="BX25:CZ25" si="93">+BW25*BX$133/BW$133</f>
        <v>21.590575160040096</v>
      </c>
      <c r="BY25" s="1013">
        <f t="shared" si="93"/>
        <v>21.66226221807252</v>
      </c>
      <c r="BZ25" s="1013">
        <f t="shared" si="93"/>
        <v>21.734187298216501</v>
      </c>
      <c r="CA25" s="1013">
        <f t="shared" si="93"/>
        <v>21.806351190775437</v>
      </c>
      <c r="CB25" s="1013">
        <f t="shared" si="93"/>
        <v>21.852884379410604</v>
      </c>
      <c r="CC25" s="1013">
        <f t="shared" si="93"/>
        <v>21.899516866531133</v>
      </c>
      <c r="CD25" s="1013">
        <f t="shared" si="93"/>
        <v>21.946248864032874</v>
      </c>
      <c r="CE25" s="1013">
        <f t="shared" si="93"/>
        <v>21.993080584263836</v>
      </c>
      <c r="CF25" s="1013">
        <f t="shared" si="93"/>
        <v>22.040012240025163</v>
      </c>
      <c r="CG25" s="1013">
        <f t="shared" si="93"/>
        <v>22.055250650944551</v>
      </c>
      <c r="CH25" s="1013">
        <f t="shared" si="93"/>
        <v>22.070499597664231</v>
      </c>
      <c r="CI25" s="1013">
        <f t="shared" si="93"/>
        <v>22.085759087468627</v>
      </c>
      <c r="CJ25" s="1013">
        <f t="shared" si="93"/>
        <v>22.101029127647202</v>
      </c>
      <c r="CK25" s="1013">
        <f t="shared" si="93"/>
        <v>22.116309725494457</v>
      </c>
      <c r="CL25" s="1013">
        <f t="shared" si="93"/>
        <v>22.121489169854147</v>
      </c>
      <c r="CM25" s="1013">
        <f t="shared" si="93"/>
        <v>22.126669827193954</v>
      </c>
      <c r="CN25" s="1013">
        <f t="shared" si="93"/>
        <v>22.131851697797941</v>
      </c>
      <c r="CO25" s="1013">
        <f t="shared" si="93"/>
        <v>22.137034781950248</v>
      </c>
      <c r="CP25" s="1013">
        <f t="shared" si="93"/>
        <v>22.142219079935074</v>
      </c>
      <c r="CQ25" s="1013">
        <f t="shared" si="93"/>
        <v>22.15007638128591</v>
      </c>
      <c r="CR25" s="1013">
        <f t="shared" si="93"/>
        <v>22.157936470848</v>
      </c>
      <c r="CS25" s="1013">
        <f t="shared" si="93"/>
        <v>22.165799349610761</v>
      </c>
      <c r="CT25" s="1013">
        <f t="shared" si="93"/>
        <v>22.173665018563963</v>
      </c>
      <c r="CU25" s="1013">
        <f t="shared" si="93"/>
        <v>22.181533478697713</v>
      </c>
      <c r="CV25" s="1013">
        <f t="shared" si="93"/>
        <v>22.193643072156416</v>
      </c>
      <c r="CW25" s="1013">
        <f t="shared" si="93"/>
        <v>22.205759276621244</v>
      </c>
      <c r="CX25" s="1013">
        <f t="shared" si="93"/>
        <v>22.217882095701352</v>
      </c>
      <c r="CY25" s="1013">
        <f t="shared" si="93"/>
        <v>22.230011533007868</v>
      </c>
      <c r="CZ25" s="1013">
        <f t="shared" si="93"/>
        <v>22.242147592153891</v>
      </c>
    </row>
    <row r="26" spans="1:104" x14ac:dyDescent="0.25">
      <c r="A26" s="693" t="str">
        <f>'HyARC Physical Property Data'!A71</f>
        <v>Commercial Natural Gas</v>
      </c>
      <c r="B26">
        <v>2011</v>
      </c>
      <c r="C26" s="692">
        <f>VLOOKUP(ref_year,DeflatorTable,2,FALSE)/VLOOKUP(B26,DeflatorTable,2,FALSE)</f>
        <v>1.0771767810026385</v>
      </c>
      <c r="D26" s="963" t="str">
        <f>'HyARC Physical Property Data'!H71</f>
        <v>mmBtu</v>
      </c>
      <c r="E26" s="692" t="s">
        <v>1031</v>
      </c>
      <c r="F26">
        <f>'HyARC Physical Property Data'!$E$6</f>
        <v>47.141269049911173</v>
      </c>
      <c r="G26">
        <f>'HyARC Physical Property Data'!$I$6</f>
        <v>52.224661236371581</v>
      </c>
      <c r="H26" s="803">
        <v>12.491836786393147</v>
      </c>
      <c r="I26" s="803">
        <v>12.491836786393147</v>
      </c>
      <c r="J26" s="803">
        <v>12.491836786393147</v>
      </c>
      <c r="K26" s="803">
        <v>11.540201846875071</v>
      </c>
      <c r="L26" s="803">
        <v>11.906633267965836</v>
      </c>
      <c r="M26" s="803">
        <v>9.3536765847618941</v>
      </c>
      <c r="N26">
        <f t="shared" ref="N26:AR26" si="94">((N43/(mmBTU_to_GJ))*($C26))*($G26/$F26)</f>
        <v>10.629111361129928</v>
      </c>
      <c r="O26">
        <f t="shared" si="94"/>
        <v>9.9955549154729031</v>
      </c>
      <c r="P26">
        <f t="shared" si="94"/>
        <v>9.1313053061952658</v>
      </c>
      <c r="Q26">
        <f t="shared" si="94"/>
        <v>9.5723721841997591</v>
      </c>
      <c r="R26">
        <f t="shared" si="94"/>
        <v>9.3150739345461275</v>
      </c>
      <c r="S26">
        <f t="shared" si="94"/>
        <v>9.1670102569081706</v>
      </c>
      <c r="T26">
        <f t="shared" si="94"/>
        <v>9.6835669880973843</v>
      </c>
      <c r="U26">
        <f t="shared" si="94"/>
        <v>9.9819022906517407</v>
      </c>
      <c r="V26">
        <f t="shared" si="94"/>
        <v>10.374954233193641</v>
      </c>
      <c r="W26">
        <f t="shared" si="94"/>
        <v>10.576898837373108</v>
      </c>
      <c r="X26">
        <f t="shared" si="94"/>
        <v>10.709472950445942</v>
      </c>
      <c r="Y26">
        <f t="shared" si="94"/>
        <v>10.871133827998989</v>
      </c>
      <c r="Z26">
        <f t="shared" si="94"/>
        <v>11.106678367581321</v>
      </c>
      <c r="AA26">
        <f t="shared" si="94"/>
        <v>11.324324055865388</v>
      </c>
      <c r="AB26">
        <f t="shared" si="94"/>
        <v>11.461664710860044</v>
      </c>
      <c r="AC26">
        <f t="shared" si="94"/>
        <v>11.530251335438004</v>
      </c>
      <c r="AD26">
        <f t="shared" si="94"/>
        <v>11.690741503240439</v>
      </c>
      <c r="AE26">
        <f t="shared" si="94"/>
        <v>11.750101577638928</v>
      </c>
      <c r="AF26">
        <f t="shared" si="94"/>
        <v>11.876771241534755</v>
      </c>
      <c r="AG26">
        <f t="shared" si="94"/>
        <v>11.995898593723251</v>
      </c>
      <c r="AH26">
        <f t="shared" si="94"/>
        <v>12.099846308372394</v>
      </c>
      <c r="AI26">
        <f t="shared" si="94"/>
        <v>12.252762493092598</v>
      </c>
      <c r="AJ26">
        <f t="shared" si="94"/>
        <v>12.390975242017417</v>
      </c>
      <c r="AK26">
        <f t="shared" si="94"/>
        <v>12.576341012559455</v>
      </c>
      <c r="AL26">
        <f t="shared" si="94"/>
        <v>12.876005381738906</v>
      </c>
      <c r="AM26">
        <f t="shared" si="94"/>
        <v>13.213362080405979</v>
      </c>
      <c r="AN26">
        <f t="shared" si="94"/>
        <v>13.642549930583472</v>
      </c>
      <c r="AO26">
        <f t="shared" si="94"/>
        <v>14.027368446772995</v>
      </c>
      <c r="AP26">
        <f t="shared" si="94"/>
        <v>14.457440833206514</v>
      </c>
      <c r="AQ26">
        <f t="shared" si="94"/>
        <v>14.646759870007866</v>
      </c>
      <c r="AR26">
        <f t="shared" si="94"/>
        <v>14.945407361829057</v>
      </c>
      <c r="AS26">
        <f t="shared" ref="AS26:BA26" si="95">($BB26-$AR26)/10+AR26</f>
        <v>14.937670833817531</v>
      </c>
      <c r="AT26">
        <f t="shared" si="95"/>
        <v>14.929934305806006</v>
      </c>
      <c r="AU26">
        <f t="shared" si="95"/>
        <v>14.92219777779448</v>
      </c>
      <c r="AV26">
        <f t="shared" si="95"/>
        <v>14.914461249782955</v>
      </c>
      <c r="AW26">
        <f t="shared" si="95"/>
        <v>14.906724721771429</v>
      </c>
      <c r="AX26">
        <f t="shared" si="95"/>
        <v>14.898988193759903</v>
      </c>
      <c r="AY26">
        <f t="shared" si="95"/>
        <v>14.891251665748378</v>
      </c>
      <c r="AZ26">
        <f t="shared" si="95"/>
        <v>14.883515137736852</v>
      </c>
      <c r="BA26">
        <f t="shared" si="95"/>
        <v>14.875778609725327</v>
      </c>
      <c r="BB26" s="741">
        <f>'AEO Data'!$B$30*AM26</f>
        <v>14.868042081713805</v>
      </c>
      <c r="BC26">
        <f t="shared" ref="BC26:BP28" si="96">($BQ26-$BB26)/15+BB26</f>
        <v>14.989191807934644</v>
      </c>
      <c r="BD26">
        <f t="shared" si="96"/>
        <v>15.110341534155483</v>
      </c>
      <c r="BE26">
        <f t="shared" si="96"/>
        <v>15.231491260376322</v>
      </c>
      <c r="BF26">
        <f t="shared" si="96"/>
        <v>15.35264098659716</v>
      </c>
      <c r="BG26">
        <f t="shared" si="96"/>
        <v>15.473790712817999</v>
      </c>
      <c r="BH26">
        <f t="shared" si="96"/>
        <v>15.594940439038838</v>
      </c>
      <c r="BI26">
        <f t="shared" si="96"/>
        <v>15.716090165259677</v>
      </c>
      <c r="BJ26">
        <f t="shared" si="96"/>
        <v>15.837239891480516</v>
      </c>
      <c r="BK26">
        <f t="shared" si="96"/>
        <v>15.958389617701355</v>
      </c>
      <c r="BL26">
        <f t="shared" si="96"/>
        <v>16.079539343922193</v>
      </c>
      <c r="BM26">
        <f t="shared" si="96"/>
        <v>16.200689070143032</v>
      </c>
      <c r="BN26">
        <f t="shared" si="96"/>
        <v>16.32183879636387</v>
      </c>
      <c r="BO26">
        <f t="shared" si="96"/>
        <v>16.442988522584709</v>
      </c>
      <c r="BP26">
        <f t="shared" si="96"/>
        <v>16.564138248805548</v>
      </c>
      <c r="BQ26" s="741">
        <f>'AEO Data'!$C$30*BB26</f>
        <v>16.68528797502638</v>
      </c>
      <c r="BR26">
        <f t="shared" ref="BR26:BU28" si="97">($BV26-$BQ26)/5+BQ26</f>
        <v>16.780658901959232</v>
      </c>
      <c r="BS26">
        <f t="shared" si="97"/>
        <v>16.876029828892083</v>
      </c>
      <c r="BT26">
        <f t="shared" si="97"/>
        <v>16.971400755824934</v>
      </c>
      <c r="BU26">
        <f t="shared" si="97"/>
        <v>17.066771682757786</v>
      </c>
      <c r="BV26" s="762">
        <f>'AEO Data'!$D$30*BQ26</f>
        <v>17.162142609690644</v>
      </c>
      <c r="BW26" s="1013">
        <f>+BV26*BW$134/BV$134</f>
        <v>17.219125969517879</v>
      </c>
      <c r="BX26" s="1013">
        <f t="shared" ref="BX26:CZ26" si="98">+BW26*BX$134/BW$134</f>
        <v>17.276298530855151</v>
      </c>
      <c r="BY26" s="1013">
        <f t="shared" si="98"/>
        <v>17.333660921907107</v>
      </c>
      <c r="BZ26" s="1013">
        <f t="shared" si="98"/>
        <v>17.391213772964214</v>
      </c>
      <c r="CA26" s="1013">
        <f t="shared" si="98"/>
        <v>17.448957716409694</v>
      </c>
      <c r="CB26" s="1013">
        <f t="shared" si="98"/>
        <v>17.486192540053562</v>
      </c>
      <c r="CC26" s="1013">
        <f t="shared" si="98"/>
        <v>17.523506820139147</v>
      </c>
      <c r="CD26" s="1013">
        <f t="shared" si="98"/>
        <v>17.56090072622079</v>
      </c>
      <c r="CE26" s="1013">
        <f t="shared" si="98"/>
        <v>17.598374428214658</v>
      </c>
      <c r="CF26" s="1013">
        <f t="shared" si="98"/>
        <v>17.635928096399496</v>
      </c>
      <c r="CG26" s="1013">
        <f t="shared" si="98"/>
        <v>17.648121534241135</v>
      </c>
      <c r="CH26" s="1013">
        <f t="shared" si="98"/>
        <v>17.660323402596077</v>
      </c>
      <c r="CI26" s="1013">
        <f t="shared" si="98"/>
        <v>17.672533707293155</v>
      </c>
      <c r="CJ26" s="1013">
        <f t="shared" si="98"/>
        <v>17.684752454165238</v>
      </c>
      <c r="CK26" s="1013">
        <f t="shared" si="98"/>
        <v>17.696979649049226</v>
      </c>
      <c r="CL26" s="1013">
        <f t="shared" si="98"/>
        <v>17.701124125345881</v>
      </c>
      <c r="CM26" s="1013">
        <f t="shared" si="98"/>
        <v>17.705269572242276</v>
      </c>
      <c r="CN26" s="1013">
        <f t="shared" si="98"/>
        <v>17.709415989965713</v>
      </c>
      <c r="CO26" s="1013">
        <f t="shared" si="98"/>
        <v>17.713563378743547</v>
      </c>
      <c r="CP26" s="1013">
        <f t="shared" si="98"/>
        <v>17.717711738803196</v>
      </c>
      <c r="CQ26" s="1013">
        <f t="shared" si="98"/>
        <v>17.723998976765952</v>
      </c>
      <c r="CR26" s="1013">
        <f t="shared" si="98"/>
        <v>17.730288445793402</v>
      </c>
      <c r="CS26" s="1013">
        <f t="shared" si="98"/>
        <v>17.736580146677259</v>
      </c>
      <c r="CT26" s="1013">
        <f t="shared" si="98"/>
        <v>17.742874080209511</v>
      </c>
      <c r="CU26" s="1013">
        <f t="shared" si="98"/>
        <v>17.749170247182427</v>
      </c>
      <c r="CV26" s="1013">
        <f t="shared" si="98"/>
        <v>17.758860074809945</v>
      </c>
      <c r="CW26" s="1013">
        <f t="shared" si="98"/>
        <v>17.768555192417683</v>
      </c>
      <c r="CX26" s="1013">
        <f t="shared" si="98"/>
        <v>17.778255602893598</v>
      </c>
      <c r="CY26" s="1013">
        <f t="shared" si="98"/>
        <v>17.78796130912724</v>
      </c>
      <c r="CZ26" s="1013">
        <f t="shared" si="98"/>
        <v>17.797672314009723</v>
      </c>
    </row>
    <row r="27" spans="1:104" x14ac:dyDescent="0.25">
      <c r="A27" s="693" t="str">
        <f>'HyARC Physical Property Data'!A72</f>
        <v>Industrial Natural Gas</v>
      </c>
      <c r="B27">
        <v>2011</v>
      </c>
      <c r="C27" s="692">
        <f t="shared" ref="C27:C35" si="99">VLOOKUP(ref_year,DeflatorTable,2,FALSE)/VLOOKUP(B27,DeflatorTable,2,FALSE)</f>
        <v>1.0771767810026385</v>
      </c>
      <c r="D27" s="963" t="str">
        <f>'HyARC Physical Property Data'!H72</f>
        <v>mmBtu</v>
      </c>
      <c r="E27" s="692" t="s">
        <v>1031</v>
      </c>
      <c r="F27">
        <f>'HyARC Physical Property Data'!$E$6</f>
        <v>47.141269049911173</v>
      </c>
      <c r="G27">
        <f>'HyARC Physical Property Data'!$I$6</f>
        <v>52.224661236371581</v>
      </c>
      <c r="H27" s="803">
        <v>8.3524006010892204</v>
      </c>
      <c r="I27" s="803">
        <v>8.3524006010892204</v>
      </c>
      <c r="J27" s="803">
        <v>8.3524006010892204</v>
      </c>
      <c r="K27" s="803">
        <v>7.891606632326889</v>
      </c>
      <c r="L27" s="803">
        <v>9.2420298006250725</v>
      </c>
      <c r="M27" s="803">
        <v>5.091378564817072</v>
      </c>
      <c r="N27">
        <f t="shared" ref="N27:AR27" si="100">((N44/(mmBTU_to_GJ))*($C27))*($G27/$F27)</f>
        <v>6.2030197526312536</v>
      </c>
      <c r="O27">
        <f t="shared" si="100"/>
        <v>5.530967881908893</v>
      </c>
      <c r="P27">
        <f t="shared" si="100"/>
        <v>4.2526580284486375</v>
      </c>
      <c r="Q27">
        <f t="shared" si="100"/>
        <v>4.9022628122135865</v>
      </c>
      <c r="R27">
        <f t="shared" si="100"/>
        <v>4.9487111457393711</v>
      </c>
      <c r="S27">
        <f t="shared" si="100"/>
        <v>5.0024201419600187</v>
      </c>
      <c r="T27">
        <f t="shared" si="100"/>
        <v>5.5040732290196832</v>
      </c>
      <c r="U27">
        <f t="shared" si="100"/>
        <v>5.7324521200318364</v>
      </c>
      <c r="V27">
        <f t="shared" si="100"/>
        <v>6.0189830487143103</v>
      </c>
      <c r="W27">
        <f t="shared" si="100"/>
        <v>6.1643784130172916</v>
      </c>
      <c r="X27">
        <f t="shared" si="100"/>
        <v>6.2544314430514243</v>
      </c>
      <c r="Y27">
        <f t="shared" si="100"/>
        <v>6.3802934868874104</v>
      </c>
      <c r="Z27">
        <f t="shared" si="100"/>
        <v>6.5919159583386113</v>
      </c>
      <c r="AA27">
        <f t="shared" si="100"/>
        <v>6.7988318372561878</v>
      </c>
      <c r="AB27">
        <f t="shared" si="100"/>
        <v>6.9111566305652739</v>
      </c>
      <c r="AC27">
        <f t="shared" si="100"/>
        <v>6.9577474852780874</v>
      </c>
      <c r="AD27">
        <f t="shared" si="100"/>
        <v>7.0760185792238648</v>
      </c>
      <c r="AE27">
        <f t="shared" si="100"/>
        <v>7.1203087347746017</v>
      </c>
      <c r="AF27">
        <f t="shared" si="100"/>
        <v>7.2355314588866548</v>
      </c>
      <c r="AG27">
        <f t="shared" si="100"/>
        <v>7.3367328128841169</v>
      </c>
      <c r="AH27">
        <f t="shared" si="100"/>
        <v>7.4218281416265226</v>
      </c>
      <c r="AI27">
        <f t="shared" si="100"/>
        <v>7.552074408644514</v>
      </c>
      <c r="AJ27">
        <f t="shared" si="100"/>
        <v>7.6589686922794975</v>
      </c>
      <c r="AK27">
        <f t="shared" si="100"/>
        <v>7.8228205503030184</v>
      </c>
      <c r="AL27">
        <f t="shared" si="100"/>
        <v>8.1087248382107671</v>
      </c>
      <c r="AM27">
        <f t="shared" si="100"/>
        <v>8.4216617757126304</v>
      </c>
      <c r="AN27">
        <f t="shared" si="100"/>
        <v>8.8376765961745321</v>
      </c>
      <c r="AO27">
        <f t="shared" si="100"/>
        <v>9.2227722368943912</v>
      </c>
      <c r="AP27">
        <f t="shared" si="100"/>
        <v>9.6133017806499446</v>
      </c>
      <c r="AQ27">
        <f t="shared" si="100"/>
        <v>9.7721812328148197</v>
      </c>
      <c r="AR27">
        <f t="shared" si="100"/>
        <v>10.045586638844041</v>
      </c>
      <c r="AS27">
        <f t="shared" ref="AS27:BA27" si="101">($BB27-$AR27)/10+AR27</f>
        <v>9.9886567534439159</v>
      </c>
      <c r="AT27">
        <f t="shared" si="101"/>
        <v>9.9317268680437891</v>
      </c>
      <c r="AU27">
        <f t="shared" si="101"/>
        <v>9.8747969826436623</v>
      </c>
      <c r="AV27">
        <f t="shared" si="101"/>
        <v>9.8178670972435356</v>
      </c>
      <c r="AW27">
        <f t="shared" si="101"/>
        <v>9.7609372118434088</v>
      </c>
      <c r="AX27">
        <f t="shared" si="101"/>
        <v>9.704007326443282</v>
      </c>
      <c r="AY27">
        <f t="shared" si="101"/>
        <v>9.6470774410431552</v>
      </c>
      <c r="AZ27">
        <f t="shared" si="101"/>
        <v>9.5901475556430285</v>
      </c>
      <c r="BA27">
        <f t="shared" si="101"/>
        <v>9.5332176702429017</v>
      </c>
      <c r="BB27" s="741">
        <f>'AEO Data'!$B$30*AM27</f>
        <v>9.476287784842782</v>
      </c>
      <c r="BC27">
        <f t="shared" si="96"/>
        <v>9.5535037131011205</v>
      </c>
      <c r="BD27">
        <f t="shared" si="96"/>
        <v>9.6307196413594589</v>
      </c>
      <c r="BE27">
        <f t="shared" si="96"/>
        <v>9.7079355696177974</v>
      </c>
      <c r="BF27">
        <f t="shared" si="96"/>
        <v>9.7851514978761358</v>
      </c>
      <c r="BG27">
        <f t="shared" si="96"/>
        <v>9.8623674261344743</v>
      </c>
      <c r="BH27">
        <f t="shared" si="96"/>
        <v>9.9395833543928127</v>
      </c>
      <c r="BI27">
        <f t="shared" si="96"/>
        <v>10.016799282651151</v>
      </c>
      <c r="BJ27">
        <f t="shared" si="96"/>
        <v>10.09401521090949</v>
      </c>
      <c r="BK27">
        <f t="shared" si="96"/>
        <v>10.171231139167828</v>
      </c>
      <c r="BL27">
        <f t="shared" si="96"/>
        <v>10.248447067426167</v>
      </c>
      <c r="BM27">
        <f t="shared" si="96"/>
        <v>10.325662995684505</v>
      </c>
      <c r="BN27">
        <f t="shared" si="96"/>
        <v>10.402878923942843</v>
      </c>
      <c r="BO27">
        <f t="shared" si="96"/>
        <v>10.480094852201182</v>
      </c>
      <c r="BP27">
        <f t="shared" si="96"/>
        <v>10.55731078045952</v>
      </c>
      <c r="BQ27" s="741">
        <f>'AEO Data'!$C$30*BB27</f>
        <v>10.634526708717866</v>
      </c>
      <c r="BR27">
        <f t="shared" si="97"/>
        <v>10.695312274494174</v>
      </c>
      <c r="BS27">
        <f t="shared" si="97"/>
        <v>10.756097840270483</v>
      </c>
      <c r="BT27">
        <f t="shared" si="97"/>
        <v>10.816883406046792</v>
      </c>
      <c r="BU27">
        <f t="shared" si="97"/>
        <v>10.8776689718231</v>
      </c>
      <c r="BV27" s="762">
        <f>'AEO Data'!$D$30*BQ27</f>
        <v>10.938454537599405</v>
      </c>
      <c r="BW27" s="1013">
        <f>+BV27*BW$135/BV$135</f>
        <v>10.974773423011646</v>
      </c>
      <c r="BX27" s="1013">
        <f t="shared" ref="BX27:CZ27" si="102">+BW27*BX$135/BW$135</f>
        <v>11.011212897802675</v>
      </c>
      <c r="BY27" s="1013">
        <f t="shared" si="102"/>
        <v>11.047773362364691</v>
      </c>
      <c r="BZ27" s="1013">
        <f t="shared" si="102"/>
        <v>11.084455218419302</v>
      </c>
      <c r="CA27" s="1013">
        <f t="shared" si="102"/>
        <v>11.121258869021963</v>
      </c>
      <c r="CB27" s="1013">
        <f t="shared" si="102"/>
        <v>11.144990837396005</v>
      </c>
      <c r="CC27" s="1013">
        <f t="shared" si="102"/>
        <v>11.168773448087572</v>
      </c>
      <c r="CD27" s="1013">
        <f t="shared" si="102"/>
        <v>11.192606809163733</v>
      </c>
      <c r="CE27" s="1013">
        <f t="shared" si="102"/>
        <v>11.216491028922169</v>
      </c>
      <c r="CF27" s="1013">
        <f t="shared" si="102"/>
        <v>11.240426215891658</v>
      </c>
      <c r="CG27" s="1013">
        <f t="shared" si="102"/>
        <v>11.24819781927016</v>
      </c>
      <c r="CH27" s="1013">
        <f t="shared" si="102"/>
        <v>11.255974795916359</v>
      </c>
      <c r="CI27" s="1013">
        <f t="shared" si="102"/>
        <v>11.263757149545318</v>
      </c>
      <c r="CJ27" s="1013">
        <f t="shared" si="102"/>
        <v>11.27154488387467</v>
      </c>
      <c r="CK27" s="1013">
        <f t="shared" si="102"/>
        <v>11.279338002624618</v>
      </c>
      <c r="CL27" s="1013">
        <f t="shared" si="102"/>
        <v>11.281979523941867</v>
      </c>
      <c r="CM27" s="1013">
        <f t="shared" si="102"/>
        <v>11.284621663880072</v>
      </c>
      <c r="CN27" s="1013">
        <f t="shared" si="102"/>
        <v>11.28726442258411</v>
      </c>
      <c r="CO27" s="1013">
        <f t="shared" si="102"/>
        <v>11.28990780019889</v>
      </c>
      <c r="CP27" s="1013">
        <f t="shared" si="102"/>
        <v>11.292551796869356</v>
      </c>
      <c r="CQ27" s="1013">
        <f t="shared" si="102"/>
        <v>11.296559027678859</v>
      </c>
      <c r="CR27" s="1013">
        <f t="shared" si="102"/>
        <v>11.300567680478631</v>
      </c>
      <c r="CS27" s="1013">
        <f t="shared" si="102"/>
        <v>11.304577755773273</v>
      </c>
      <c r="CT27" s="1013">
        <f t="shared" si="102"/>
        <v>11.308589254067567</v>
      </c>
      <c r="CU27" s="1013">
        <f t="shared" si="102"/>
        <v>11.312602175866472</v>
      </c>
      <c r="CV27" s="1013">
        <f t="shared" si="102"/>
        <v>11.318778079504572</v>
      </c>
      <c r="CW27" s="1013">
        <f t="shared" si="102"/>
        <v>11.324957354761789</v>
      </c>
      <c r="CX27" s="1013">
        <f t="shared" si="102"/>
        <v>11.331140003478794</v>
      </c>
      <c r="CY27" s="1013">
        <f t="shared" si="102"/>
        <v>11.337326027497264</v>
      </c>
      <c r="CZ27" s="1013">
        <f t="shared" si="102"/>
        <v>11.343515428659883</v>
      </c>
    </row>
    <row r="28" spans="1:104" x14ac:dyDescent="0.25">
      <c r="A28" s="693" t="str">
        <f>'HyARC Physical Property Data'!A74</f>
        <v>Electric Utility Natural Gas</v>
      </c>
      <c r="B28">
        <v>2011</v>
      </c>
      <c r="C28" s="692">
        <f t="shared" si="99"/>
        <v>1.0771767810026385</v>
      </c>
      <c r="D28" s="976" t="str">
        <f>'HyARC Physical Property Data'!H74</f>
        <v>mmBtu</v>
      </c>
      <c r="E28" s="692" t="s">
        <v>1031</v>
      </c>
      <c r="F28">
        <f>'HyARC Physical Property Data'!$E$6</f>
        <v>47.141269049911173</v>
      </c>
      <c r="G28">
        <f>'HyARC Physical Property Data'!$I$6</f>
        <v>52.224661236371581</v>
      </c>
      <c r="H28" s="803">
        <v>7.4079259090132386</v>
      </c>
      <c r="I28" s="803">
        <v>7.4079259090132386</v>
      </c>
      <c r="J28" s="803">
        <v>7.4079259090132386</v>
      </c>
      <c r="K28" s="803">
        <v>7.3706710915002853</v>
      </c>
      <c r="L28" s="803">
        <v>9.3158925097981644</v>
      </c>
      <c r="M28" s="803">
        <v>4.7837623175056114</v>
      </c>
      <c r="N28">
        <f t="shared" ref="N28:AR28" si="103">((N45/(mmBTU_to_GJ))*($C28))*($G28/$F28)</f>
        <v>5.9476183921097752</v>
      </c>
      <c r="O28">
        <f t="shared" si="103"/>
        <v>5.4007770397969708</v>
      </c>
      <c r="P28">
        <f t="shared" si="103"/>
        <v>3.7573064138727101</v>
      </c>
      <c r="Q28">
        <f t="shared" si="103"/>
        <v>4.2027122702379316</v>
      </c>
      <c r="R28">
        <f t="shared" si="103"/>
        <v>4.2509986746282031</v>
      </c>
      <c r="S28">
        <f t="shared" si="103"/>
        <v>4.3458453934769246</v>
      </c>
      <c r="T28">
        <f t="shared" si="103"/>
        <v>4.8441571504850804</v>
      </c>
      <c r="U28">
        <f t="shared" si="103"/>
        <v>5.0319853704252662</v>
      </c>
      <c r="V28">
        <f t="shared" si="103"/>
        <v>5.3192198560786403</v>
      </c>
      <c r="W28">
        <f t="shared" si="103"/>
        <v>5.4545256252362373</v>
      </c>
      <c r="X28">
        <f t="shared" si="103"/>
        <v>5.5388246451241194</v>
      </c>
      <c r="Y28">
        <f t="shared" si="103"/>
        <v>5.6639944431945244</v>
      </c>
      <c r="Z28">
        <f t="shared" si="103"/>
        <v>5.884484899616556</v>
      </c>
      <c r="AA28">
        <f t="shared" si="103"/>
        <v>6.0953551759139817</v>
      </c>
      <c r="AB28">
        <f t="shared" si="103"/>
        <v>6.2414495727057346</v>
      </c>
      <c r="AC28">
        <f t="shared" si="103"/>
        <v>6.309346213759178</v>
      </c>
      <c r="AD28">
        <f t="shared" si="103"/>
        <v>6.4573499420089364</v>
      </c>
      <c r="AE28">
        <f t="shared" si="103"/>
        <v>6.5161274893334484</v>
      </c>
      <c r="AF28">
        <f t="shared" si="103"/>
        <v>6.6361077064030667</v>
      </c>
      <c r="AG28">
        <f t="shared" si="103"/>
        <v>6.7471554646315317</v>
      </c>
      <c r="AH28">
        <f t="shared" si="103"/>
        <v>6.8465029120770557</v>
      </c>
      <c r="AI28">
        <f t="shared" si="103"/>
        <v>6.9944896735188342</v>
      </c>
      <c r="AJ28">
        <f t="shared" si="103"/>
        <v>7.1183428472899974</v>
      </c>
      <c r="AK28">
        <f t="shared" si="103"/>
        <v>7.2910592969227492</v>
      </c>
      <c r="AL28">
        <f t="shared" si="103"/>
        <v>7.5766389532378176</v>
      </c>
      <c r="AM28">
        <f t="shared" si="103"/>
        <v>7.8957257930721285</v>
      </c>
      <c r="AN28">
        <f t="shared" si="103"/>
        <v>8.3082759913445337</v>
      </c>
      <c r="AO28">
        <f t="shared" si="103"/>
        <v>8.6812923959032329</v>
      </c>
      <c r="AP28">
        <f t="shared" si="103"/>
        <v>9.0738262852414806</v>
      </c>
      <c r="AQ28">
        <f t="shared" si="103"/>
        <v>9.2242743649608752</v>
      </c>
      <c r="AR28">
        <f t="shared" si="103"/>
        <v>9.4762823638863765</v>
      </c>
      <c r="AS28">
        <f t="shared" ref="AS28:BA28" si="104">($BB28-$AR28)/10+AR28</f>
        <v>9.4171031281586099</v>
      </c>
      <c r="AT28">
        <f t="shared" si="104"/>
        <v>9.3579238924308434</v>
      </c>
      <c r="AU28">
        <f t="shared" si="104"/>
        <v>9.2987446567030769</v>
      </c>
      <c r="AV28">
        <f t="shared" si="104"/>
        <v>9.2395654209753104</v>
      </c>
      <c r="AW28">
        <f t="shared" si="104"/>
        <v>9.1803861852475439</v>
      </c>
      <c r="AX28">
        <f t="shared" si="104"/>
        <v>9.1212069495197774</v>
      </c>
      <c r="AY28">
        <f t="shared" si="104"/>
        <v>9.0620277137920109</v>
      </c>
      <c r="AZ28">
        <f t="shared" si="104"/>
        <v>9.0028484780642444</v>
      </c>
      <c r="BA28">
        <f t="shared" si="104"/>
        <v>8.9436692423364779</v>
      </c>
      <c r="BB28" s="741">
        <f>'AEO Data'!$B$30*AM28</f>
        <v>8.8844900066087185</v>
      </c>
      <c r="BC28">
        <f t="shared" si="96"/>
        <v>8.9568837707638682</v>
      </c>
      <c r="BD28">
        <f t="shared" si="96"/>
        <v>9.029277534919018</v>
      </c>
      <c r="BE28">
        <f t="shared" si="96"/>
        <v>9.1016712990741677</v>
      </c>
      <c r="BF28">
        <f t="shared" si="96"/>
        <v>9.1740650632293175</v>
      </c>
      <c r="BG28">
        <f t="shared" si="96"/>
        <v>9.2464588273844672</v>
      </c>
      <c r="BH28">
        <f t="shared" si="96"/>
        <v>9.318852591539617</v>
      </c>
      <c r="BI28">
        <f t="shared" si="96"/>
        <v>9.3912463556947667</v>
      </c>
      <c r="BJ28">
        <f t="shared" si="96"/>
        <v>9.4636401198499165</v>
      </c>
      <c r="BK28">
        <f t="shared" si="96"/>
        <v>9.5360338840050662</v>
      </c>
      <c r="BL28">
        <f t="shared" si="96"/>
        <v>9.608427648160216</v>
      </c>
      <c r="BM28">
        <f t="shared" si="96"/>
        <v>9.6808214123153657</v>
      </c>
      <c r="BN28">
        <f t="shared" si="96"/>
        <v>9.7532151764705155</v>
      </c>
      <c r="BO28">
        <f t="shared" si="96"/>
        <v>9.8256089406256653</v>
      </c>
      <c r="BP28">
        <f t="shared" si="96"/>
        <v>9.898002704780815</v>
      </c>
      <c r="BQ28" s="741">
        <f>'AEO Data'!$C$30*BB28</f>
        <v>9.9703964689359541</v>
      </c>
      <c r="BR28">
        <f t="shared" si="97"/>
        <v>10.027385952998422</v>
      </c>
      <c r="BS28">
        <f t="shared" si="97"/>
        <v>10.08437543706089</v>
      </c>
      <c r="BT28">
        <f t="shared" si="97"/>
        <v>10.141364921123358</v>
      </c>
      <c r="BU28">
        <f t="shared" si="97"/>
        <v>10.198354405185826</v>
      </c>
      <c r="BV28" s="762">
        <f>'AEO Data'!$D$30*BQ28</f>
        <v>10.255343889248296</v>
      </c>
      <c r="BW28" s="1013">
        <f>+BV28*BW$136/BV$136</f>
        <v>10.289394646445894</v>
      </c>
      <c r="BX28" s="1013">
        <f t="shared" ref="BX28:CZ28" si="105">+BW28*BX$136/BW$136</f>
        <v>10.323558462169682</v>
      </c>
      <c r="BY28" s="1013">
        <f t="shared" si="105"/>
        <v>10.357835711807217</v>
      </c>
      <c r="BZ28" s="1013">
        <f t="shared" si="105"/>
        <v>10.392226771992446</v>
      </c>
      <c r="CA28" s="1013">
        <f t="shared" si="105"/>
        <v>10.426732020609851</v>
      </c>
      <c r="CB28" s="1013">
        <f t="shared" si="105"/>
        <v>10.448981918528062</v>
      </c>
      <c r="CC28" s="1013">
        <f t="shared" si="105"/>
        <v>10.471279296131797</v>
      </c>
      <c r="CD28" s="1013">
        <f t="shared" si="105"/>
        <v>10.493624254739295</v>
      </c>
      <c r="CE28" s="1013">
        <f t="shared" si="105"/>
        <v>10.516016895885006</v>
      </c>
      <c r="CF28" s="1013">
        <f t="shared" si="105"/>
        <v>10.538457321320044</v>
      </c>
      <c r="CG28" s="1013">
        <f t="shared" si="105"/>
        <v>10.545743585110182</v>
      </c>
      <c r="CH28" s="1013">
        <f t="shared" si="105"/>
        <v>10.553034886605404</v>
      </c>
      <c r="CI28" s="1013">
        <f t="shared" si="105"/>
        <v>10.560331229288767</v>
      </c>
      <c r="CJ28" s="1013">
        <f t="shared" si="105"/>
        <v>10.567632616645735</v>
      </c>
      <c r="CK28" s="1013">
        <f t="shared" si="105"/>
        <v>10.574939052164185</v>
      </c>
      <c r="CL28" s="1013">
        <f t="shared" si="105"/>
        <v>10.577415609469975</v>
      </c>
      <c r="CM28" s="1013">
        <f t="shared" si="105"/>
        <v>10.579892746763608</v>
      </c>
      <c r="CN28" s="1013">
        <f t="shared" si="105"/>
        <v>10.582370464180912</v>
      </c>
      <c r="CO28" s="1013">
        <f t="shared" si="105"/>
        <v>10.584848761857746</v>
      </c>
      <c r="CP28" s="1013">
        <f t="shared" si="105"/>
        <v>10.587327639930004</v>
      </c>
      <c r="CQ28" s="1013">
        <f t="shared" si="105"/>
        <v>10.591084617650559</v>
      </c>
      <c r="CR28" s="1013">
        <f t="shared" si="105"/>
        <v>10.594842928557549</v>
      </c>
      <c r="CS28" s="1013">
        <f t="shared" si="105"/>
        <v>10.598602573124062</v>
      </c>
      <c r="CT28" s="1013">
        <f t="shared" si="105"/>
        <v>10.602363551823357</v>
      </c>
      <c r="CU28" s="1013">
        <f t="shared" si="105"/>
        <v>10.60612586512886</v>
      </c>
      <c r="CV28" s="1013">
        <f t="shared" si="105"/>
        <v>10.611916081234606</v>
      </c>
      <c r="CW28" s="1013">
        <f t="shared" si="105"/>
        <v>10.617709458400572</v>
      </c>
      <c r="CX28" s="1013">
        <f t="shared" si="105"/>
        <v>10.62350599835248</v>
      </c>
      <c r="CY28" s="1013">
        <f t="shared" si="105"/>
        <v>10.629305702816991</v>
      </c>
      <c r="CZ28" s="1013">
        <f t="shared" si="105"/>
        <v>10.635108573521714</v>
      </c>
    </row>
    <row r="29" spans="1:104" x14ac:dyDescent="0.25">
      <c r="A29" s="693" t="str">
        <f>'HyARC Physical Property Data'!A75</f>
        <v>Bio Methane</v>
      </c>
      <c r="B29">
        <v>2007</v>
      </c>
      <c r="C29" s="692">
        <f t="shared" si="99"/>
        <v>1.1413971588333081</v>
      </c>
      <c r="D29" s="976" t="str">
        <f>'HyARC Physical Property Data'!H75</f>
        <v>mmBtu</v>
      </c>
      <c r="E29" s="692" t="s">
        <v>1031</v>
      </c>
      <c r="F29">
        <f>'HyARC Physical Property Data'!$E$6</f>
        <v>47.141269049911173</v>
      </c>
      <c r="G29">
        <f>'HyARC Physical Property Data'!$I$6</f>
        <v>52.224661236371581</v>
      </c>
      <c r="H29" s="803">
        <v>12.42654028436019</v>
      </c>
      <c r="I29" s="803">
        <v>12.42654028436019</v>
      </c>
      <c r="J29" s="803">
        <v>12.42654028436019</v>
      </c>
      <c r="K29" s="803">
        <v>12.42654028436019</v>
      </c>
      <c r="L29" s="803">
        <v>12.42654028436019</v>
      </c>
      <c r="M29" s="803">
        <v>12.42654028436019</v>
      </c>
      <c r="N29">
        <f t="shared" ref="N29:AM29" si="106">13.11*($C$29/mmBTU_to_GJ)</f>
        <v>14.183617774696369</v>
      </c>
      <c r="O29">
        <f t="shared" si="106"/>
        <v>14.183617774696369</v>
      </c>
      <c r="P29">
        <f t="shared" si="106"/>
        <v>14.183617774696369</v>
      </c>
      <c r="Q29">
        <f t="shared" si="106"/>
        <v>14.183617774696369</v>
      </c>
      <c r="R29">
        <f t="shared" si="106"/>
        <v>14.183617774696369</v>
      </c>
      <c r="S29">
        <f t="shared" si="106"/>
        <v>14.183617774696369</v>
      </c>
      <c r="T29">
        <f t="shared" si="106"/>
        <v>14.183617774696369</v>
      </c>
      <c r="U29">
        <f t="shared" si="106"/>
        <v>14.183617774696369</v>
      </c>
      <c r="V29">
        <f t="shared" si="106"/>
        <v>14.183617774696369</v>
      </c>
      <c r="W29">
        <f t="shared" si="106"/>
        <v>14.183617774696369</v>
      </c>
      <c r="X29">
        <f t="shared" si="106"/>
        <v>14.183617774696369</v>
      </c>
      <c r="Y29">
        <f t="shared" si="106"/>
        <v>14.183617774696369</v>
      </c>
      <c r="Z29">
        <f t="shared" si="106"/>
        <v>14.183617774696369</v>
      </c>
      <c r="AA29">
        <f t="shared" si="106"/>
        <v>14.183617774696369</v>
      </c>
      <c r="AB29">
        <f t="shared" si="106"/>
        <v>14.183617774696369</v>
      </c>
      <c r="AC29">
        <f t="shared" si="106"/>
        <v>14.183617774696369</v>
      </c>
      <c r="AD29">
        <f t="shared" si="106"/>
        <v>14.183617774696369</v>
      </c>
      <c r="AE29">
        <f t="shared" si="106"/>
        <v>14.183617774696369</v>
      </c>
      <c r="AF29">
        <f t="shared" si="106"/>
        <v>14.183617774696369</v>
      </c>
      <c r="AG29">
        <f t="shared" si="106"/>
        <v>14.183617774696369</v>
      </c>
      <c r="AH29">
        <f t="shared" si="106"/>
        <v>14.183617774696369</v>
      </c>
      <c r="AI29">
        <f t="shared" si="106"/>
        <v>14.183617774696369</v>
      </c>
      <c r="AJ29">
        <f t="shared" si="106"/>
        <v>14.183617774696369</v>
      </c>
      <c r="AK29">
        <f t="shared" si="106"/>
        <v>14.183617774696369</v>
      </c>
      <c r="AL29">
        <f t="shared" si="106"/>
        <v>14.183617774696369</v>
      </c>
      <c r="AM29">
        <f t="shared" si="106"/>
        <v>14.183617774696369</v>
      </c>
      <c r="AN29">
        <f t="shared" ref="AN29:BV29" si="107">13.11*($C$29/mmBTU_to_GJ)</f>
        <v>14.183617774696369</v>
      </c>
      <c r="AO29">
        <f t="shared" si="107"/>
        <v>14.183617774696369</v>
      </c>
      <c r="AP29">
        <f t="shared" si="107"/>
        <v>14.183617774696369</v>
      </c>
      <c r="AQ29">
        <f t="shared" si="107"/>
        <v>14.183617774696369</v>
      </c>
      <c r="AR29">
        <f t="shared" si="107"/>
        <v>14.183617774696369</v>
      </c>
      <c r="AS29">
        <f t="shared" si="107"/>
        <v>14.183617774696369</v>
      </c>
      <c r="AT29">
        <f t="shared" si="107"/>
        <v>14.183617774696369</v>
      </c>
      <c r="AU29">
        <f t="shared" si="107"/>
        <v>14.183617774696369</v>
      </c>
      <c r="AV29">
        <f t="shared" si="107"/>
        <v>14.183617774696369</v>
      </c>
      <c r="AW29">
        <f t="shared" si="107"/>
        <v>14.183617774696369</v>
      </c>
      <c r="AX29">
        <f t="shared" si="107"/>
        <v>14.183617774696369</v>
      </c>
      <c r="AY29">
        <f t="shared" si="107"/>
        <v>14.183617774696369</v>
      </c>
      <c r="AZ29">
        <f t="shared" si="107"/>
        <v>14.183617774696369</v>
      </c>
      <c r="BA29">
        <f t="shared" si="107"/>
        <v>14.183617774696369</v>
      </c>
      <c r="BB29">
        <f t="shared" si="107"/>
        <v>14.183617774696369</v>
      </c>
      <c r="BC29">
        <f t="shared" si="107"/>
        <v>14.183617774696369</v>
      </c>
      <c r="BD29">
        <f t="shared" si="107"/>
        <v>14.183617774696369</v>
      </c>
      <c r="BE29">
        <f t="shared" si="107"/>
        <v>14.183617774696369</v>
      </c>
      <c r="BF29">
        <f t="shared" si="107"/>
        <v>14.183617774696369</v>
      </c>
      <c r="BG29">
        <f t="shared" si="107"/>
        <v>14.183617774696369</v>
      </c>
      <c r="BH29">
        <f t="shared" si="107"/>
        <v>14.183617774696369</v>
      </c>
      <c r="BI29">
        <f t="shared" si="107"/>
        <v>14.183617774696369</v>
      </c>
      <c r="BJ29">
        <f t="shared" si="107"/>
        <v>14.183617774696369</v>
      </c>
      <c r="BK29">
        <f t="shared" si="107"/>
        <v>14.183617774696369</v>
      </c>
      <c r="BL29">
        <f t="shared" si="107"/>
        <v>14.183617774696369</v>
      </c>
      <c r="BM29">
        <f t="shared" si="107"/>
        <v>14.183617774696369</v>
      </c>
      <c r="BN29">
        <f t="shared" si="107"/>
        <v>14.183617774696369</v>
      </c>
      <c r="BO29">
        <f t="shared" si="107"/>
        <v>14.183617774696369</v>
      </c>
      <c r="BP29">
        <f t="shared" si="107"/>
        <v>14.183617774696369</v>
      </c>
      <c r="BQ29">
        <f t="shared" si="107"/>
        <v>14.183617774696369</v>
      </c>
      <c r="BR29">
        <f t="shared" si="107"/>
        <v>14.183617774696369</v>
      </c>
      <c r="BS29">
        <f t="shared" si="107"/>
        <v>14.183617774696369</v>
      </c>
      <c r="BT29">
        <f t="shared" si="107"/>
        <v>14.183617774696369</v>
      </c>
      <c r="BU29">
        <f t="shared" si="107"/>
        <v>14.183617774696369</v>
      </c>
      <c r="BV29">
        <f t="shared" si="107"/>
        <v>14.183617774696369</v>
      </c>
      <c r="BW29" s="1013">
        <f>+BV29*BW$136/BV$136</f>
        <v>14.230711556264829</v>
      </c>
      <c r="BX29" s="1013">
        <f t="shared" ref="BX29:CZ29" si="108">+BW29*BX$136/BW$136</f>
        <v>14.277961703035571</v>
      </c>
      <c r="BY29" s="1013">
        <f t="shared" si="108"/>
        <v>14.325368734187041</v>
      </c>
      <c r="BZ29" s="1013">
        <f t="shared" si="108"/>
        <v>14.372933170621517</v>
      </c>
      <c r="CA29" s="1013">
        <f t="shared" si="108"/>
        <v>14.420655534970821</v>
      </c>
      <c r="CB29" s="1013">
        <f t="shared" si="108"/>
        <v>14.451428179067991</v>
      </c>
      <c r="CC29" s="1013">
        <f t="shared" si="108"/>
        <v>14.482266489779443</v>
      </c>
      <c r="CD29" s="1013">
        <f t="shared" si="108"/>
        <v>14.51317060723302</v>
      </c>
      <c r="CE29" s="1013">
        <f t="shared" si="108"/>
        <v>14.54414067185559</v>
      </c>
      <c r="CF29" s="1013">
        <f t="shared" si="108"/>
        <v>14.575176824373679</v>
      </c>
      <c r="CG29" s="1013">
        <f t="shared" si="108"/>
        <v>14.585254066221541</v>
      </c>
      <c r="CH29" s="1013">
        <f t="shared" si="108"/>
        <v>14.595338275449933</v>
      </c>
      <c r="CI29" s="1013">
        <f t="shared" si="108"/>
        <v>14.605429456876088</v>
      </c>
      <c r="CJ29" s="1013">
        <f t="shared" si="108"/>
        <v>14.615527615320566</v>
      </c>
      <c r="CK29" s="1013">
        <f t="shared" si="108"/>
        <v>14.625632755607262</v>
      </c>
      <c r="CL29" s="1013">
        <f t="shared" si="108"/>
        <v>14.629057949594106</v>
      </c>
      <c r="CM29" s="1013">
        <f t="shared" si="108"/>
        <v>14.632483945731124</v>
      </c>
      <c r="CN29" s="1013">
        <f t="shared" si="108"/>
        <v>14.635910744206171</v>
      </c>
      <c r="CO29" s="1013">
        <f t="shared" si="108"/>
        <v>14.639338345207147</v>
      </c>
      <c r="CP29" s="1013">
        <f t="shared" si="108"/>
        <v>14.642766748922</v>
      </c>
      <c r="CQ29" s="1013">
        <f t="shared" si="108"/>
        <v>14.647962823919764</v>
      </c>
      <c r="CR29" s="1013">
        <f t="shared" si="108"/>
        <v>14.6531607427764</v>
      </c>
      <c r="CS29" s="1013">
        <f t="shared" si="108"/>
        <v>14.658360506146211</v>
      </c>
      <c r="CT29" s="1013">
        <f t="shared" si="108"/>
        <v>14.663562114683737</v>
      </c>
      <c r="CU29" s="1013">
        <f t="shared" si="108"/>
        <v>14.668765569043746</v>
      </c>
      <c r="CV29" s="1013">
        <f t="shared" si="108"/>
        <v>14.676773707333766</v>
      </c>
      <c r="CW29" s="1013">
        <f t="shared" si="108"/>
        <v>14.68478621751715</v>
      </c>
      <c r="CX29" s="1013">
        <f t="shared" si="108"/>
        <v>14.692803101980653</v>
      </c>
      <c r="CY29" s="1013">
        <f t="shared" si="108"/>
        <v>14.700824363112332</v>
      </c>
      <c r="CZ29" s="1013">
        <f t="shared" si="108"/>
        <v>14.708850003301547</v>
      </c>
    </row>
    <row r="30" spans="1:104" x14ac:dyDescent="0.25">
      <c r="A30" s="763" t="str">
        <f>'HyARC Physical Property Data'!A85</f>
        <v>Woody Biomass</v>
      </c>
      <c r="B30">
        <v>2005</v>
      </c>
      <c r="C30" s="692">
        <f>VLOOKUP(ref_year,DeflatorTable,2,FALSE)/VLOOKUP(B30,DeflatorTable,2,FALSE)</f>
        <v>1.208440716126562</v>
      </c>
      <c r="D30" s="976" t="str">
        <f>+'HyARC Physical Property Data'!$H$85</f>
        <v>kg</v>
      </c>
      <c r="E30" s="709" t="s">
        <v>1025</v>
      </c>
      <c r="F30">
        <f>'HyARC Physical Property Data'!$E$45</f>
        <v>19.551069237418005</v>
      </c>
      <c r="G30">
        <f>'HyARC Physical Property Data'!$I$45</f>
        <v>20.588656379262464</v>
      </c>
      <c r="H30" s="804">
        <v>1.3438238843289665</v>
      </c>
      <c r="I30" s="804">
        <v>1.3438238843289665</v>
      </c>
      <c r="J30" s="804">
        <v>1.3438238843289665</v>
      </c>
      <c r="K30" s="804">
        <v>1.3438238843289665</v>
      </c>
      <c r="L30" s="804">
        <v>1.3438238843289665</v>
      </c>
      <c r="M30" s="804">
        <v>1.3438238843289665</v>
      </c>
      <c r="N30" s="764">
        <f>1.27*($C$30)</f>
        <v>1.5347197094807337</v>
      </c>
      <c r="O30" s="764">
        <f>1.27*($C$30)</f>
        <v>1.5347197094807337</v>
      </c>
      <c r="P30" s="764">
        <f>1.28*($C$30)</f>
        <v>1.5468041166419995</v>
      </c>
      <c r="Q30" s="764">
        <f>1.32*($C$30)</f>
        <v>1.595141745287062</v>
      </c>
      <c r="R30" s="764">
        <f>1.32*($C$30)</f>
        <v>1.595141745287062</v>
      </c>
      <c r="S30" s="764">
        <f>1.34*($C$30)</f>
        <v>1.6193105596095931</v>
      </c>
      <c r="T30" s="764">
        <f>1.34*($C$30)</f>
        <v>1.6193105596095931</v>
      </c>
      <c r="U30" s="764">
        <f>1.36*($C$30)</f>
        <v>1.6434793739321245</v>
      </c>
      <c r="V30" s="764">
        <f>1.36*($C$30)</f>
        <v>1.6434793739321245</v>
      </c>
      <c r="W30" s="764">
        <f>1.38*($C$30)</f>
        <v>1.6676481882546554</v>
      </c>
      <c r="X30" s="764">
        <f>1.4*($C$30)</f>
        <v>1.6918170025771868</v>
      </c>
      <c r="Y30" s="764">
        <f>1.46*($C$30)</f>
        <v>1.7643234455447805</v>
      </c>
      <c r="Z30" s="764">
        <f>1.48*($C$30)</f>
        <v>1.7884922598673119</v>
      </c>
      <c r="AA30" s="764">
        <f>1.48*($C$30)</f>
        <v>1.7884922598673119</v>
      </c>
      <c r="AB30" s="764">
        <f>1.51*($C$30)</f>
        <v>1.8247454813511086</v>
      </c>
      <c r="AC30" s="764">
        <f>1.52*($C$30)</f>
        <v>1.8368298885123742</v>
      </c>
      <c r="AD30" s="764">
        <f>1.62*($C$30)</f>
        <v>1.9576739601250306</v>
      </c>
      <c r="AE30" s="764">
        <f>1.72*($C$30)</f>
        <v>2.0785180317376866</v>
      </c>
      <c r="AF30" s="764">
        <f>1.82*($C$30)</f>
        <v>2.1993621033503428</v>
      </c>
      <c r="AG30" s="764">
        <f>1.91*($C$30)</f>
        <v>2.3081217678017332</v>
      </c>
      <c r="AH30" s="764">
        <f>2.01*($C$30)</f>
        <v>2.4289658394143894</v>
      </c>
      <c r="AI30" s="764">
        <f>2.11*($C$30)</f>
        <v>2.5498099110270456</v>
      </c>
      <c r="AJ30" s="764">
        <f>2.2*($C$30)</f>
        <v>2.6585695754784364</v>
      </c>
      <c r="AK30" s="764">
        <f>2.3*($C$30)</f>
        <v>2.7794136470910926</v>
      </c>
      <c r="AL30" s="764">
        <f>2.4*($C$30)</f>
        <v>2.9002577187037488</v>
      </c>
      <c r="AM30" s="764">
        <f>2.5*($C$30)</f>
        <v>3.021101790316405</v>
      </c>
      <c r="AN30" s="764">
        <f>2.57*($C$30)</f>
        <v>3.1056926404452643</v>
      </c>
      <c r="AO30" s="764">
        <f>2.64*($C$30)</f>
        <v>3.190283490574124</v>
      </c>
      <c r="AP30" s="764">
        <f>2.71*($C$30)</f>
        <v>3.2748743407029832</v>
      </c>
      <c r="AQ30" s="764">
        <f>2.78*($C$30)</f>
        <v>3.359465190831842</v>
      </c>
      <c r="AR30" s="764">
        <f>2.85*($C$30)</f>
        <v>3.4440560409607017</v>
      </c>
      <c r="AS30" s="764">
        <f>2.92*($C$30)</f>
        <v>3.528646891089561</v>
      </c>
      <c r="AT30" s="764">
        <f>2.99*($C$30)</f>
        <v>3.6132377412184207</v>
      </c>
      <c r="AU30" s="764">
        <f>3.07*($C$30)</f>
        <v>3.7099129985085453</v>
      </c>
      <c r="AV30" s="764">
        <f>3.14*($C$30)</f>
        <v>3.794503848637405</v>
      </c>
      <c r="AW30" s="764">
        <f>3.21*($C$30)</f>
        <v>3.8790946987662642</v>
      </c>
      <c r="AX30" s="764">
        <f>3.28*($C$30)</f>
        <v>3.963685548895123</v>
      </c>
      <c r="AY30" s="764">
        <f>3.35*($C$30)</f>
        <v>4.0482763990239832</v>
      </c>
      <c r="AZ30" s="764">
        <f>3.42*($C$30)</f>
        <v>4.1328672491528424</v>
      </c>
      <c r="BA30" s="764">
        <f>3.49*($C$30)</f>
        <v>4.2174580992817017</v>
      </c>
      <c r="BB30" s="764">
        <f>3.56*($C$30)</f>
        <v>4.3020489494105609</v>
      </c>
      <c r="BC30" s="764">
        <f>3.64*($C$30)</f>
        <v>4.3987242067006855</v>
      </c>
      <c r="BD30" s="764">
        <f>3.71*($C$30)</f>
        <v>4.4833150568295448</v>
      </c>
      <c r="BE30" s="764">
        <f>3.78*($C$30)</f>
        <v>4.567905906958404</v>
      </c>
      <c r="BF30" s="764">
        <f>3.85*($C$30)</f>
        <v>4.6524967570872642</v>
      </c>
      <c r="BG30" s="764">
        <f>3.92*($C$30)</f>
        <v>4.7370876072161234</v>
      </c>
      <c r="BH30" s="764">
        <f>3.99*($C$30)</f>
        <v>4.8216784573449827</v>
      </c>
      <c r="BI30" s="764">
        <f>4.06*($C$30)</f>
        <v>4.906269307473841</v>
      </c>
      <c r="BJ30" s="764">
        <f>4.14*($C$30)</f>
        <v>5.0029445647639665</v>
      </c>
      <c r="BK30" s="764">
        <f>4.21*($C$30)</f>
        <v>5.0875354148928258</v>
      </c>
      <c r="BL30" s="764">
        <f>4.28*($C$30)</f>
        <v>5.1721262650216859</v>
      </c>
      <c r="BM30" s="764">
        <f>4.35*($C$30)</f>
        <v>5.2567171151505443</v>
      </c>
      <c r="BN30" s="764">
        <f>4.42*($C$30)</f>
        <v>5.3413079652794044</v>
      </c>
      <c r="BO30" s="764">
        <f>4.49*($C$30)</f>
        <v>5.4258988154082637</v>
      </c>
      <c r="BP30" s="764">
        <f>4.56*($C$30)</f>
        <v>5.5104896655371221</v>
      </c>
      <c r="BQ30" s="764">
        <f>4.63*($C$30)</f>
        <v>5.5950805156659822</v>
      </c>
      <c r="BR30" s="764">
        <f>4.71*($C$30)</f>
        <v>5.6917557729561068</v>
      </c>
      <c r="BS30" s="764">
        <f>4.78*($C$30)</f>
        <v>5.7763466230849669</v>
      </c>
      <c r="BT30" s="764">
        <f>4.85*($C$30)</f>
        <v>5.8609374732138253</v>
      </c>
      <c r="BU30" s="764">
        <f>4.92*($C$30)</f>
        <v>5.9455283233426854</v>
      </c>
      <c r="BV30" s="765">
        <f>4.99*($C$30)</f>
        <v>6.0301191734715447</v>
      </c>
      <c r="BW30" s="1013">
        <f>+BV30*BW$137/BV$137</f>
        <v>6.0446132076616896</v>
      </c>
      <c r="BX30" s="1013">
        <f t="shared" ref="BX30:CZ30" si="109">+BW30*BX$137/BW$137</f>
        <v>6.0591420798079438</v>
      </c>
      <c r="BY30" s="1013">
        <f t="shared" si="109"/>
        <v>6.0737058736470511</v>
      </c>
      <c r="BZ30" s="1013">
        <f t="shared" si="109"/>
        <v>6.0883046731170198</v>
      </c>
      <c r="CA30" s="1013">
        <f t="shared" si="109"/>
        <v>6.1029385623576156</v>
      </c>
      <c r="CB30" s="1013">
        <f t="shared" si="109"/>
        <v>6.1157485681116217</v>
      </c>
      <c r="CC30" s="1013">
        <f t="shared" si="109"/>
        <v>6.1285854619369617</v>
      </c>
      <c r="CD30" s="1013">
        <f t="shared" si="109"/>
        <v>6.1414493002714252</v>
      </c>
      <c r="CE30" s="1013">
        <f t="shared" si="109"/>
        <v>6.1543401396712598</v>
      </c>
      <c r="CF30" s="1013">
        <f t="shared" si="109"/>
        <v>6.167258036811428</v>
      </c>
      <c r="CG30" s="1013">
        <f t="shared" si="109"/>
        <v>6.183149548139812</v>
      </c>
      <c r="CH30" s="1013">
        <f t="shared" si="109"/>
        <v>6.1990820079952069</v>
      </c>
      <c r="CI30" s="1013">
        <f t="shared" si="109"/>
        <v>6.215055521891923</v>
      </c>
      <c r="CJ30" s="1013">
        <f t="shared" si="109"/>
        <v>6.2310701956161552</v>
      </c>
      <c r="CK30" s="1013">
        <f t="shared" si="109"/>
        <v>6.2471261352266838</v>
      </c>
      <c r="CL30" s="1013">
        <f t="shared" si="109"/>
        <v>6.2604975997429575</v>
      </c>
      <c r="CM30" s="1013">
        <f t="shared" si="109"/>
        <v>6.2738976847896071</v>
      </c>
      <c r="CN30" s="1013">
        <f t="shared" si="109"/>
        <v>6.2873264516265444</v>
      </c>
      <c r="CO30" s="1013">
        <f t="shared" si="109"/>
        <v>6.3007839616448056</v>
      </c>
      <c r="CP30" s="1013">
        <f t="shared" si="109"/>
        <v>6.3142702763668277</v>
      </c>
      <c r="CQ30" s="1013">
        <f t="shared" si="109"/>
        <v>6.326614172551615</v>
      </c>
      <c r="CR30" s="1013">
        <f t="shared" si="109"/>
        <v>6.3389822000716718</v>
      </c>
      <c r="CS30" s="1013">
        <f t="shared" si="109"/>
        <v>6.3513744061018391</v>
      </c>
      <c r="CT30" s="1013">
        <f t="shared" si="109"/>
        <v>6.3637908379091801</v>
      </c>
      <c r="CU30" s="1013">
        <f t="shared" si="109"/>
        <v>6.376231542853164</v>
      </c>
      <c r="CV30" s="1013">
        <f t="shared" si="109"/>
        <v>6.3909193633613004</v>
      </c>
      <c r="CW30" s="1013">
        <f t="shared" si="109"/>
        <v>6.4056410176582252</v>
      </c>
      <c r="CX30" s="1013">
        <f t="shared" si="109"/>
        <v>6.4203965836809767</v>
      </c>
      <c r="CY30" s="1013">
        <f t="shared" si="109"/>
        <v>6.4351861395461265</v>
      </c>
      <c r="CZ30" s="1013">
        <f t="shared" si="109"/>
        <v>6.450009763550189</v>
      </c>
    </row>
    <row r="31" spans="1:104" x14ac:dyDescent="0.25">
      <c r="A31" s="763" t="str">
        <f>'HyARC Physical Property Data'!$A$87</f>
        <v>Woody Biomass MYPP</v>
      </c>
      <c r="B31">
        <v>2007</v>
      </c>
      <c r="C31" s="692">
        <f>VLOOKUP(ref_year,DeflatorTable,2,FALSE)/VLOOKUP(B31,DeflatorTable,2,FALSE)</f>
        <v>1.1413971588333081</v>
      </c>
      <c r="D31" s="976" t="str">
        <f>+'HyARC Physical Property Data'!$H$87</f>
        <v>kg</v>
      </c>
      <c r="E31" s="709" t="s">
        <v>1025</v>
      </c>
      <c r="F31">
        <v>18.608000000000001</v>
      </c>
      <c r="H31" s="803">
        <v>4.4443250214961303</v>
      </c>
      <c r="I31" s="803">
        <v>4.4443250214961303</v>
      </c>
      <c r="J31" s="803">
        <v>4.4443250214961303</v>
      </c>
      <c r="K31" s="803">
        <v>4.4443250214961303</v>
      </c>
      <c r="L31" s="803">
        <v>4.4443250214961303</v>
      </c>
      <c r="M31" s="803">
        <v>4.4443250214961303</v>
      </c>
      <c r="N31">
        <f>4.44432502149613*$C$31</f>
        <v>5.0727399524674635</v>
      </c>
      <c r="O31" s="764">
        <f t="shared" ref="O31:T31" si="110">N31-($N$31-$U$31)/7</f>
        <v>4.9524277749801975</v>
      </c>
      <c r="P31" s="764">
        <f t="shared" si="110"/>
        <v>4.8321155974929315</v>
      </c>
      <c r="Q31" s="764">
        <f t="shared" si="110"/>
        <v>4.7118034200056655</v>
      </c>
      <c r="R31" s="764">
        <f t="shared" si="110"/>
        <v>4.5914912425183996</v>
      </c>
      <c r="S31" s="764">
        <f t="shared" si="110"/>
        <v>4.4711790650311336</v>
      </c>
      <c r="T31" s="764">
        <f t="shared" si="110"/>
        <v>4.3508668875438676</v>
      </c>
      <c r="U31" s="764">
        <f>3.70647033533964*$C$31</f>
        <v>4.2305547100566034</v>
      </c>
      <c r="V31" s="764">
        <f t="shared" ref="V31:BV31" si="111">3.70647033533964*$C$31</f>
        <v>4.2305547100566034</v>
      </c>
      <c r="W31" s="764">
        <f t="shared" si="111"/>
        <v>4.2305547100566034</v>
      </c>
      <c r="X31" s="764">
        <f t="shared" si="111"/>
        <v>4.2305547100566034</v>
      </c>
      <c r="Y31" s="764">
        <f t="shared" si="111"/>
        <v>4.2305547100566034</v>
      </c>
      <c r="Z31" s="764">
        <f t="shared" si="111"/>
        <v>4.2305547100566034</v>
      </c>
      <c r="AA31" s="764">
        <f t="shared" si="111"/>
        <v>4.2305547100566034</v>
      </c>
      <c r="AB31" s="764">
        <f t="shared" si="111"/>
        <v>4.2305547100566034</v>
      </c>
      <c r="AC31" s="764">
        <f t="shared" si="111"/>
        <v>4.2305547100566034</v>
      </c>
      <c r="AD31" s="764">
        <f t="shared" si="111"/>
        <v>4.2305547100566034</v>
      </c>
      <c r="AE31" s="764">
        <f t="shared" si="111"/>
        <v>4.2305547100566034</v>
      </c>
      <c r="AF31" s="764">
        <f t="shared" si="111"/>
        <v>4.2305547100566034</v>
      </c>
      <c r="AG31" s="764">
        <f t="shared" si="111"/>
        <v>4.2305547100566034</v>
      </c>
      <c r="AH31" s="764">
        <f t="shared" si="111"/>
        <v>4.2305547100566034</v>
      </c>
      <c r="AI31" s="764">
        <f t="shared" si="111"/>
        <v>4.2305547100566034</v>
      </c>
      <c r="AJ31" s="764">
        <f t="shared" si="111"/>
        <v>4.2305547100566034</v>
      </c>
      <c r="AK31" s="764">
        <f t="shared" si="111"/>
        <v>4.2305547100566034</v>
      </c>
      <c r="AL31" s="764">
        <f t="shared" si="111"/>
        <v>4.2305547100566034</v>
      </c>
      <c r="AM31" s="764">
        <f t="shared" si="111"/>
        <v>4.2305547100566034</v>
      </c>
      <c r="AN31" s="764">
        <f t="shared" si="111"/>
        <v>4.2305547100566034</v>
      </c>
      <c r="AO31" s="764">
        <f t="shared" si="111"/>
        <v>4.2305547100566034</v>
      </c>
      <c r="AP31" s="764">
        <f t="shared" si="111"/>
        <v>4.2305547100566034</v>
      </c>
      <c r="AQ31" s="764">
        <f t="shared" si="111"/>
        <v>4.2305547100566034</v>
      </c>
      <c r="AR31" s="764">
        <f t="shared" si="111"/>
        <v>4.2305547100566034</v>
      </c>
      <c r="AS31" s="764">
        <f t="shared" si="111"/>
        <v>4.2305547100566034</v>
      </c>
      <c r="AT31" s="764">
        <f t="shared" si="111"/>
        <v>4.2305547100566034</v>
      </c>
      <c r="AU31" s="764">
        <f t="shared" si="111"/>
        <v>4.2305547100566034</v>
      </c>
      <c r="AV31" s="764">
        <f t="shared" si="111"/>
        <v>4.2305547100566034</v>
      </c>
      <c r="AW31" s="764">
        <f t="shared" si="111"/>
        <v>4.2305547100566034</v>
      </c>
      <c r="AX31" s="764">
        <f t="shared" si="111"/>
        <v>4.2305547100566034</v>
      </c>
      <c r="AY31" s="764">
        <f t="shared" si="111"/>
        <v>4.2305547100566034</v>
      </c>
      <c r="AZ31" s="764">
        <f t="shared" si="111"/>
        <v>4.2305547100566034</v>
      </c>
      <c r="BA31" s="764">
        <f t="shared" si="111"/>
        <v>4.2305547100566034</v>
      </c>
      <c r="BB31" s="764">
        <f t="shared" si="111"/>
        <v>4.2305547100566034</v>
      </c>
      <c r="BC31" s="764">
        <f t="shared" si="111"/>
        <v>4.2305547100566034</v>
      </c>
      <c r="BD31" s="764">
        <f t="shared" si="111"/>
        <v>4.2305547100566034</v>
      </c>
      <c r="BE31" s="764">
        <f t="shared" si="111"/>
        <v>4.2305547100566034</v>
      </c>
      <c r="BF31" s="764">
        <f t="shared" si="111"/>
        <v>4.2305547100566034</v>
      </c>
      <c r="BG31" s="764">
        <f t="shared" si="111"/>
        <v>4.2305547100566034</v>
      </c>
      <c r="BH31" s="764">
        <f t="shared" si="111"/>
        <v>4.2305547100566034</v>
      </c>
      <c r="BI31" s="764">
        <f t="shared" si="111"/>
        <v>4.2305547100566034</v>
      </c>
      <c r="BJ31" s="764">
        <f t="shared" si="111"/>
        <v>4.2305547100566034</v>
      </c>
      <c r="BK31" s="764">
        <f t="shared" si="111"/>
        <v>4.2305547100566034</v>
      </c>
      <c r="BL31" s="764">
        <f t="shared" si="111"/>
        <v>4.2305547100566034</v>
      </c>
      <c r="BM31" s="764">
        <f t="shared" si="111"/>
        <v>4.2305547100566034</v>
      </c>
      <c r="BN31" s="764">
        <f t="shared" si="111"/>
        <v>4.2305547100566034</v>
      </c>
      <c r="BO31" s="764">
        <f t="shared" si="111"/>
        <v>4.2305547100566034</v>
      </c>
      <c r="BP31" s="764">
        <f t="shared" si="111"/>
        <v>4.2305547100566034</v>
      </c>
      <c r="BQ31" s="764">
        <f t="shared" si="111"/>
        <v>4.2305547100566034</v>
      </c>
      <c r="BR31" s="764">
        <f t="shared" si="111"/>
        <v>4.2305547100566034</v>
      </c>
      <c r="BS31" s="764">
        <f t="shared" si="111"/>
        <v>4.2305547100566034</v>
      </c>
      <c r="BT31" s="764">
        <f t="shared" si="111"/>
        <v>4.2305547100566034</v>
      </c>
      <c r="BU31" s="764">
        <f t="shared" si="111"/>
        <v>4.2305547100566034</v>
      </c>
      <c r="BV31" s="764">
        <f t="shared" si="111"/>
        <v>4.2305547100566034</v>
      </c>
      <c r="BW31" s="1013">
        <f>+BV31*BW$137/BV$137</f>
        <v>4.2407232992414734</v>
      </c>
      <c r="BX31" s="1013">
        <f t="shared" ref="BX31:CZ31" si="112">+BW31*BX$137/BW$137</f>
        <v>4.2509163297143298</v>
      </c>
      <c r="BY31" s="1013">
        <f t="shared" si="112"/>
        <v>4.2611338602224134</v>
      </c>
      <c r="BZ31" s="1013">
        <f t="shared" si="112"/>
        <v>4.2713759496541703</v>
      </c>
      <c r="CA31" s="1013">
        <f t="shared" si="112"/>
        <v>4.2816426570395922</v>
      </c>
      <c r="CB31" s="1013">
        <f t="shared" si="112"/>
        <v>4.2906297812770164</v>
      </c>
      <c r="CC31" s="1013">
        <f t="shared" si="112"/>
        <v>4.2996357693964899</v>
      </c>
      <c r="CD31" s="1013">
        <f t="shared" si="112"/>
        <v>4.3086606609931088</v>
      </c>
      <c r="CE31" s="1013">
        <f t="shared" si="112"/>
        <v>4.3177044957450779</v>
      </c>
      <c r="CF31" s="1013">
        <f t="shared" si="112"/>
        <v>4.3267673134138871</v>
      </c>
      <c r="CG31" s="1013">
        <f t="shared" si="112"/>
        <v>4.3379163315619822</v>
      </c>
      <c r="CH31" s="1013">
        <f t="shared" si="112"/>
        <v>4.3490940779953462</v>
      </c>
      <c r="CI31" s="1013">
        <f t="shared" si="112"/>
        <v>4.3603006267397229</v>
      </c>
      <c r="CJ31" s="1013">
        <f t="shared" si="112"/>
        <v>4.3715360520116029</v>
      </c>
      <c r="CK31" s="1013">
        <f t="shared" si="112"/>
        <v>4.3828004282187161</v>
      </c>
      <c r="CL31" s="1013">
        <f t="shared" si="112"/>
        <v>4.3921814554525627</v>
      </c>
      <c r="CM31" s="1013">
        <f t="shared" si="112"/>
        <v>4.4015825620108968</v>
      </c>
      <c r="CN31" s="1013">
        <f t="shared" si="112"/>
        <v>4.4110037908718764</v>
      </c>
      <c r="CO31" s="1013">
        <f t="shared" si="112"/>
        <v>4.4204451851056508</v>
      </c>
      <c r="CP31" s="1013">
        <f t="shared" si="112"/>
        <v>4.4299067878745575</v>
      </c>
      <c r="CQ31" s="1013">
        <f t="shared" si="112"/>
        <v>4.4385669033121991</v>
      </c>
      <c r="CR31" s="1013">
        <f t="shared" si="112"/>
        <v>4.4472439485867392</v>
      </c>
      <c r="CS31" s="1013">
        <f t="shared" si="112"/>
        <v>4.4559379567946618</v>
      </c>
      <c r="CT31" s="1013">
        <f t="shared" si="112"/>
        <v>4.4646489610971525</v>
      </c>
      <c r="CU31" s="1013">
        <f t="shared" si="112"/>
        <v>4.4733769947202253</v>
      </c>
      <c r="CV31" s="1013">
        <f t="shared" si="112"/>
        <v>4.4836815387008029</v>
      </c>
      <c r="CW31" s="1013">
        <f t="shared" si="112"/>
        <v>4.494009819475032</v>
      </c>
      <c r="CX31" s="1013">
        <f t="shared" si="112"/>
        <v>4.5043618917212536</v>
      </c>
      <c r="CY31" s="1013">
        <f t="shared" si="112"/>
        <v>4.5147378102437621</v>
      </c>
      <c r="CZ31" s="1013">
        <f t="shared" si="112"/>
        <v>4.525137629973095</v>
      </c>
    </row>
    <row r="32" spans="1:104" x14ac:dyDescent="0.25">
      <c r="A32" s="769" t="str">
        <f>'HyARC Physical Property Data'!A79</f>
        <v>Electric Utility Steam Coal</v>
      </c>
      <c r="B32">
        <v>2011</v>
      </c>
      <c r="C32" s="692">
        <f>VLOOKUP(ref_year,DeflatorTable,2,FALSE)/VLOOKUP(B32,DeflatorTable,2,FALSE)</f>
        <v>1.0771767810026385</v>
      </c>
      <c r="D32" s="976" t="str">
        <f>+'HyARC Physical Property Data'!$H$79</f>
        <v>kg</v>
      </c>
      <c r="E32" s="709" t="s">
        <v>1025</v>
      </c>
      <c r="F32">
        <f>'HyARC Physical Property Data'!E42</f>
        <v>22.7322030001394</v>
      </c>
      <c r="G32">
        <f>'HyARC Physical Property Data'!I42</f>
        <v>23.967615189707661</v>
      </c>
      <c r="H32" s="803">
        <v>1.7344499599167666</v>
      </c>
      <c r="I32" s="803">
        <v>1.7344499599167666</v>
      </c>
      <c r="J32" s="803">
        <v>1.7344499599167666</v>
      </c>
      <c r="K32" s="803">
        <v>1.7788973636542149</v>
      </c>
      <c r="L32" s="803">
        <v>1.9298772179141501</v>
      </c>
      <c r="M32" s="803">
        <v>1.9810774561110811</v>
      </c>
      <c r="N32">
        <f t="shared" ref="N32:AR32" si="113">N50*($C32/mmBTU_to_GJ*$G32/$F32)</f>
        <v>2.4738067312648084</v>
      </c>
      <c r="O32">
        <f t="shared" si="113"/>
        <v>2.562092342657099</v>
      </c>
      <c r="P32">
        <f t="shared" si="113"/>
        <v>2.5893000409210973</v>
      </c>
      <c r="Q32">
        <f t="shared" si="113"/>
        <v>2.5157066296517416</v>
      </c>
      <c r="R32">
        <f t="shared" si="113"/>
        <v>2.5782561311129801</v>
      </c>
      <c r="S32">
        <f t="shared" si="113"/>
        <v>2.5794316793643168</v>
      </c>
      <c r="T32">
        <f t="shared" si="113"/>
        <v>2.6463884102586808</v>
      </c>
      <c r="U32">
        <f t="shared" si="113"/>
        <v>2.6614358584795466</v>
      </c>
      <c r="V32">
        <f t="shared" si="113"/>
        <v>2.6700253268837741</v>
      </c>
      <c r="W32">
        <f t="shared" si="113"/>
        <v>2.6738598533226581</v>
      </c>
      <c r="X32">
        <f t="shared" si="113"/>
        <v>2.7085589804154591</v>
      </c>
      <c r="Y32">
        <f t="shared" si="113"/>
        <v>2.7412837892912716</v>
      </c>
      <c r="Z32">
        <f t="shared" si="113"/>
        <v>2.7897299412646319</v>
      </c>
      <c r="AA32">
        <f t="shared" si="113"/>
        <v>2.829150638531758</v>
      </c>
      <c r="AB32">
        <f t="shared" si="113"/>
        <v>2.8628658360442274</v>
      </c>
      <c r="AC32">
        <f t="shared" si="113"/>
        <v>2.8975789577590683</v>
      </c>
      <c r="AD32">
        <f t="shared" si="113"/>
        <v>2.9373430615208616</v>
      </c>
      <c r="AE32">
        <f t="shared" si="113"/>
        <v>2.9731875946021442</v>
      </c>
      <c r="AF32">
        <f t="shared" si="113"/>
        <v>3.0056045217930829</v>
      </c>
      <c r="AG32">
        <f t="shared" si="113"/>
        <v>3.0446516703026871</v>
      </c>
      <c r="AH32">
        <f t="shared" si="113"/>
        <v>3.0864493002977911</v>
      </c>
      <c r="AI32">
        <f t="shared" si="113"/>
        <v>3.1186476960830318</v>
      </c>
      <c r="AJ32">
        <f t="shared" si="113"/>
        <v>3.1475444375762862</v>
      </c>
      <c r="AK32">
        <f t="shared" si="113"/>
        <v>3.18024986928312</v>
      </c>
      <c r="AL32">
        <f t="shared" si="113"/>
        <v>3.2161686815121526</v>
      </c>
      <c r="AM32">
        <f t="shared" si="113"/>
        <v>3.2620441290677542</v>
      </c>
      <c r="AN32">
        <f t="shared" si="113"/>
        <v>3.3016661335903748</v>
      </c>
      <c r="AO32">
        <f t="shared" si="113"/>
        <v>3.3385419626650465</v>
      </c>
      <c r="AP32">
        <f t="shared" si="113"/>
        <v>3.3748515478018035</v>
      </c>
      <c r="AQ32">
        <f t="shared" si="113"/>
        <v>3.4125282998609028</v>
      </c>
      <c r="AR32">
        <f t="shared" si="113"/>
        <v>3.4464921710419247</v>
      </c>
      <c r="AS32">
        <f t="shared" ref="AS32:BA32" si="114">($BB32-$AR32)/10+AR32</f>
        <v>3.4437798221078069</v>
      </c>
      <c r="AT32">
        <f t="shared" si="114"/>
        <v>3.441067473173689</v>
      </c>
      <c r="AU32">
        <f t="shared" si="114"/>
        <v>3.4383551242395711</v>
      </c>
      <c r="AV32">
        <f t="shared" si="114"/>
        <v>3.4356427753054533</v>
      </c>
      <c r="AW32">
        <f t="shared" si="114"/>
        <v>3.4329304263713354</v>
      </c>
      <c r="AX32">
        <f t="shared" si="114"/>
        <v>3.4302180774372175</v>
      </c>
      <c r="AY32">
        <f t="shared" si="114"/>
        <v>3.4275057285030996</v>
      </c>
      <c r="AZ32">
        <f t="shared" si="114"/>
        <v>3.4247933795689818</v>
      </c>
      <c r="BA32">
        <f t="shared" si="114"/>
        <v>3.4220810306348639</v>
      </c>
      <c r="BB32" s="741">
        <f>('AEO Data'!$B$28*AM32)</f>
        <v>3.4193686817007474</v>
      </c>
      <c r="BC32">
        <f>(($BQ$32-$BB$32)/15+BB32)</f>
        <v>3.4313687390140855</v>
      </c>
      <c r="BD32">
        <f t="shared" ref="BD32:BP32" si="115">(($BQ$32-$BB$32)/15+BC32)</f>
        <v>3.4433687963274235</v>
      </c>
      <c r="BE32">
        <f t="shared" si="115"/>
        <v>3.4553688536407616</v>
      </c>
      <c r="BF32">
        <f t="shared" si="115"/>
        <v>3.4673689109540997</v>
      </c>
      <c r="BG32">
        <f t="shared" si="115"/>
        <v>3.4793689682674378</v>
      </c>
      <c r="BH32">
        <f t="shared" si="115"/>
        <v>3.4913690255807759</v>
      </c>
      <c r="BI32">
        <f t="shared" si="115"/>
        <v>3.503369082894114</v>
      </c>
      <c r="BJ32">
        <f t="shared" si="115"/>
        <v>3.5153691402074521</v>
      </c>
      <c r="BK32">
        <f t="shared" si="115"/>
        <v>3.5273691975207901</v>
      </c>
      <c r="BL32">
        <f t="shared" si="115"/>
        <v>3.5393692548341282</v>
      </c>
      <c r="BM32">
        <f t="shared" si="115"/>
        <v>3.5513693121474663</v>
      </c>
      <c r="BN32">
        <f t="shared" si="115"/>
        <v>3.5633693694608044</v>
      </c>
      <c r="BO32">
        <f t="shared" si="115"/>
        <v>3.5753694267741425</v>
      </c>
      <c r="BP32">
        <f t="shared" si="115"/>
        <v>3.5873694840874806</v>
      </c>
      <c r="BQ32" s="741">
        <f>('AEO Data'!$C$28*BB32)</f>
        <v>3.5993695414008169</v>
      </c>
      <c r="BR32">
        <f>(($BV$32-$BQ$32)/5+BQ32)</f>
        <v>3.6109087635521795</v>
      </c>
      <c r="BS32">
        <f>(($BV$32-$BQ$32)/5+BR32)</f>
        <v>3.6224479857035421</v>
      </c>
      <c r="BT32">
        <f>(($BV$32-$BQ$32)/5+BS32)</f>
        <v>3.6339872078549047</v>
      </c>
      <c r="BU32">
        <f>(($BV$32-$BQ$32)/5+BT32)</f>
        <v>3.6455264300062673</v>
      </c>
      <c r="BV32" s="762">
        <f>('AEO Data'!$D$28*BQ32)</f>
        <v>3.657065652157629</v>
      </c>
      <c r="BW32" s="1013">
        <f>+BV32*BW$138/BV$138</f>
        <v>3.6694300274580169</v>
      </c>
      <c r="BX32" s="1013">
        <f t="shared" ref="BX32:CZ32" si="116">+BW32*BX$138/BW$138</f>
        <v>3.6818362061579366</v>
      </c>
      <c r="BY32" s="1013">
        <f t="shared" si="116"/>
        <v>3.6942843295928096</v>
      </c>
      <c r="BZ32" s="1013">
        <f t="shared" si="116"/>
        <v>3.7067745395759086</v>
      </c>
      <c r="CA32" s="1013">
        <f t="shared" si="116"/>
        <v>3.7193069783999695</v>
      </c>
      <c r="CB32" s="1013">
        <f t="shared" si="116"/>
        <v>3.7299559382094629</v>
      </c>
      <c r="CC32" s="1013">
        <f t="shared" si="116"/>
        <v>3.7406353876627754</v>
      </c>
      <c r="CD32" s="1013">
        <f t="shared" si="116"/>
        <v>3.7513454140565434</v>
      </c>
      <c r="CE32" s="1013">
        <f t="shared" si="116"/>
        <v>3.7620861049373482</v>
      </c>
      <c r="CF32" s="1013">
        <f t="shared" si="116"/>
        <v>3.7728575481024307</v>
      </c>
      <c r="CG32" s="1013">
        <f t="shared" si="116"/>
        <v>3.7810815561772397</v>
      </c>
      <c r="CH32" s="1013">
        <f t="shared" si="116"/>
        <v>3.7893234907992221</v>
      </c>
      <c r="CI32" s="1013">
        <f t="shared" si="116"/>
        <v>3.7975833910443488</v>
      </c>
      <c r="CJ32" s="1013">
        <f t="shared" si="116"/>
        <v>3.8058612960737661</v>
      </c>
      <c r="CK32" s="1013">
        <f t="shared" si="116"/>
        <v>3.8141572451339845</v>
      </c>
      <c r="CL32" s="1013">
        <f t="shared" si="116"/>
        <v>3.8197812068711383</v>
      </c>
      <c r="CM32" s="1013">
        <f t="shared" si="116"/>
        <v>3.8254134611205277</v>
      </c>
      <c r="CN32" s="1013">
        <f t="shared" si="116"/>
        <v>3.8310540201094327</v>
      </c>
      <c r="CO32" s="1013">
        <f t="shared" si="116"/>
        <v>3.8367028960831631</v>
      </c>
      <c r="CP32" s="1013">
        <f t="shared" si="116"/>
        <v>3.8423601013050841</v>
      </c>
      <c r="CQ32" s="1013">
        <f t="shared" si="116"/>
        <v>3.8442546108659763</v>
      </c>
      <c r="CR32" s="1013">
        <f t="shared" si="116"/>
        <v>3.8461500545315284</v>
      </c>
      <c r="CS32" s="1013">
        <f t="shared" si="116"/>
        <v>3.8480464327623092</v>
      </c>
      <c r="CT32" s="1013">
        <f t="shared" si="116"/>
        <v>3.8499437460191142</v>
      </c>
      <c r="CU32" s="1013">
        <f t="shared" si="116"/>
        <v>3.8518419947629661</v>
      </c>
      <c r="CV32" s="1013">
        <f t="shared" si="116"/>
        <v>3.8491138019441373</v>
      </c>
      <c r="CW32" s="1013">
        <f t="shared" si="116"/>
        <v>3.8463875414569224</v>
      </c>
      <c r="CX32" s="1013">
        <f t="shared" si="116"/>
        <v>3.8436632119326841</v>
      </c>
      <c r="CY32" s="1013">
        <f t="shared" si="116"/>
        <v>3.8409408120037543</v>
      </c>
      <c r="CZ32" s="1013">
        <f t="shared" si="116"/>
        <v>3.8382203403034345</v>
      </c>
    </row>
    <row r="33" spans="1:104" x14ac:dyDescent="0.25">
      <c r="A33" s="763" t="str">
        <f>'HyARC Physical Property Data'!A76</f>
        <v>Commercial Electricity</v>
      </c>
      <c r="B33">
        <v>2011</v>
      </c>
      <c r="C33" s="692">
        <f t="shared" si="99"/>
        <v>1.0771767810026385</v>
      </c>
      <c r="D33" s="976" t="str">
        <f>'HyARC Physical Property Data'!$H$76</f>
        <v>kWh</v>
      </c>
      <c r="E33" s="692" t="s">
        <v>1044</v>
      </c>
      <c r="F33" s="692"/>
      <c r="G33" s="692"/>
      <c r="H33" s="803">
        <v>26.896922396257633</v>
      </c>
      <c r="I33" s="803">
        <v>26.896922396257633</v>
      </c>
      <c r="J33" s="803">
        <v>26.896922396257633</v>
      </c>
      <c r="K33" s="803">
        <v>26.568469730033652</v>
      </c>
      <c r="L33" s="803">
        <v>27.542479456318485</v>
      </c>
      <c r="M33" s="803">
        <v>26.167555894896875</v>
      </c>
      <c r="N33">
        <f t="shared" ref="N33:AR33" si="117">(N51/(mmBTU_to_GJ))*($C33)</f>
        <v>31.133552693543749</v>
      </c>
      <c r="O33">
        <f t="shared" si="117"/>
        <v>30.610864657554803</v>
      </c>
      <c r="P33">
        <f t="shared" si="117"/>
        <v>29.061789491552979</v>
      </c>
      <c r="Q33">
        <f t="shared" si="117"/>
        <v>28.354246688716874</v>
      </c>
      <c r="R33">
        <f t="shared" si="117"/>
        <v>28.429556150508322</v>
      </c>
      <c r="S33">
        <f t="shared" si="117"/>
        <v>28.316980456176768</v>
      </c>
      <c r="T33">
        <f t="shared" si="117"/>
        <v>28.823692582125577</v>
      </c>
      <c r="U33">
        <f t="shared" si="117"/>
        <v>29.117226828521051</v>
      </c>
      <c r="V33">
        <f t="shared" si="117"/>
        <v>29.247133327289326</v>
      </c>
      <c r="W33">
        <f t="shared" si="117"/>
        <v>29.177516055596545</v>
      </c>
      <c r="X33">
        <f t="shared" si="117"/>
        <v>29.167046509897588</v>
      </c>
      <c r="Y33">
        <f t="shared" si="117"/>
        <v>29.278527670097162</v>
      </c>
      <c r="Z33">
        <f t="shared" si="117"/>
        <v>29.26715860520952</v>
      </c>
      <c r="AA33">
        <f t="shared" si="117"/>
        <v>29.230231351523717</v>
      </c>
      <c r="AB33">
        <f t="shared" si="117"/>
        <v>29.234638076629693</v>
      </c>
      <c r="AC33">
        <f t="shared" si="117"/>
        <v>29.084632786454755</v>
      </c>
      <c r="AD33">
        <f t="shared" si="117"/>
        <v>28.975210003876501</v>
      </c>
      <c r="AE33">
        <f t="shared" si="117"/>
        <v>28.966039196438619</v>
      </c>
      <c r="AF33">
        <f t="shared" si="117"/>
        <v>29.081694289036999</v>
      </c>
      <c r="AG33">
        <f t="shared" si="117"/>
        <v>29.178046986332202</v>
      </c>
      <c r="AH33">
        <f t="shared" si="117"/>
        <v>29.254591883104705</v>
      </c>
      <c r="AI33">
        <f t="shared" si="117"/>
        <v>29.386069732646401</v>
      </c>
      <c r="AJ33">
        <f t="shared" si="117"/>
        <v>29.520327821405793</v>
      </c>
      <c r="AK33">
        <f t="shared" si="117"/>
        <v>29.693042652777955</v>
      </c>
      <c r="AL33">
        <f t="shared" si="117"/>
        <v>29.886409668746637</v>
      </c>
      <c r="AM33">
        <f t="shared" si="117"/>
        <v>30.281916310070152</v>
      </c>
      <c r="AN33">
        <f t="shared" si="117"/>
        <v>30.734461248733886</v>
      </c>
      <c r="AO33">
        <f t="shared" si="117"/>
        <v>31.144263200115045</v>
      </c>
      <c r="AP33">
        <f t="shared" si="117"/>
        <v>31.594533304780605</v>
      </c>
      <c r="AQ33">
        <f t="shared" si="117"/>
        <v>32.138219651364906</v>
      </c>
      <c r="AR33">
        <f t="shared" si="117"/>
        <v>32.414492522727556</v>
      </c>
      <c r="AS33">
        <f t="shared" ref="AS33:BA33" si="118">($BB33-$AR33)/10+AR33</f>
        <v>32.12574672681761</v>
      </c>
      <c r="AT33">
        <f t="shared" si="118"/>
        <v>31.837000930907664</v>
      </c>
      <c r="AU33">
        <f t="shared" si="118"/>
        <v>31.548255134997717</v>
      </c>
      <c r="AV33">
        <f t="shared" si="118"/>
        <v>31.259509339087771</v>
      </c>
      <c r="AW33">
        <f t="shared" si="118"/>
        <v>30.970763543177824</v>
      </c>
      <c r="AX33">
        <f t="shared" si="118"/>
        <v>30.682017747267878</v>
      </c>
      <c r="AY33">
        <f t="shared" si="118"/>
        <v>30.393271951357931</v>
      </c>
      <c r="AZ33">
        <f t="shared" si="118"/>
        <v>30.104526155447985</v>
      </c>
      <c r="BA33">
        <f t="shared" si="118"/>
        <v>29.815780359538039</v>
      </c>
      <c r="BB33" s="741">
        <f>'AEO Data'!$B$33*AM33</f>
        <v>29.527034563628085</v>
      </c>
      <c r="BC33">
        <f t="shared" ref="BC33:BP33" si="119">($BQ33-$BB33)/15+BB33</f>
        <v>29.544237717052788</v>
      </c>
      <c r="BD33">
        <f t="shared" si="119"/>
        <v>29.56144087047749</v>
      </c>
      <c r="BE33">
        <f t="shared" si="119"/>
        <v>29.578644023902193</v>
      </c>
      <c r="BF33">
        <f t="shared" si="119"/>
        <v>29.595847177326895</v>
      </c>
      <c r="BG33">
        <f t="shared" si="119"/>
        <v>29.613050330751598</v>
      </c>
      <c r="BH33">
        <f t="shared" si="119"/>
        <v>29.630253484176301</v>
      </c>
      <c r="BI33">
        <f t="shared" si="119"/>
        <v>29.647456637601003</v>
      </c>
      <c r="BJ33">
        <f t="shared" si="119"/>
        <v>29.664659791025706</v>
      </c>
      <c r="BK33">
        <f t="shared" si="119"/>
        <v>29.681862944450408</v>
      </c>
      <c r="BL33">
        <f t="shared" si="119"/>
        <v>29.699066097875111</v>
      </c>
      <c r="BM33">
        <f t="shared" si="119"/>
        <v>29.716269251299813</v>
      </c>
      <c r="BN33">
        <f t="shared" si="119"/>
        <v>29.733472404724516</v>
      </c>
      <c r="BO33">
        <f t="shared" si="119"/>
        <v>29.750675558149219</v>
      </c>
      <c r="BP33">
        <f t="shared" si="119"/>
        <v>29.767878711573921</v>
      </c>
      <c r="BQ33" s="741">
        <f>'AEO Data'!$C$33*BB33</f>
        <v>29.78508186499861</v>
      </c>
      <c r="BR33">
        <f t="shared" ref="BR33:BU35" si="120">($BV33-$BQ33)/5+BQ33</f>
        <v>29.765026073611775</v>
      </c>
      <c r="BS33">
        <f t="shared" si="120"/>
        <v>29.744970282224941</v>
      </c>
      <c r="BT33">
        <f t="shared" si="120"/>
        <v>29.724914490838106</v>
      </c>
      <c r="BU33">
        <f t="shared" si="120"/>
        <v>29.704858699451272</v>
      </c>
      <c r="BV33" s="762">
        <f>'AEO Data'!$D$33*BQ33</f>
        <v>29.684802908064434</v>
      </c>
      <c r="BW33" s="1013">
        <f>+BV33*BW$139/BV$139</f>
        <v>29.671732577415259</v>
      </c>
      <c r="BX33" s="1013">
        <f t="shared" ref="BX33:CZ33" si="121">+BW33*BX$139/BW$139</f>
        <v>29.658668001681953</v>
      </c>
      <c r="BY33" s="1013">
        <f t="shared" si="121"/>
        <v>29.645609178330599</v>
      </c>
      <c r="BZ33" s="1013">
        <f t="shared" si="121"/>
        <v>29.632556104828407</v>
      </c>
      <c r="CA33" s="1013">
        <f t="shared" si="121"/>
        <v>29.619508778643699</v>
      </c>
      <c r="CB33" s="1013">
        <f t="shared" si="121"/>
        <v>29.595784014667533</v>
      </c>
      <c r="CC33" s="1013">
        <f t="shared" si="121"/>
        <v>29.572078253856809</v>
      </c>
      <c r="CD33" s="1013">
        <f t="shared" si="121"/>
        <v>29.54839148099029</v>
      </c>
      <c r="CE33" s="1013">
        <f t="shared" si="121"/>
        <v>29.524723680858934</v>
      </c>
      <c r="CF33" s="1013">
        <f t="shared" si="121"/>
        <v>29.501074838265872</v>
      </c>
      <c r="CG33" s="1013">
        <f t="shared" si="121"/>
        <v>29.468497232300709</v>
      </c>
      <c r="CH33" s="1013">
        <f t="shared" si="121"/>
        <v>29.435955601309892</v>
      </c>
      <c r="CI33" s="1013">
        <f t="shared" si="121"/>
        <v>29.403449905566777</v>
      </c>
      <c r="CJ33" s="1013">
        <f t="shared" si="121"/>
        <v>29.3709801053886</v>
      </c>
      <c r="CK33" s="1013">
        <f t="shared" si="121"/>
        <v>29.33854616113641</v>
      </c>
      <c r="CL33" s="1013">
        <f t="shared" si="121"/>
        <v>29.303185235347783</v>
      </c>
      <c r="CM33" s="1013">
        <f t="shared" si="121"/>
        <v>29.267866929089987</v>
      </c>
      <c r="CN33" s="1013">
        <f t="shared" si="121"/>
        <v>29.232591190994896</v>
      </c>
      <c r="CO33" s="1013">
        <f t="shared" si="121"/>
        <v>29.1973579697563</v>
      </c>
      <c r="CP33" s="1013">
        <f t="shared" si="121"/>
        <v>29.16216721412983</v>
      </c>
      <c r="CQ33" s="1013">
        <f t="shared" si="121"/>
        <v>29.121407129980525</v>
      </c>
      <c r="CR33" s="1013">
        <f t="shared" si="121"/>
        <v>29.080704016372799</v>
      </c>
      <c r="CS33" s="1013">
        <f t="shared" si="121"/>
        <v>29.040057793678688</v>
      </c>
      <c r="CT33" s="1013">
        <f t="shared" si="121"/>
        <v>28.999468382381522</v>
      </c>
      <c r="CU33" s="1013">
        <f t="shared" si="121"/>
        <v>28.95893570307577</v>
      </c>
      <c r="CV33" s="1013">
        <f t="shared" si="121"/>
        <v>28.919368591982021</v>
      </c>
      <c r="CW33" s="1013">
        <f t="shared" si="121"/>
        <v>28.879855542138877</v>
      </c>
      <c r="CX33" s="1013">
        <f t="shared" si="121"/>
        <v>28.840396479681488</v>
      </c>
      <c r="CY33" s="1013">
        <f t="shared" si="121"/>
        <v>28.800991330845925</v>
      </c>
      <c r="CZ33" s="1013">
        <f t="shared" si="121"/>
        <v>28.761640021969036</v>
      </c>
    </row>
    <row r="34" spans="1:104" x14ac:dyDescent="0.25">
      <c r="A34" s="763" t="str">
        <f>'HyARC Physical Property Data'!A77</f>
        <v>Industrial Electricity</v>
      </c>
      <c r="B34">
        <v>2011</v>
      </c>
      <c r="C34" s="692">
        <f t="shared" si="99"/>
        <v>1.0771767810026385</v>
      </c>
      <c r="D34" s="964" t="str">
        <f>'HyARC Physical Property Data'!$H$77</f>
        <v>kWh</v>
      </c>
      <c r="E34" s="692" t="s">
        <v>1044</v>
      </c>
      <c r="F34" s="692"/>
      <c r="G34" s="692"/>
      <c r="H34" s="803">
        <v>17.44160584363896</v>
      </c>
      <c r="I34" s="803">
        <v>17.44160584363896</v>
      </c>
      <c r="J34" s="803">
        <v>17.44160584363896</v>
      </c>
      <c r="K34" s="803">
        <v>17.651840860809763</v>
      </c>
      <c r="L34" s="803">
        <v>19.274322003549859</v>
      </c>
      <c r="M34" s="803">
        <v>18.160650967421709</v>
      </c>
      <c r="N34">
        <f t="shared" ref="N34:AR34" si="122">(N52/(mmBTU_to_GJ))*($C34)</f>
        <v>20.686330589978613</v>
      </c>
      <c r="O34">
        <f t="shared" si="122"/>
        <v>20.395642949142793</v>
      </c>
      <c r="P34">
        <f t="shared" si="122"/>
        <v>18.823552956770747</v>
      </c>
      <c r="Q34">
        <f t="shared" si="122"/>
        <v>18.524341835586291</v>
      </c>
      <c r="R34">
        <f t="shared" si="122"/>
        <v>18.425452923007665</v>
      </c>
      <c r="S34">
        <f t="shared" si="122"/>
        <v>18.26043454526129</v>
      </c>
      <c r="T34">
        <f t="shared" si="122"/>
        <v>18.754222591879351</v>
      </c>
      <c r="U34">
        <f t="shared" si="122"/>
        <v>19.028024593279895</v>
      </c>
      <c r="V34">
        <f t="shared" si="122"/>
        <v>19.177936970576098</v>
      </c>
      <c r="W34">
        <f t="shared" si="122"/>
        <v>19.120789424026807</v>
      </c>
      <c r="X34">
        <f t="shared" si="122"/>
        <v>19.113803600770296</v>
      </c>
      <c r="Y34">
        <f t="shared" si="122"/>
        <v>19.250773520364145</v>
      </c>
      <c r="Z34">
        <f t="shared" si="122"/>
        <v>19.360178945591421</v>
      </c>
      <c r="AA34">
        <f t="shared" si="122"/>
        <v>19.49113403256262</v>
      </c>
      <c r="AB34">
        <f t="shared" si="122"/>
        <v>19.561495628305966</v>
      </c>
      <c r="AC34">
        <f t="shared" si="122"/>
        <v>19.585178202178344</v>
      </c>
      <c r="AD34">
        <f t="shared" si="122"/>
        <v>19.679504173492226</v>
      </c>
      <c r="AE34">
        <f t="shared" si="122"/>
        <v>19.769484680938866</v>
      </c>
      <c r="AF34">
        <f t="shared" si="122"/>
        <v>19.876209926971701</v>
      </c>
      <c r="AG34">
        <f t="shared" si="122"/>
        <v>20.022596719978992</v>
      </c>
      <c r="AH34">
        <f t="shared" si="122"/>
        <v>20.141018778526679</v>
      </c>
      <c r="AI34">
        <f t="shared" si="122"/>
        <v>20.284500767797521</v>
      </c>
      <c r="AJ34">
        <f t="shared" si="122"/>
        <v>20.450430916980327</v>
      </c>
      <c r="AK34">
        <f t="shared" si="122"/>
        <v>20.629529169428153</v>
      </c>
      <c r="AL34">
        <f t="shared" si="122"/>
        <v>20.858104040315624</v>
      </c>
      <c r="AM34">
        <f t="shared" si="122"/>
        <v>21.232143722567496</v>
      </c>
      <c r="AN34">
        <f t="shared" si="122"/>
        <v>21.710953396316075</v>
      </c>
      <c r="AO34">
        <f t="shared" si="122"/>
        <v>22.126345435731348</v>
      </c>
      <c r="AP34">
        <f t="shared" si="122"/>
        <v>22.531327148645097</v>
      </c>
      <c r="AQ34">
        <f t="shared" si="122"/>
        <v>22.961372876364592</v>
      </c>
      <c r="AR34">
        <f t="shared" si="122"/>
        <v>23.222533621153197</v>
      </c>
      <c r="AS34">
        <f t="shared" ref="AS34:BA34" si="123">($BB34-$AR34)/10+AR34</f>
        <v>22.97056615223179</v>
      </c>
      <c r="AT34">
        <f t="shared" si="123"/>
        <v>22.718598683310383</v>
      </c>
      <c r="AU34">
        <f t="shared" si="123"/>
        <v>22.466631214388975</v>
      </c>
      <c r="AV34">
        <f t="shared" si="123"/>
        <v>22.214663745467568</v>
      </c>
      <c r="AW34">
        <f t="shared" si="123"/>
        <v>21.962696276546161</v>
      </c>
      <c r="AX34">
        <f t="shared" si="123"/>
        <v>21.710728807624754</v>
      </c>
      <c r="AY34">
        <f t="shared" si="123"/>
        <v>21.458761338703347</v>
      </c>
      <c r="AZ34">
        <f t="shared" si="123"/>
        <v>21.20679386978194</v>
      </c>
      <c r="BA34">
        <f t="shared" si="123"/>
        <v>20.954826400860533</v>
      </c>
      <c r="BB34" s="741">
        <f>'AEO Data'!$B$33*AM34</f>
        <v>20.702858931939144</v>
      </c>
      <c r="BC34">
        <f t="shared" ref="BC34:BP34" si="124">($BQ34-$BB34)/15+BB34</f>
        <v>20.714920910522487</v>
      </c>
      <c r="BD34">
        <f t="shared" si="124"/>
        <v>20.72698288910583</v>
      </c>
      <c r="BE34">
        <f t="shared" si="124"/>
        <v>20.739044867689174</v>
      </c>
      <c r="BF34">
        <f t="shared" si="124"/>
        <v>20.751106846272517</v>
      </c>
      <c r="BG34">
        <f t="shared" si="124"/>
        <v>20.76316882485586</v>
      </c>
      <c r="BH34">
        <f t="shared" si="124"/>
        <v>20.775230803439204</v>
      </c>
      <c r="BI34">
        <f t="shared" si="124"/>
        <v>20.787292782022547</v>
      </c>
      <c r="BJ34">
        <f t="shared" si="124"/>
        <v>20.79935476060589</v>
      </c>
      <c r="BK34">
        <f t="shared" si="124"/>
        <v>20.811416739189234</v>
      </c>
      <c r="BL34">
        <f t="shared" si="124"/>
        <v>20.823478717772577</v>
      </c>
      <c r="BM34">
        <f t="shared" si="124"/>
        <v>20.83554069635592</v>
      </c>
      <c r="BN34">
        <f t="shared" si="124"/>
        <v>20.847602674939264</v>
      </c>
      <c r="BO34">
        <f t="shared" si="124"/>
        <v>20.859664653522607</v>
      </c>
      <c r="BP34">
        <f t="shared" si="124"/>
        <v>20.87172663210595</v>
      </c>
      <c r="BQ34" s="741">
        <f>'AEO Data'!$C$33*BB34</f>
        <v>20.883788610689287</v>
      </c>
      <c r="BR34">
        <f t="shared" si="120"/>
        <v>20.869726507061667</v>
      </c>
      <c r="BS34">
        <f t="shared" si="120"/>
        <v>20.855664403434048</v>
      </c>
      <c r="BT34">
        <f t="shared" si="120"/>
        <v>20.841602299806429</v>
      </c>
      <c r="BU34">
        <f t="shared" si="120"/>
        <v>20.827540196178809</v>
      </c>
      <c r="BV34" s="762">
        <f>'AEO Data'!$D$33*BQ34</f>
        <v>20.813478092551186</v>
      </c>
      <c r="BW34" s="1013">
        <f>+BV34*BW$140/BV$140</f>
        <v>20.819767085860629</v>
      </c>
      <c r="BX34" s="1013">
        <f t="shared" ref="BX34:CZ34" si="125">+BW34*BX$140/BW$140</f>
        <v>20.826057979450106</v>
      </c>
      <c r="BY34" s="1013">
        <f t="shared" si="125"/>
        <v>20.832350773893804</v>
      </c>
      <c r="BZ34" s="1013">
        <f t="shared" si="125"/>
        <v>20.838645469766085</v>
      </c>
      <c r="CA34" s="1013">
        <f t="shared" si="125"/>
        <v>20.844942067641483</v>
      </c>
      <c r="CB34" s="1013">
        <f t="shared" si="125"/>
        <v>20.842584664877659</v>
      </c>
      <c r="CC34" s="1013">
        <f t="shared" si="125"/>
        <v>20.840227528717975</v>
      </c>
      <c r="CD34" s="1013">
        <f t="shared" si="125"/>
        <v>20.837870659132275</v>
      </c>
      <c r="CE34" s="1013">
        <f t="shared" si="125"/>
        <v>20.83551405609041</v>
      </c>
      <c r="CF34" s="1013">
        <f t="shared" si="125"/>
        <v>20.833157719562244</v>
      </c>
      <c r="CG34" s="1013">
        <f t="shared" si="125"/>
        <v>20.823707614808125</v>
      </c>
      <c r="CH34" s="1013">
        <f t="shared" si="125"/>
        <v>20.814261796705171</v>
      </c>
      <c r="CI34" s="1013">
        <f t="shared" si="125"/>
        <v>20.804820263308923</v>
      </c>
      <c r="CJ34" s="1013">
        <f t="shared" si="125"/>
        <v>20.795383012675799</v>
      </c>
      <c r="CK34" s="1013">
        <f t="shared" si="125"/>
        <v>20.785950042863099</v>
      </c>
      <c r="CL34" s="1013">
        <f t="shared" si="125"/>
        <v>20.77437772649537</v>
      </c>
      <c r="CM34" s="1013">
        <f t="shared" si="125"/>
        <v>20.762811852869294</v>
      </c>
      <c r="CN34" s="1013">
        <f t="shared" si="125"/>
        <v>20.751252418397954</v>
      </c>
      <c r="CO34" s="1013">
        <f t="shared" si="125"/>
        <v>20.739699419496432</v>
      </c>
      <c r="CP34" s="1013">
        <f t="shared" si="125"/>
        <v>20.728152852581804</v>
      </c>
      <c r="CQ34" s="1013">
        <f t="shared" si="125"/>
        <v>20.712333481367292</v>
      </c>
      <c r="CR34" s="1013">
        <f t="shared" si="125"/>
        <v>20.696526183225924</v>
      </c>
      <c r="CS34" s="1013">
        <f t="shared" si="125"/>
        <v>20.680730948943744</v>
      </c>
      <c r="CT34" s="1013">
        <f t="shared" si="125"/>
        <v>20.664947769313819</v>
      </c>
      <c r="CU34" s="1013">
        <f t="shared" si="125"/>
        <v>20.649176635136243</v>
      </c>
      <c r="CV34" s="1013">
        <f t="shared" si="125"/>
        <v>20.634348778597502</v>
      </c>
      <c r="CW34" s="1013">
        <f t="shared" si="125"/>
        <v>20.619531569714763</v>
      </c>
      <c r="CX34" s="1013">
        <f t="shared" si="125"/>
        <v>20.604725000842109</v>
      </c>
      <c r="CY34" s="1013">
        <f t="shared" si="125"/>
        <v>20.58992906433911</v>
      </c>
      <c r="CZ34" s="1013">
        <f t="shared" si="125"/>
        <v>20.575143752570824</v>
      </c>
    </row>
    <row r="35" spans="1:104" ht="13.8" thickBot="1" x14ac:dyDescent="0.3">
      <c r="A35" s="766" t="str">
        <f>'HyARC Physical Property Data'!A78</f>
        <v>Residential Electricity</v>
      </c>
      <c r="B35" s="461">
        <v>2011</v>
      </c>
      <c r="C35" s="697">
        <f t="shared" si="99"/>
        <v>1.0771767810026385</v>
      </c>
      <c r="D35" s="965" t="str">
        <f>'HyARC Physical Property Data'!$H$78</f>
        <v>kWh</v>
      </c>
      <c r="E35" s="697" t="s">
        <v>1044</v>
      </c>
      <c r="F35" s="461"/>
      <c r="G35" s="461"/>
      <c r="H35" s="805">
        <v>29.579885763014694</v>
      </c>
      <c r="I35" s="805">
        <v>29.579885763014694</v>
      </c>
      <c r="J35" s="805">
        <v>29.579885763014694</v>
      </c>
      <c r="K35" s="805">
        <v>29.556357578078675</v>
      </c>
      <c r="L35" s="805">
        <v>30.116416605727963</v>
      </c>
      <c r="M35" s="805">
        <v>29.134443020933652</v>
      </c>
      <c r="N35" s="461">
        <f t="shared" ref="N35:AR35" si="126">(N53/(mmBTU_to_GJ))*($C35)</f>
        <v>35.248515023946787</v>
      </c>
      <c r="O35" s="461">
        <f t="shared" si="126"/>
        <v>35.057638277332465</v>
      </c>
      <c r="P35" s="461">
        <f t="shared" si="126"/>
        <v>33.966003843989547</v>
      </c>
      <c r="Q35" s="461">
        <f t="shared" si="126"/>
        <v>33.233617566807133</v>
      </c>
      <c r="R35" s="461">
        <f t="shared" si="126"/>
        <v>33.701326704097838</v>
      </c>
      <c r="S35" s="461">
        <f t="shared" si="126"/>
        <v>33.757355212019654</v>
      </c>
      <c r="T35" s="461">
        <f t="shared" si="126"/>
        <v>34.284141624879645</v>
      </c>
      <c r="U35" s="461">
        <f t="shared" si="126"/>
        <v>34.53730982005527</v>
      </c>
      <c r="V35" s="461">
        <f t="shared" si="126"/>
        <v>34.545858825920035</v>
      </c>
      <c r="W35" s="461">
        <f t="shared" si="126"/>
        <v>34.349778958096259</v>
      </c>
      <c r="X35" s="461">
        <f t="shared" si="126"/>
        <v>34.322062331653513</v>
      </c>
      <c r="Y35" s="461">
        <f t="shared" si="126"/>
        <v>34.366342976028214</v>
      </c>
      <c r="Z35" s="461">
        <f t="shared" si="126"/>
        <v>34.399461822706293</v>
      </c>
      <c r="AA35" s="461">
        <f t="shared" si="126"/>
        <v>34.411956052345289</v>
      </c>
      <c r="AB35" s="461">
        <f t="shared" si="126"/>
        <v>34.551308013105078</v>
      </c>
      <c r="AC35" s="461">
        <f t="shared" si="126"/>
        <v>34.673225025322317</v>
      </c>
      <c r="AD35" s="461">
        <f t="shared" si="126"/>
        <v>34.843428145906536</v>
      </c>
      <c r="AE35" s="461">
        <f t="shared" si="126"/>
        <v>34.985992237617076</v>
      </c>
      <c r="AF35" s="461">
        <f t="shared" si="126"/>
        <v>35.137048158036244</v>
      </c>
      <c r="AG35" s="461">
        <f t="shared" si="126"/>
        <v>35.236409803173729</v>
      </c>
      <c r="AH35" s="461">
        <f t="shared" si="126"/>
        <v>35.28809897335217</v>
      </c>
      <c r="AI35" s="461">
        <f t="shared" si="126"/>
        <v>35.415531539096392</v>
      </c>
      <c r="AJ35" s="461">
        <f t="shared" si="126"/>
        <v>35.539081163325783</v>
      </c>
      <c r="AK35" s="461">
        <f t="shared" si="126"/>
        <v>35.65784015868649</v>
      </c>
      <c r="AL35" s="461">
        <f t="shared" si="126"/>
        <v>35.819984363315783</v>
      </c>
      <c r="AM35" s="461">
        <f t="shared" si="126"/>
        <v>36.165866338206058</v>
      </c>
      <c r="AN35" s="461">
        <f t="shared" si="126"/>
        <v>36.58927134764722</v>
      </c>
      <c r="AO35" s="461">
        <f t="shared" si="126"/>
        <v>36.936418367117263</v>
      </c>
      <c r="AP35" s="461">
        <f t="shared" si="126"/>
        <v>37.270112418562192</v>
      </c>
      <c r="AQ35" s="461">
        <f t="shared" si="126"/>
        <v>37.681875750603361</v>
      </c>
      <c r="AR35" s="461">
        <f t="shared" si="126"/>
        <v>37.878431414047952</v>
      </c>
      <c r="AS35" s="461">
        <f t="shared" ref="AS35:BA35" si="127">($BB35-$AR35)/10+AR35</f>
        <v>37.617018946505915</v>
      </c>
      <c r="AT35" s="461">
        <f t="shared" si="127"/>
        <v>37.355606478963878</v>
      </c>
      <c r="AU35" s="461">
        <f t="shared" si="127"/>
        <v>37.094194011421841</v>
      </c>
      <c r="AV35" s="461">
        <f t="shared" si="127"/>
        <v>36.832781543879804</v>
      </c>
      <c r="AW35" s="461">
        <f t="shared" si="127"/>
        <v>36.571369076337767</v>
      </c>
      <c r="AX35" s="461">
        <f t="shared" si="127"/>
        <v>36.30995660879573</v>
      </c>
      <c r="AY35" s="461">
        <f t="shared" si="127"/>
        <v>36.048544141253693</v>
      </c>
      <c r="AZ35" s="461">
        <f t="shared" si="127"/>
        <v>35.787131673711656</v>
      </c>
      <c r="BA35" s="461">
        <f t="shared" si="127"/>
        <v>35.525719206169619</v>
      </c>
      <c r="BB35" s="767">
        <f>'AEO Data'!$B$33*AM35</f>
        <v>35.264306738627596</v>
      </c>
      <c r="BC35" s="461">
        <f t="shared" ref="BC35:BP35" si="128">($BQ35-$BB35)/15+BB35</f>
        <v>35.284852563435471</v>
      </c>
      <c r="BD35" s="461">
        <f t="shared" si="128"/>
        <v>35.305398388243347</v>
      </c>
      <c r="BE35" s="461">
        <f t="shared" si="128"/>
        <v>35.325944213051223</v>
      </c>
      <c r="BF35" s="461">
        <f t="shared" si="128"/>
        <v>35.346490037859098</v>
      </c>
      <c r="BG35" s="461">
        <f t="shared" si="128"/>
        <v>35.367035862666974</v>
      </c>
      <c r="BH35" s="461">
        <f t="shared" si="128"/>
        <v>35.387581687474849</v>
      </c>
      <c r="BI35" s="461">
        <f t="shared" si="128"/>
        <v>35.408127512282725</v>
      </c>
      <c r="BJ35" s="461">
        <f t="shared" si="128"/>
        <v>35.428673337090601</v>
      </c>
      <c r="BK35" s="461">
        <f t="shared" si="128"/>
        <v>35.449219161898476</v>
      </c>
      <c r="BL35" s="461">
        <f t="shared" si="128"/>
        <v>35.469764986706352</v>
      </c>
      <c r="BM35" s="461">
        <f t="shared" si="128"/>
        <v>35.490310811514227</v>
      </c>
      <c r="BN35" s="461">
        <f t="shared" si="128"/>
        <v>35.510856636322103</v>
      </c>
      <c r="BO35" s="461">
        <f t="shared" si="128"/>
        <v>35.531402461129979</v>
      </c>
      <c r="BP35" s="461">
        <f t="shared" si="128"/>
        <v>35.551948285937854</v>
      </c>
      <c r="BQ35" s="767">
        <f>'AEO Data'!$C$33*BB35</f>
        <v>35.572494110745708</v>
      </c>
      <c r="BR35" s="461">
        <f t="shared" si="120"/>
        <v>35.548541364057677</v>
      </c>
      <c r="BS35" s="461">
        <f t="shared" si="120"/>
        <v>35.524588617369645</v>
      </c>
      <c r="BT35" s="461">
        <f t="shared" si="120"/>
        <v>35.500635870681613</v>
      </c>
      <c r="BU35" s="461">
        <f t="shared" si="120"/>
        <v>35.476683123993581</v>
      </c>
      <c r="BV35" s="768">
        <f>'AEO Data'!$D$33*BQ35</f>
        <v>35.452730377305556</v>
      </c>
      <c r="BW35" s="1013">
        <f>+BV35*BW$141/BV$141</f>
        <v>35.437120406443277</v>
      </c>
      <c r="BX35" s="1013">
        <f t="shared" ref="BX35:CZ35" si="129">+BW35*BX$141/BW$141</f>
        <v>35.42151730871003</v>
      </c>
      <c r="BY35" s="1013">
        <f t="shared" si="129"/>
        <v>35.405921081079541</v>
      </c>
      <c r="BZ35" s="1013">
        <f t="shared" si="129"/>
        <v>35.390331720526888</v>
      </c>
      <c r="CA35" s="1013">
        <f t="shared" si="129"/>
        <v>35.37474922402847</v>
      </c>
      <c r="CB35" s="1013">
        <f t="shared" si="129"/>
        <v>35.346414602332743</v>
      </c>
      <c r="CC35" s="1013">
        <f t="shared" si="129"/>
        <v>35.318102676226502</v>
      </c>
      <c r="CD35" s="1013">
        <f t="shared" si="129"/>
        <v>35.289813427530937</v>
      </c>
      <c r="CE35" s="1013">
        <f t="shared" si="129"/>
        <v>35.261546838081799</v>
      </c>
      <c r="CF35" s="1013">
        <f t="shared" si="129"/>
        <v>35.23330288972938</v>
      </c>
      <c r="CG35" s="1013">
        <f t="shared" si="129"/>
        <v>35.194395268068625</v>
      </c>
      <c r="CH35" s="1013">
        <f t="shared" si="129"/>
        <v>35.155530611526075</v>
      </c>
      <c r="CI35" s="1013">
        <f t="shared" si="129"/>
        <v>35.11670887265597</v>
      </c>
      <c r="CJ35" s="1013">
        <f t="shared" si="129"/>
        <v>35.077930004064953</v>
      </c>
      <c r="CK35" s="1013">
        <f t="shared" si="129"/>
        <v>35.039193958412007</v>
      </c>
      <c r="CL35" s="1013">
        <f t="shared" si="129"/>
        <v>34.996962201921704</v>
      </c>
      <c r="CM35" s="1013">
        <f t="shared" si="129"/>
        <v>34.954781346181527</v>
      </c>
      <c r="CN35" s="1013">
        <f t="shared" si="129"/>
        <v>34.912651329842227</v>
      </c>
      <c r="CO35" s="1013">
        <f t="shared" si="129"/>
        <v>34.870572091628503</v>
      </c>
      <c r="CP35" s="1013">
        <f t="shared" si="129"/>
        <v>34.828543570338908</v>
      </c>
      <c r="CQ35" s="1013">
        <f t="shared" si="129"/>
        <v>34.779863568050295</v>
      </c>
      <c r="CR35" s="1013">
        <f t="shared" si="129"/>
        <v>34.731251606006261</v>
      </c>
      <c r="CS35" s="1013">
        <f t="shared" si="129"/>
        <v>34.682707589106663</v>
      </c>
      <c r="CT35" s="1013">
        <f t="shared" si="129"/>
        <v>34.634231422384289</v>
      </c>
      <c r="CU35" s="1013">
        <f t="shared" si="129"/>
        <v>34.585823011004663</v>
      </c>
      <c r="CV35" s="1013">
        <f t="shared" si="129"/>
        <v>34.538567783278886</v>
      </c>
      <c r="CW35" s="1013">
        <f t="shared" si="129"/>
        <v>34.491377121214782</v>
      </c>
      <c r="CX35" s="1013">
        <f t="shared" si="129"/>
        <v>34.444250936595139</v>
      </c>
      <c r="CY35" s="1013">
        <f t="shared" si="129"/>
        <v>34.397189141323274</v>
      </c>
      <c r="CZ35" s="1013">
        <f t="shared" si="129"/>
        <v>34.350191647422875</v>
      </c>
    </row>
    <row r="36" spans="1:104" ht="13.8" thickTop="1" x14ac:dyDescent="0.25">
      <c r="A36" s="694"/>
      <c r="C36" s="692"/>
      <c r="D36" s="966"/>
      <c r="E36" s="692"/>
    </row>
    <row r="37" spans="1:104" x14ac:dyDescent="0.25">
      <c r="A37" s="694"/>
      <c r="C37" s="692"/>
      <c r="D37" s="967"/>
      <c r="E37" s="692"/>
    </row>
    <row r="38" spans="1:104" ht="13.8" thickBot="1" x14ac:dyDescent="0.3">
      <c r="A38" s="39"/>
      <c r="C38" s="692"/>
      <c r="D38" s="967"/>
      <c r="E38" s="692"/>
    </row>
    <row r="39" spans="1:104" s="789" customFormat="1" x14ac:dyDescent="0.25">
      <c r="A39" s="785" t="s">
        <v>1079</v>
      </c>
      <c r="B39" s="786"/>
      <c r="C39" s="787"/>
      <c r="D39" s="968"/>
      <c r="E39" s="787"/>
      <c r="F39" s="786"/>
      <c r="G39" s="786"/>
      <c r="H39" s="786"/>
      <c r="I39" s="786"/>
      <c r="J39" s="786"/>
      <c r="K39" s="786"/>
      <c r="L39" s="786"/>
      <c r="M39" s="786"/>
      <c r="N39" s="786"/>
      <c r="O39" s="786"/>
      <c r="P39" s="786"/>
      <c r="Q39" s="786"/>
      <c r="R39" s="786"/>
      <c r="S39" s="786"/>
      <c r="T39" s="786"/>
      <c r="U39" s="786"/>
      <c r="V39" s="786"/>
      <c r="W39" s="786"/>
      <c r="X39" s="786"/>
      <c r="Y39" s="786"/>
      <c r="Z39" s="786"/>
      <c r="AA39" s="786"/>
      <c r="AB39" s="786"/>
      <c r="AC39" s="786"/>
      <c r="AD39" s="786"/>
      <c r="AE39" s="786"/>
      <c r="AF39" s="786"/>
      <c r="AG39" s="786"/>
      <c r="AH39" s="786"/>
      <c r="AI39" s="786"/>
      <c r="AJ39" s="786"/>
      <c r="AK39" s="786"/>
      <c r="AL39" s="786"/>
      <c r="AM39" s="786"/>
      <c r="AN39" s="786"/>
      <c r="AO39" s="786"/>
      <c r="AP39" s="786"/>
      <c r="AQ39" s="786"/>
      <c r="AR39" s="786"/>
      <c r="AS39" s="786"/>
      <c r="AT39" s="786"/>
      <c r="AU39" s="786"/>
      <c r="AV39" s="786"/>
      <c r="AW39" s="786"/>
      <c r="AX39" s="786"/>
      <c r="AY39" s="786"/>
      <c r="AZ39" s="786"/>
      <c r="BA39" s="786"/>
      <c r="BB39" s="786"/>
      <c r="BC39" s="786"/>
      <c r="BD39" s="786"/>
      <c r="BE39" s="786"/>
      <c r="BF39" s="786"/>
      <c r="BG39" s="786"/>
      <c r="BH39" s="786"/>
      <c r="BI39" s="786"/>
      <c r="BJ39" s="786"/>
      <c r="BK39" s="786"/>
      <c r="BL39" s="786"/>
      <c r="BM39" s="786"/>
      <c r="BN39" s="786"/>
      <c r="BO39" s="786"/>
      <c r="BP39" s="786"/>
      <c r="BQ39" s="786"/>
      <c r="BR39" s="786"/>
      <c r="BS39" s="786"/>
      <c r="BT39" s="786"/>
      <c r="BU39" s="786"/>
      <c r="BV39" s="788"/>
    </row>
    <row r="40" spans="1:104" s="789" customFormat="1" x14ac:dyDescent="0.25">
      <c r="A40" s="790" t="s">
        <v>1080</v>
      </c>
      <c r="C40" s="791"/>
      <c r="D40" s="969"/>
      <c r="E40" s="791"/>
      <c r="BV40" s="792"/>
    </row>
    <row r="41" spans="1:104" s="789" customFormat="1" x14ac:dyDescent="0.25">
      <c r="A41" s="793"/>
      <c r="C41" s="791"/>
      <c r="D41" s="969"/>
      <c r="E41" s="791"/>
      <c r="BV41" s="792"/>
    </row>
    <row r="42" spans="1:104" s="789" customFormat="1" x14ac:dyDescent="0.25">
      <c r="A42" s="793" t="s">
        <v>666</v>
      </c>
      <c r="C42" s="791"/>
      <c r="D42" s="969"/>
      <c r="E42" s="791"/>
      <c r="N42" s="794">
        <v>11.359373</v>
      </c>
      <c r="O42" s="794">
        <v>10.802343</v>
      </c>
      <c r="P42" s="794">
        <v>10.464380999999999</v>
      </c>
      <c r="Q42" s="794">
        <v>10.477905</v>
      </c>
      <c r="R42" s="794">
        <v>10.253485</v>
      </c>
      <c r="S42" s="794">
        <v>10.156079999999999</v>
      </c>
      <c r="T42" s="794">
        <v>10.662777999999999</v>
      </c>
      <c r="U42" s="794">
        <v>10.990506</v>
      </c>
      <c r="V42" s="794">
        <v>11.397518</v>
      </c>
      <c r="W42" s="794">
        <v>11.624905</v>
      </c>
      <c r="X42" s="794">
        <v>11.776242999999999</v>
      </c>
      <c r="Y42" s="794">
        <v>11.960003</v>
      </c>
      <c r="Z42" s="794">
        <v>12.203179</v>
      </c>
      <c r="AA42" s="794">
        <v>12.432268000000001</v>
      </c>
      <c r="AB42" s="794">
        <v>12.584531</v>
      </c>
      <c r="AC42" s="794">
        <v>12.674325</v>
      </c>
      <c r="AD42" s="794">
        <v>12.841908</v>
      </c>
      <c r="AE42" s="794">
        <v>12.933384999999999</v>
      </c>
      <c r="AF42" s="794">
        <v>13.085578999999999</v>
      </c>
      <c r="AG42" s="794">
        <v>13.234385</v>
      </c>
      <c r="AH42" s="794">
        <v>13.368997999999999</v>
      </c>
      <c r="AI42" s="794">
        <v>13.547089</v>
      </c>
      <c r="AJ42" s="794">
        <v>13.721807</v>
      </c>
      <c r="AK42" s="794">
        <v>13.935895</v>
      </c>
      <c r="AL42" s="794">
        <v>14.248931000000001</v>
      </c>
      <c r="AM42" s="794">
        <v>14.598827</v>
      </c>
      <c r="AN42" s="794">
        <v>15.023702999999999</v>
      </c>
      <c r="AO42" s="794">
        <v>15.415895000000001</v>
      </c>
      <c r="AP42" s="794">
        <v>15.842275000000001</v>
      </c>
      <c r="AQ42" s="794">
        <v>16.055761</v>
      </c>
      <c r="AR42" s="794">
        <v>16.363073</v>
      </c>
      <c r="BV42" s="792"/>
    </row>
    <row r="43" spans="1:104" s="789" customFormat="1" x14ac:dyDescent="0.25">
      <c r="A43" s="793" t="s">
        <v>1058</v>
      </c>
      <c r="C43" s="791"/>
      <c r="D43" s="969"/>
      <c r="E43" s="791"/>
      <c r="N43" s="794">
        <v>9.3969749999999994</v>
      </c>
      <c r="O43" s="794">
        <v>8.8368610000000007</v>
      </c>
      <c r="P43" s="794">
        <v>8.0727960000000003</v>
      </c>
      <c r="Q43" s="794">
        <v>8.4627339999999993</v>
      </c>
      <c r="R43" s="794">
        <v>8.2352620000000005</v>
      </c>
      <c r="S43" s="794">
        <v>8.1043620000000001</v>
      </c>
      <c r="T43" s="794">
        <v>8.5610389999999992</v>
      </c>
      <c r="U43" s="794">
        <v>8.8247909999999994</v>
      </c>
      <c r="V43" s="794">
        <v>9.1722800000000007</v>
      </c>
      <c r="W43" s="794">
        <v>9.3508150000000008</v>
      </c>
      <c r="X43" s="794">
        <v>9.4680210000000002</v>
      </c>
      <c r="Y43" s="794">
        <v>9.6109419999999997</v>
      </c>
      <c r="Z43" s="794">
        <v>9.8191819999999996</v>
      </c>
      <c r="AA43" s="794">
        <v>10.011597999999999</v>
      </c>
      <c r="AB43" s="794">
        <v>10.133018</v>
      </c>
      <c r="AC43" s="794">
        <v>10.193654</v>
      </c>
      <c r="AD43" s="794">
        <v>10.33554</v>
      </c>
      <c r="AE43" s="794">
        <v>10.388019</v>
      </c>
      <c r="AF43" s="794">
        <v>10.500005</v>
      </c>
      <c r="AG43" s="794">
        <v>10.605323</v>
      </c>
      <c r="AH43" s="794">
        <v>10.697221000000001</v>
      </c>
      <c r="AI43" s="794">
        <v>10.832411</v>
      </c>
      <c r="AJ43" s="794">
        <v>10.954602</v>
      </c>
      <c r="AK43" s="794">
        <v>11.11848</v>
      </c>
      <c r="AL43" s="794">
        <v>11.383407</v>
      </c>
      <c r="AM43" s="794">
        <v>11.681657</v>
      </c>
      <c r="AN43" s="794">
        <v>12.061093</v>
      </c>
      <c r="AO43" s="794">
        <v>12.401303</v>
      </c>
      <c r="AP43" s="794">
        <v>12.781521</v>
      </c>
      <c r="AQ43" s="794">
        <v>12.948893999999999</v>
      </c>
      <c r="AR43" s="794">
        <v>13.212922000000001</v>
      </c>
      <c r="BV43" s="792"/>
    </row>
    <row r="44" spans="1:104" s="789" customFormat="1" x14ac:dyDescent="0.25">
      <c r="A44" s="793" t="s">
        <v>280</v>
      </c>
      <c r="C44" s="791"/>
      <c r="D44" s="969"/>
      <c r="E44" s="791"/>
      <c r="N44" s="794">
        <v>5.4839599999999997</v>
      </c>
      <c r="O44" s="794">
        <v>4.8898130000000002</v>
      </c>
      <c r="P44" s="794">
        <v>3.7596859999999999</v>
      </c>
      <c r="Q44" s="794">
        <v>4.3339879999999997</v>
      </c>
      <c r="R44" s="794">
        <v>4.3750520000000002</v>
      </c>
      <c r="S44" s="794">
        <v>4.4225349999999999</v>
      </c>
      <c r="T44" s="794">
        <v>4.8660360000000003</v>
      </c>
      <c r="U44" s="794">
        <v>5.0679410000000003</v>
      </c>
      <c r="V44" s="794">
        <v>5.3212570000000001</v>
      </c>
      <c r="W44" s="794">
        <v>5.4497980000000004</v>
      </c>
      <c r="X44" s="794">
        <v>5.5294119999999998</v>
      </c>
      <c r="Y44" s="794">
        <v>5.6406840000000003</v>
      </c>
      <c r="Z44" s="794">
        <v>5.8277749999999999</v>
      </c>
      <c r="AA44" s="794">
        <v>6.0107049999999997</v>
      </c>
      <c r="AB44" s="794">
        <v>6.1100089999999998</v>
      </c>
      <c r="AC44" s="794">
        <v>6.1511990000000001</v>
      </c>
      <c r="AD44" s="794">
        <v>6.2557600000000004</v>
      </c>
      <c r="AE44" s="794">
        <v>6.2949159999999997</v>
      </c>
      <c r="AF44" s="794">
        <v>6.396782</v>
      </c>
      <c r="AG44" s="794">
        <v>6.4862520000000004</v>
      </c>
      <c r="AH44" s="794">
        <v>6.561483</v>
      </c>
      <c r="AI44" s="794">
        <v>6.6766310000000004</v>
      </c>
      <c r="AJ44" s="794">
        <v>6.771134</v>
      </c>
      <c r="AK44" s="794">
        <v>6.9159920000000001</v>
      </c>
      <c r="AL44" s="794">
        <v>7.1687539999999998</v>
      </c>
      <c r="AM44" s="794">
        <v>7.4454149999999997</v>
      </c>
      <c r="AN44" s="794">
        <v>7.813205</v>
      </c>
      <c r="AO44" s="794">
        <v>8.1536600000000004</v>
      </c>
      <c r="AP44" s="794">
        <v>8.4989190000000008</v>
      </c>
      <c r="AQ44" s="794">
        <v>8.6393810000000002</v>
      </c>
      <c r="AR44" s="794">
        <v>8.8810929999999999</v>
      </c>
      <c r="BV44" s="792"/>
    </row>
    <row r="45" spans="1:104" s="789" customFormat="1" x14ac:dyDescent="0.25">
      <c r="A45" s="793" t="str">
        <f>'HyARC Physical Property Data'!$A$74</f>
        <v>Electric Utility Natural Gas</v>
      </c>
      <c r="C45" s="791"/>
      <c r="D45" s="969"/>
      <c r="E45" s="791"/>
      <c r="N45" s="794">
        <v>5.258165</v>
      </c>
      <c r="O45" s="794">
        <v>4.7747140000000003</v>
      </c>
      <c r="P45" s="794">
        <v>3.3217560000000002</v>
      </c>
      <c r="Q45" s="794">
        <v>3.7155300000000002</v>
      </c>
      <c r="R45" s="794">
        <v>3.758219</v>
      </c>
      <c r="S45" s="794">
        <v>3.8420709999999998</v>
      </c>
      <c r="T45" s="794">
        <v>4.2826180000000003</v>
      </c>
      <c r="U45" s="794">
        <v>4.4486730000000003</v>
      </c>
      <c r="V45" s="794">
        <v>4.7026110000000001</v>
      </c>
      <c r="W45" s="794">
        <v>4.8222319999999996</v>
      </c>
      <c r="X45" s="794">
        <v>4.8967590000000003</v>
      </c>
      <c r="Y45" s="794">
        <v>5.0074189999999996</v>
      </c>
      <c r="Z45" s="794">
        <v>5.20235</v>
      </c>
      <c r="AA45" s="794">
        <v>5.388776</v>
      </c>
      <c r="AB45" s="794">
        <v>5.5179349999999996</v>
      </c>
      <c r="AC45" s="794">
        <v>5.5779610000000002</v>
      </c>
      <c r="AD45" s="794">
        <v>5.7088080000000003</v>
      </c>
      <c r="AE45" s="794">
        <v>5.7607720000000002</v>
      </c>
      <c r="AF45" s="794">
        <v>5.8668440000000004</v>
      </c>
      <c r="AG45" s="794">
        <v>5.9650189999999998</v>
      </c>
      <c r="AH45" s="794">
        <v>6.0528500000000003</v>
      </c>
      <c r="AI45" s="794">
        <v>6.1836820000000001</v>
      </c>
      <c r="AJ45" s="794">
        <v>6.2931780000000002</v>
      </c>
      <c r="AK45" s="794">
        <v>6.4458729999999997</v>
      </c>
      <c r="AL45" s="794">
        <v>6.6983480000000002</v>
      </c>
      <c r="AM45" s="794">
        <v>6.9804459999999997</v>
      </c>
      <c r="AN45" s="794">
        <v>7.345173</v>
      </c>
      <c r="AO45" s="794">
        <v>7.6749489999999998</v>
      </c>
      <c r="AP45" s="794">
        <v>8.0219799999999992</v>
      </c>
      <c r="AQ45" s="794">
        <v>8.1549879999999995</v>
      </c>
      <c r="AR45" s="794">
        <v>8.3777830000000009</v>
      </c>
      <c r="BV45" s="792"/>
    </row>
    <row r="46" spans="1:104" s="789" customFormat="1" x14ac:dyDescent="0.25">
      <c r="A46" s="793" t="str">
        <f>'HyARC Physical Property Data'!$A$85</f>
        <v>Woody Biomass</v>
      </c>
      <c r="C46" s="791"/>
      <c r="D46" s="969"/>
      <c r="E46" s="791"/>
      <c r="N46" s="794"/>
      <c r="O46" s="794"/>
      <c r="P46" s="794"/>
      <c r="Q46" s="794"/>
      <c r="R46" s="794"/>
      <c r="S46" s="794"/>
      <c r="T46" s="794"/>
      <c r="U46" s="794"/>
      <c r="V46" s="794"/>
      <c r="W46" s="794"/>
      <c r="X46" s="794"/>
      <c r="Y46" s="794"/>
      <c r="Z46" s="794"/>
      <c r="AA46" s="794"/>
      <c r="AB46" s="794"/>
      <c r="AC46" s="794"/>
      <c r="AD46" s="794"/>
      <c r="AE46" s="794"/>
      <c r="AF46" s="794"/>
      <c r="AG46" s="794"/>
      <c r="AH46" s="794"/>
      <c r="AI46" s="794"/>
      <c r="AJ46" s="794"/>
      <c r="AK46" s="794"/>
      <c r="AL46" s="794"/>
      <c r="AM46" s="794"/>
      <c r="AN46" s="794"/>
      <c r="AO46" s="794"/>
      <c r="AP46" s="794"/>
      <c r="AQ46" s="794"/>
      <c r="AR46" s="794"/>
      <c r="BV46" s="792"/>
    </row>
    <row r="47" spans="1:104" s="789" customFormat="1" x14ac:dyDescent="0.25">
      <c r="A47" s="793" t="s">
        <v>1081</v>
      </c>
      <c r="C47" s="791"/>
      <c r="D47" s="969"/>
      <c r="E47" s="791"/>
      <c r="N47" s="794">
        <v>13.6</v>
      </c>
      <c r="O47" s="794">
        <v>13.6</v>
      </c>
      <c r="P47" s="794">
        <v>13.6</v>
      </c>
      <c r="Q47" s="794">
        <v>13.6</v>
      </c>
      <c r="R47" s="794">
        <v>13.6</v>
      </c>
      <c r="S47" s="794">
        <v>13.6</v>
      </c>
      <c r="T47" s="794">
        <v>13.6</v>
      </c>
      <c r="U47" s="794">
        <v>14.11</v>
      </c>
      <c r="V47" s="794">
        <v>14.11</v>
      </c>
      <c r="W47" s="794">
        <v>14.11</v>
      </c>
      <c r="X47" s="794">
        <v>14.11</v>
      </c>
      <c r="Y47" s="794">
        <v>14.11</v>
      </c>
      <c r="Z47" s="794">
        <v>14.11</v>
      </c>
      <c r="AA47" s="794">
        <v>14.11</v>
      </c>
      <c r="AB47" s="794">
        <v>14.11</v>
      </c>
      <c r="AC47" s="794">
        <v>14.11</v>
      </c>
      <c r="AD47" s="794">
        <v>14.11</v>
      </c>
      <c r="AE47" s="794">
        <v>14.11</v>
      </c>
      <c r="AF47" s="794">
        <v>14.11</v>
      </c>
      <c r="AG47" s="794">
        <v>14.11</v>
      </c>
      <c r="AH47" s="794">
        <v>14.11</v>
      </c>
      <c r="AI47" s="794">
        <v>14.11</v>
      </c>
      <c r="AJ47" s="794">
        <v>14.11</v>
      </c>
      <c r="AK47" s="794">
        <v>14.11</v>
      </c>
      <c r="AL47" s="794">
        <v>14.11</v>
      </c>
      <c r="AM47" s="794">
        <v>14.11</v>
      </c>
      <c r="AN47" s="794">
        <v>14.11</v>
      </c>
      <c r="AO47" s="794">
        <v>14.11</v>
      </c>
      <c r="AP47" s="794">
        <v>14.11</v>
      </c>
      <c r="AQ47" s="794">
        <v>14.11</v>
      </c>
      <c r="AR47" s="794">
        <v>14.11</v>
      </c>
      <c r="AS47" s="794">
        <v>14.11</v>
      </c>
      <c r="AT47" s="794">
        <v>14.11</v>
      </c>
      <c r="AU47" s="794">
        <v>14.11</v>
      </c>
      <c r="AV47" s="794">
        <v>14.11</v>
      </c>
      <c r="AW47" s="794">
        <v>14.11</v>
      </c>
      <c r="AX47" s="794">
        <v>14.11</v>
      </c>
      <c r="AY47" s="794">
        <v>14.11</v>
      </c>
      <c r="AZ47" s="794">
        <v>14.11</v>
      </c>
      <c r="BA47" s="794">
        <v>14.11</v>
      </c>
      <c r="BB47" s="794">
        <v>14.11</v>
      </c>
      <c r="BC47" s="794">
        <v>14.11</v>
      </c>
      <c r="BD47" s="794">
        <v>14.11</v>
      </c>
      <c r="BE47" s="794">
        <v>14.11</v>
      </c>
      <c r="BF47" s="794">
        <v>14.11</v>
      </c>
      <c r="BG47" s="794">
        <v>14.11</v>
      </c>
      <c r="BH47" s="794">
        <v>14.11</v>
      </c>
      <c r="BI47" s="794">
        <v>14.11</v>
      </c>
      <c r="BJ47" s="794">
        <v>14.11</v>
      </c>
      <c r="BK47" s="794">
        <v>14.11</v>
      </c>
      <c r="BL47" s="794">
        <v>14.11</v>
      </c>
      <c r="BM47" s="794">
        <v>14.11</v>
      </c>
      <c r="BN47" s="794">
        <v>14.11</v>
      </c>
      <c r="BO47" s="794">
        <v>14.11</v>
      </c>
      <c r="BP47" s="794">
        <v>14.11</v>
      </c>
      <c r="BQ47" s="794">
        <v>14.11</v>
      </c>
      <c r="BR47" s="794">
        <v>14.11</v>
      </c>
      <c r="BS47" s="794">
        <v>14.11</v>
      </c>
      <c r="BT47" s="794">
        <v>14.11</v>
      </c>
      <c r="BU47" s="794">
        <v>14.11</v>
      </c>
      <c r="BV47" s="795">
        <v>14.11</v>
      </c>
    </row>
    <row r="48" spans="1:104" s="789" customFormat="1" x14ac:dyDescent="0.25">
      <c r="A48" s="793" t="s">
        <v>308</v>
      </c>
      <c r="C48" s="791"/>
      <c r="D48" s="969"/>
      <c r="E48" s="791"/>
      <c r="N48" s="794">
        <v>23.6</v>
      </c>
      <c r="O48" s="794">
        <v>23.6</v>
      </c>
      <c r="P48" s="794">
        <v>23.6</v>
      </c>
      <c r="Q48" s="794">
        <v>23.6</v>
      </c>
      <c r="R48" s="794">
        <v>23.6</v>
      </c>
      <c r="S48" s="794">
        <v>23.6</v>
      </c>
      <c r="T48" s="794">
        <v>23.6</v>
      </c>
      <c r="U48" s="794">
        <v>23.6</v>
      </c>
      <c r="V48" s="794">
        <v>23.6</v>
      </c>
      <c r="W48" s="794">
        <v>23.6</v>
      </c>
      <c r="X48" s="794">
        <v>23.6</v>
      </c>
      <c r="Y48" s="794">
        <v>23.6</v>
      </c>
      <c r="Z48" s="794">
        <v>23.6</v>
      </c>
      <c r="AA48" s="794">
        <v>23.6</v>
      </c>
      <c r="AB48" s="794">
        <v>23.6</v>
      </c>
      <c r="AC48" s="794">
        <v>23.6</v>
      </c>
      <c r="AD48" s="794">
        <v>23.6</v>
      </c>
      <c r="AE48" s="794">
        <v>23.6</v>
      </c>
      <c r="AF48" s="794">
        <v>23.6</v>
      </c>
      <c r="AG48" s="794">
        <v>23.6</v>
      </c>
      <c r="AH48" s="794">
        <v>23.6</v>
      </c>
      <c r="AI48" s="794">
        <v>23.6</v>
      </c>
      <c r="AJ48" s="794">
        <v>23.6</v>
      </c>
      <c r="AK48" s="794">
        <v>23.6</v>
      </c>
      <c r="AL48" s="794">
        <v>23.6</v>
      </c>
      <c r="AM48" s="794">
        <v>23.6</v>
      </c>
      <c r="AN48" s="794">
        <v>23.6</v>
      </c>
      <c r="AO48" s="794">
        <v>23.6</v>
      </c>
      <c r="AP48" s="794">
        <v>23.6</v>
      </c>
      <c r="AQ48" s="794">
        <v>23.6</v>
      </c>
      <c r="AR48" s="794">
        <v>23.6</v>
      </c>
      <c r="AS48" s="794">
        <v>23.6</v>
      </c>
      <c r="AT48" s="794">
        <v>23.6</v>
      </c>
      <c r="AU48" s="794">
        <v>23.6</v>
      </c>
      <c r="AV48" s="794">
        <v>23.6</v>
      </c>
      <c r="AW48" s="794">
        <v>23.6</v>
      </c>
      <c r="AX48" s="794">
        <v>23.6</v>
      </c>
      <c r="AY48" s="794">
        <v>23.6</v>
      </c>
      <c r="AZ48" s="794">
        <v>23.6</v>
      </c>
      <c r="BA48" s="794">
        <v>23.6</v>
      </c>
      <c r="BB48" s="794">
        <v>23.6</v>
      </c>
      <c r="BC48" s="794">
        <v>23.6</v>
      </c>
      <c r="BD48" s="794">
        <v>23.6</v>
      </c>
      <c r="BE48" s="794">
        <v>23.6</v>
      </c>
      <c r="BF48" s="794">
        <v>23.6</v>
      </c>
      <c r="BG48" s="794">
        <v>23.6</v>
      </c>
      <c r="BH48" s="794">
        <v>23.6</v>
      </c>
      <c r="BI48" s="794">
        <v>23.6</v>
      </c>
      <c r="BJ48" s="794">
        <v>23.6</v>
      </c>
      <c r="BK48" s="794">
        <v>23.6</v>
      </c>
      <c r="BL48" s="794">
        <v>23.6</v>
      </c>
      <c r="BM48" s="794">
        <v>23.6</v>
      </c>
      <c r="BN48" s="794">
        <v>23.6</v>
      </c>
      <c r="BO48" s="794">
        <v>23.6</v>
      </c>
      <c r="BP48" s="794">
        <v>23.6</v>
      </c>
      <c r="BQ48" s="794">
        <v>23.6</v>
      </c>
      <c r="BR48" s="794">
        <v>23.6</v>
      </c>
      <c r="BS48" s="794">
        <v>23.6</v>
      </c>
      <c r="BT48" s="794">
        <v>23.6</v>
      </c>
      <c r="BU48" s="794">
        <v>23.6</v>
      </c>
      <c r="BV48" s="795">
        <v>23.6</v>
      </c>
    </row>
    <row r="49" spans="1:104" s="789" customFormat="1" x14ac:dyDescent="0.25">
      <c r="A49" s="793" t="s">
        <v>1082</v>
      </c>
      <c r="C49" s="791"/>
      <c r="D49" s="969"/>
      <c r="E49" s="791"/>
      <c r="N49" s="794">
        <v>25.561684</v>
      </c>
      <c r="O49" s="794">
        <v>25.303816000000001</v>
      </c>
      <c r="P49" s="794">
        <v>33.642014000000003</v>
      </c>
      <c r="Q49" s="794">
        <v>31.120284999999999</v>
      </c>
      <c r="R49" s="794">
        <v>24.805427999999999</v>
      </c>
      <c r="S49" s="794">
        <v>24.941547</v>
      </c>
      <c r="T49" s="794">
        <v>24.510408000000002</v>
      </c>
      <c r="U49" s="794">
        <v>24.773121</v>
      </c>
      <c r="V49" s="794">
        <v>25.840997999999999</v>
      </c>
      <c r="W49" s="794">
        <v>26.808551999999999</v>
      </c>
      <c r="X49" s="794">
        <v>29.644617</v>
      </c>
      <c r="Y49" s="794">
        <v>29.383793000000001</v>
      </c>
      <c r="Z49" s="794">
        <v>28.224442</v>
      </c>
      <c r="AA49" s="794">
        <v>28.253482999999999</v>
      </c>
      <c r="AB49" s="794">
        <v>27.145426</v>
      </c>
      <c r="AC49" s="794">
        <v>27.272445999999999</v>
      </c>
      <c r="AD49" s="794">
        <v>27.519344</v>
      </c>
      <c r="AE49" s="794">
        <v>26.363682000000001</v>
      </c>
      <c r="AF49" s="794">
        <v>26.241467</v>
      </c>
      <c r="AG49" s="794">
        <v>26.599018000000001</v>
      </c>
      <c r="AH49" s="794">
        <v>26.941008</v>
      </c>
      <c r="AI49" s="794">
        <v>27.294556</v>
      </c>
      <c r="AJ49" s="794">
        <v>27.667862</v>
      </c>
      <c r="AK49" s="794">
        <v>28.194492</v>
      </c>
      <c r="AL49" s="794">
        <v>28.632065000000001</v>
      </c>
      <c r="AM49" s="794">
        <v>29.186733</v>
      </c>
      <c r="AN49" s="794">
        <v>29.790071000000001</v>
      </c>
      <c r="AO49" s="794">
        <v>30.397635000000001</v>
      </c>
      <c r="AP49" s="794">
        <v>30.990224999999999</v>
      </c>
      <c r="AQ49" s="794">
        <v>31.671036000000001</v>
      </c>
      <c r="AR49" s="794">
        <v>30.576360999999999</v>
      </c>
      <c r="BV49" s="792"/>
    </row>
    <row r="50" spans="1:104" s="789" customFormat="1" x14ac:dyDescent="0.25">
      <c r="A50" s="793" t="s">
        <v>1060</v>
      </c>
      <c r="C50" s="791"/>
      <c r="D50" s="969"/>
      <c r="E50" s="791"/>
      <c r="N50" s="794">
        <v>2.2979889999999998</v>
      </c>
      <c r="O50" s="794">
        <v>2.38</v>
      </c>
      <c r="P50" s="794">
        <v>2.4052739999999999</v>
      </c>
      <c r="Q50" s="794">
        <v>2.3369110000000002</v>
      </c>
      <c r="R50" s="794">
        <v>2.3950149999999999</v>
      </c>
      <c r="S50" s="794">
        <v>2.3961070000000002</v>
      </c>
      <c r="T50" s="794">
        <v>2.4583050000000002</v>
      </c>
      <c r="U50" s="794">
        <v>2.472283</v>
      </c>
      <c r="V50" s="794">
        <v>2.4802620000000002</v>
      </c>
      <c r="W50" s="794">
        <v>2.4838239999999998</v>
      </c>
      <c r="X50" s="794">
        <v>2.516057</v>
      </c>
      <c r="Y50" s="794">
        <v>2.5464560000000001</v>
      </c>
      <c r="Z50" s="794">
        <v>2.591459</v>
      </c>
      <c r="AA50" s="794">
        <v>2.6280779999999999</v>
      </c>
      <c r="AB50" s="794">
        <v>2.6593969999999998</v>
      </c>
      <c r="AC50" s="794">
        <v>2.691643</v>
      </c>
      <c r="AD50" s="794">
        <v>2.7285810000000001</v>
      </c>
      <c r="AE50" s="794">
        <v>2.7618779999999998</v>
      </c>
      <c r="AF50" s="794">
        <v>2.7919909999999999</v>
      </c>
      <c r="AG50" s="794">
        <v>2.8282630000000002</v>
      </c>
      <c r="AH50" s="794">
        <v>2.8670900000000001</v>
      </c>
      <c r="AI50" s="794">
        <v>2.8969999999999998</v>
      </c>
      <c r="AJ50" s="794">
        <v>2.9238430000000002</v>
      </c>
      <c r="AK50" s="794">
        <v>2.954224</v>
      </c>
      <c r="AL50" s="794">
        <v>2.98759</v>
      </c>
      <c r="AM50" s="794">
        <v>3.030205</v>
      </c>
      <c r="AN50" s="794">
        <v>3.0670109999999999</v>
      </c>
      <c r="AO50" s="794">
        <v>3.1012659999999999</v>
      </c>
      <c r="AP50" s="794">
        <v>3.134995</v>
      </c>
      <c r="AQ50" s="794">
        <v>3.169994</v>
      </c>
      <c r="AR50" s="794">
        <v>3.2015440000000002</v>
      </c>
      <c r="BV50" s="792"/>
    </row>
    <row r="51" spans="1:104" s="789" customFormat="1" x14ac:dyDescent="0.25">
      <c r="A51" s="793" t="s">
        <v>668</v>
      </c>
      <c r="C51" s="791"/>
      <c r="D51" s="969"/>
      <c r="E51" s="791"/>
      <c r="N51" s="794">
        <v>30.492578999999999</v>
      </c>
      <c r="O51" s="794">
        <v>29.980651999999999</v>
      </c>
      <c r="P51" s="794">
        <v>28.463469</v>
      </c>
      <c r="Q51" s="794">
        <v>27.770492999999998</v>
      </c>
      <c r="R51" s="794">
        <v>27.844252000000001</v>
      </c>
      <c r="S51" s="794">
        <v>27.733993999999999</v>
      </c>
      <c r="T51" s="794">
        <v>28.230274000000001</v>
      </c>
      <c r="U51" s="794">
        <v>28.517765000000001</v>
      </c>
      <c r="V51" s="794">
        <v>28.644997</v>
      </c>
      <c r="W51" s="794">
        <v>28.576813000000001</v>
      </c>
      <c r="X51" s="794">
        <v>28.566559000000002</v>
      </c>
      <c r="Y51" s="794">
        <v>28.675744999999999</v>
      </c>
      <c r="Z51" s="794">
        <v>28.66461</v>
      </c>
      <c r="AA51" s="794">
        <v>28.628443000000001</v>
      </c>
      <c r="AB51" s="794">
        <v>28.632759</v>
      </c>
      <c r="AC51" s="794">
        <v>28.485842000000002</v>
      </c>
      <c r="AD51" s="794">
        <v>28.378672000000002</v>
      </c>
      <c r="AE51" s="794">
        <v>28.369689999999999</v>
      </c>
      <c r="AF51" s="794">
        <v>28.482963999999999</v>
      </c>
      <c r="AG51" s="794">
        <v>28.577332999999999</v>
      </c>
      <c r="AH51" s="794">
        <v>28.652301999999999</v>
      </c>
      <c r="AI51" s="794">
        <v>28.781072999999999</v>
      </c>
      <c r="AJ51" s="794">
        <v>28.912566999999999</v>
      </c>
      <c r="AK51" s="794">
        <v>29.081726</v>
      </c>
      <c r="AL51" s="794">
        <v>29.271111999999999</v>
      </c>
      <c r="AM51" s="794">
        <v>29.658476</v>
      </c>
      <c r="AN51" s="794">
        <v>30.101704000000002</v>
      </c>
      <c r="AO51" s="794">
        <v>30.503069</v>
      </c>
      <c r="AP51" s="794">
        <v>30.944068999999999</v>
      </c>
      <c r="AQ51" s="794">
        <v>31.476562000000001</v>
      </c>
      <c r="AR51" s="794">
        <v>31.747146999999998</v>
      </c>
      <c r="BV51" s="792"/>
    </row>
    <row r="52" spans="1:104" s="789" customFormat="1" x14ac:dyDescent="0.25">
      <c r="A52" s="793" t="s">
        <v>683</v>
      </c>
      <c r="C52" s="791"/>
      <c r="D52" s="969"/>
      <c r="E52" s="791"/>
      <c r="N52" s="794">
        <v>20.260442999999999</v>
      </c>
      <c r="O52" s="794">
        <v>19.975739999999998</v>
      </c>
      <c r="P52" s="794">
        <v>18.436015999999999</v>
      </c>
      <c r="Q52" s="794">
        <v>18.142965</v>
      </c>
      <c r="R52" s="794">
        <v>18.046112000000001</v>
      </c>
      <c r="S52" s="794">
        <v>17.884491000000001</v>
      </c>
      <c r="T52" s="794">
        <v>18.368113000000001</v>
      </c>
      <c r="U52" s="794">
        <v>18.636278000000001</v>
      </c>
      <c r="V52" s="794">
        <v>18.783104000000002</v>
      </c>
      <c r="W52" s="794">
        <v>18.727132999999998</v>
      </c>
      <c r="X52" s="794">
        <v>18.720291</v>
      </c>
      <c r="Y52" s="794">
        <v>18.854441000000001</v>
      </c>
      <c r="Z52" s="794">
        <v>18.961594000000002</v>
      </c>
      <c r="AA52" s="794">
        <v>19.089853000000002</v>
      </c>
      <c r="AB52" s="794">
        <v>19.158766</v>
      </c>
      <c r="AC52" s="794">
        <v>19.181961000000001</v>
      </c>
      <c r="AD52" s="794">
        <v>19.274345</v>
      </c>
      <c r="AE52" s="794">
        <v>19.362473000000001</v>
      </c>
      <c r="AF52" s="794">
        <v>19.467001</v>
      </c>
      <c r="AG52" s="794">
        <v>19.610374</v>
      </c>
      <c r="AH52" s="794">
        <v>19.726358000000001</v>
      </c>
      <c r="AI52" s="794">
        <v>19.866886000000001</v>
      </c>
      <c r="AJ52" s="794">
        <v>20.029399999999999</v>
      </c>
      <c r="AK52" s="794">
        <v>20.204810999999999</v>
      </c>
      <c r="AL52" s="794">
        <v>20.42868</v>
      </c>
      <c r="AM52" s="794">
        <v>20.795019</v>
      </c>
      <c r="AN52" s="794">
        <v>21.263971000000002</v>
      </c>
      <c r="AO52" s="794">
        <v>21.670811</v>
      </c>
      <c r="AP52" s="794">
        <v>22.067454999999999</v>
      </c>
      <c r="AQ52" s="794">
        <v>22.488647</v>
      </c>
      <c r="AR52" s="794">
        <v>22.744430999999999</v>
      </c>
      <c r="BV52" s="792"/>
    </row>
    <row r="53" spans="1:104" s="789" customFormat="1" ht="13.8" thickBot="1" x14ac:dyDescent="0.3">
      <c r="A53" s="796" t="s">
        <v>669</v>
      </c>
      <c r="B53" s="797"/>
      <c r="C53" s="798"/>
      <c r="D53" s="970"/>
      <c r="E53" s="798"/>
      <c r="F53" s="797"/>
      <c r="G53" s="797"/>
      <c r="H53" s="797"/>
      <c r="I53" s="797"/>
      <c r="J53" s="797"/>
      <c r="K53" s="797"/>
      <c r="L53" s="797"/>
      <c r="M53" s="797"/>
      <c r="N53" s="799">
        <v>34.522823000000002</v>
      </c>
      <c r="O53" s="799">
        <v>34.335875999999999</v>
      </c>
      <c r="P53" s="799">
        <v>33.266716000000002</v>
      </c>
      <c r="Q53" s="799">
        <v>32.549408</v>
      </c>
      <c r="R53" s="799">
        <v>33.007488000000002</v>
      </c>
      <c r="S53" s="799">
        <v>33.062362999999998</v>
      </c>
      <c r="T53" s="799">
        <v>33.578304000000003</v>
      </c>
      <c r="U53" s="799">
        <v>33.826259999999998</v>
      </c>
      <c r="V53" s="799">
        <v>33.834632999999997</v>
      </c>
      <c r="W53" s="799">
        <v>33.642589999999998</v>
      </c>
      <c r="X53" s="799">
        <v>33.615443999999997</v>
      </c>
      <c r="Y53" s="799">
        <v>33.658813000000002</v>
      </c>
      <c r="Z53" s="799">
        <v>33.691249999999997</v>
      </c>
      <c r="AA53" s="799">
        <v>33.703487000000003</v>
      </c>
      <c r="AB53" s="799">
        <v>33.839970000000001</v>
      </c>
      <c r="AC53" s="799">
        <v>33.959377000000003</v>
      </c>
      <c r="AD53" s="799">
        <v>34.126075999999998</v>
      </c>
      <c r="AE53" s="799">
        <v>34.265704999999997</v>
      </c>
      <c r="AF53" s="799">
        <v>34.413651000000002</v>
      </c>
      <c r="AG53" s="799">
        <v>34.510967000000001</v>
      </c>
      <c r="AH53" s="799">
        <v>34.561591999999997</v>
      </c>
      <c r="AI53" s="799">
        <v>34.686400999999996</v>
      </c>
      <c r="AJ53" s="799">
        <v>34.807406999999998</v>
      </c>
      <c r="AK53" s="799">
        <v>34.923721</v>
      </c>
      <c r="AL53" s="799">
        <v>35.082526999999999</v>
      </c>
      <c r="AM53" s="799">
        <v>35.421287999999997</v>
      </c>
      <c r="AN53" s="799">
        <v>35.835976000000002</v>
      </c>
      <c r="AO53" s="799">
        <v>36.175975999999999</v>
      </c>
      <c r="AP53" s="799">
        <v>36.502800000000001</v>
      </c>
      <c r="AQ53" s="799">
        <v>36.906086000000002</v>
      </c>
      <c r="AR53" s="799">
        <v>37.098595000000003</v>
      </c>
      <c r="AS53" s="797"/>
      <c r="AT53" s="797"/>
      <c r="AU53" s="797"/>
      <c r="AV53" s="797"/>
      <c r="AW53" s="797"/>
      <c r="AX53" s="797"/>
      <c r="AY53" s="797"/>
      <c r="AZ53" s="797"/>
      <c r="BA53" s="797"/>
      <c r="BB53" s="797"/>
      <c r="BC53" s="797"/>
      <c r="BD53" s="797"/>
      <c r="BE53" s="797"/>
      <c r="BF53" s="797"/>
      <c r="BG53" s="797"/>
      <c r="BH53" s="797"/>
      <c r="BI53" s="797"/>
      <c r="BJ53" s="797"/>
      <c r="BK53" s="797"/>
      <c r="BL53" s="797"/>
      <c r="BM53" s="797"/>
      <c r="BN53" s="797"/>
      <c r="BO53" s="797"/>
      <c r="BP53" s="797"/>
      <c r="BQ53" s="797"/>
      <c r="BR53" s="797"/>
      <c r="BS53" s="797"/>
      <c r="BT53" s="797"/>
      <c r="BU53" s="797"/>
      <c r="BV53" s="800"/>
    </row>
    <row r="54" spans="1:104" x14ac:dyDescent="0.25">
      <c r="A54" s="694"/>
      <c r="C54" s="692"/>
      <c r="D54" s="967"/>
      <c r="E54" s="692"/>
      <c r="BV54" s="575"/>
    </row>
    <row r="55" spans="1:104" ht="13.8" thickBot="1" x14ac:dyDescent="0.3">
      <c r="A55" s="694"/>
      <c r="C55" s="692"/>
      <c r="D55" s="967"/>
      <c r="E55" s="697"/>
      <c r="F55" s="461"/>
      <c r="BV55" s="575"/>
    </row>
    <row r="56" spans="1:104" ht="13.8" thickTop="1" x14ac:dyDescent="0.25">
      <c r="A56" s="686" t="s">
        <v>1077</v>
      </c>
      <c r="B56" s="573" t="str">
        <f>"Prices are in $(" &amp; ref_year&amp;")/GJ LHV"</f>
        <v>Prices are in $(2016)/GJ LHV</v>
      </c>
      <c r="C56" s="573"/>
      <c r="D56" s="971"/>
      <c r="E56" s="573"/>
      <c r="F56" s="687"/>
      <c r="G56" s="687"/>
      <c r="H56" s="687"/>
      <c r="I56" s="687"/>
      <c r="J56" s="687"/>
      <c r="K56" s="687"/>
      <c r="L56" s="687"/>
      <c r="M56" s="687"/>
      <c r="N56" s="687"/>
      <c r="O56" s="687"/>
      <c r="P56" s="687"/>
      <c r="Q56" s="687"/>
      <c r="R56" s="687"/>
      <c r="S56" s="687"/>
      <c r="T56" s="687"/>
      <c r="U56" s="687"/>
      <c r="V56" s="687"/>
      <c r="W56" s="687"/>
      <c r="X56" s="687"/>
      <c r="Y56" s="687"/>
      <c r="Z56" s="687"/>
      <c r="AA56" s="687"/>
      <c r="AB56" s="687"/>
      <c r="AC56" s="687"/>
      <c r="AD56" s="687"/>
      <c r="AE56" s="687"/>
      <c r="AF56" s="687"/>
      <c r="AG56" s="687"/>
      <c r="AH56" s="687"/>
      <c r="AI56" s="687"/>
      <c r="AJ56" s="687"/>
      <c r="AK56" s="687"/>
      <c r="AL56" s="687"/>
      <c r="AM56" s="687"/>
      <c r="AN56" s="687"/>
      <c r="AO56" s="687"/>
      <c r="AP56" s="687"/>
      <c r="AQ56" s="687"/>
      <c r="AR56" s="687"/>
      <c r="AS56" s="698" t="s">
        <v>757</v>
      </c>
      <c r="AT56" s="699"/>
      <c r="AU56" s="699"/>
      <c r="AV56" s="699"/>
      <c r="AW56" s="699"/>
      <c r="AX56" s="699"/>
      <c r="AY56" s="699"/>
      <c r="AZ56" s="699"/>
      <c r="BA56" s="699"/>
      <c r="BB56" s="699"/>
      <c r="BC56" s="699"/>
      <c r="BD56" s="699"/>
      <c r="BE56" s="699"/>
      <c r="BF56" s="699"/>
      <c r="BG56" s="699"/>
      <c r="BH56" s="699"/>
      <c r="BI56" s="699"/>
      <c r="BJ56" s="699"/>
      <c r="BK56" s="699"/>
      <c r="BL56" s="699"/>
      <c r="BM56" s="699"/>
      <c r="BN56" s="699"/>
      <c r="BO56" s="699"/>
      <c r="BP56" s="699"/>
      <c r="BQ56" s="699"/>
      <c r="BR56" s="699"/>
      <c r="BS56" s="699"/>
      <c r="BT56" s="699"/>
      <c r="BU56" s="699"/>
      <c r="BV56" s="700"/>
    </row>
    <row r="57" spans="1:104" ht="40.200000000000003" thickBot="1" x14ac:dyDescent="0.3">
      <c r="A57" s="852" t="s">
        <v>1057</v>
      </c>
      <c r="B57" s="853" t="s">
        <v>663</v>
      </c>
      <c r="C57" s="853" t="s">
        <v>664</v>
      </c>
      <c r="D57" s="972" t="s">
        <v>675</v>
      </c>
      <c r="E57" s="853" t="s">
        <v>676</v>
      </c>
      <c r="F57" s="474" t="s">
        <v>665</v>
      </c>
      <c r="G57" s="474" t="s">
        <v>677</v>
      </c>
      <c r="H57" s="801">
        <v>2004</v>
      </c>
      <c r="I57" s="801">
        <v>2005</v>
      </c>
      <c r="J57" s="801">
        <v>2006</v>
      </c>
      <c r="K57" s="801">
        <v>2007</v>
      </c>
      <c r="L57" s="801">
        <v>2008</v>
      </c>
      <c r="M57" s="801">
        <v>2009</v>
      </c>
      <c r="N57" s="474">
        <v>2010</v>
      </c>
      <c r="O57" s="474">
        <v>2011</v>
      </c>
      <c r="P57" s="474">
        <v>2012</v>
      </c>
      <c r="Q57" s="474">
        <v>2013</v>
      </c>
      <c r="R57" s="474">
        <v>2014</v>
      </c>
      <c r="S57" s="474">
        <v>2015</v>
      </c>
      <c r="T57" s="474">
        <v>2016</v>
      </c>
      <c r="U57" s="474">
        <v>2017</v>
      </c>
      <c r="V57" s="474">
        <v>2018</v>
      </c>
      <c r="W57" s="474">
        <v>2019</v>
      </c>
      <c r="X57" s="474">
        <v>2020</v>
      </c>
      <c r="Y57" s="474">
        <v>2021</v>
      </c>
      <c r="Z57" s="474">
        <v>2022</v>
      </c>
      <c r="AA57" s="474">
        <v>2023</v>
      </c>
      <c r="AB57" s="474">
        <v>2024</v>
      </c>
      <c r="AC57" s="474">
        <v>2025</v>
      </c>
      <c r="AD57" s="474">
        <v>2026</v>
      </c>
      <c r="AE57" s="474">
        <v>2027</v>
      </c>
      <c r="AF57" s="474">
        <v>2028</v>
      </c>
      <c r="AG57" s="474">
        <v>2029</v>
      </c>
      <c r="AH57" s="474">
        <v>2030</v>
      </c>
      <c r="AI57" s="474">
        <v>2031</v>
      </c>
      <c r="AJ57" s="474">
        <v>2032</v>
      </c>
      <c r="AK57" s="474">
        <v>2033</v>
      </c>
      <c r="AL57" s="474">
        <v>2034</v>
      </c>
      <c r="AM57" s="474">
        <v>2035</v>
      </c>
      <c r="AN57" s="474">
        <v>2036</v>
      </c>
      <c r="AO57" s="474">
        <v>2037</v>
      </c>
      <c r="AP57" s="474">
        <v>2038</v>
      </c>
      <c r="AQ57" s="474">
        <v>2039</v>
      </c>
      <c r="AR57" s="474">
        <v>2040</v>
      </c>
      <c r="AS57" s="474">
        <v>2041</v>
      </c>
      <c r="AT57" s="474">
        <v>2042</v>
      </c>
      <c r="AU57" s="474">
        <v>2043</v>
      </c>
      <c r="AV57" s="474">
        <v>2044</v>
      </c>
      <c r="AW57" s="474">
        <v>2045</v>
      </c>
      <c r="AX57" s="474">
        <v>2046</v>
      </c>
      <c r="AY57" s="474">
        <v>2047</v>
      </c>
      <c r="AZ57" s="474">
        <v>2048</v>
      </c>
      <c r="BA57" s="474">
        <v>2049</v>
      </c>
      <c r="BB57" s="474">
        <v>2050</v>
      </c>
      <c r="BC57" s="474">
        <v>2051</v>
      </c>
      <c r="BD57" s="474">
        <v>2052</v>
      </c>
      <c r="BE57" s="474">
        <v>2053</v>
      </c>
      <c r="BF57" s="474">
        <v>2054</v>
      </c>
      <c r="BG57" s="474">
        <v>2055</v>
      </c>
      <c r="BH57" s="474">
        <v>2056</v>
      </c>
      <c r="BI57" s="474">
        <v>2057</v>
      </c>
      <c r="BJ57" s="474">
        <v>2058</v>
      </c>
      <c r="BK57" s="474">
        <v>2059</v>
      </c>
      <c r="BL57" s="474">
        <v>2060</v>
      </c>
      <c r="BM57" s="474">
        <v>2061</v>
      </c>
      <c r="BN57" s="474">
        <v>2062</v>
      </c>
      <c r="BO57" s="474">
        <v>2063</v>
      </c>
      <c r="BP57" s="474">
        <v>2064</v>
      </c>
      <c r="BQ57" s="474">
        <v>2065</v>
      </c>
      <c r="BR57" s="474">
        <v>2066</v>
      </c>
      <c r="BS57" s="474">
        <v>2067</v>
      </c>
      <c r="BT57" s="474">
        <v>2068</v>
      </c>
      <c r="BU57" s="474">
        <v>2069</v>
      </c>
      <c r="BV57" s="854">
        <v>2070</v>
      </c>
      <c r="BW57" s="1014">
        <f t="shared" ref="BW57" si="130">+BV57+1</f>
        <v>2071</v>
      </c>
      <c r="BX57" s="1014">
        <f t="shared" ref="BX57" si="131">+BW57+1</f>
        <v>2072</v>
      </c>
      <c r="BY57" s="1014">
        <f t="shared" ref="BY57" si="132">+BX57+1</f>
        <v>2073</v>
      </c>
      <c r="BZ57" s="1014">
        <f t="shared" ref="BZ57" si="133">+BY57+1</f>
        <v>2074</v>
      </c>
      <c r="CA57" s="1014">
        <f t="shared" ref="CA57" si="134">+BZ57+1</f>
        <v>2075</v>
      </c>
      <c r="CB57" s="1014">
        <f t="shared" ref="CB57" si="135">+CA57+1</f>
        <v>2076</v>
      </c>
      <c r="CC57" s="1014">
        <f t="shared" ref="CC57" si="136">+CB57+1</f>
        <v>2077</v>
      </c>
      <c r="CD57" s="1014">
        <f t="shared" ref="CD57" si="137">+CC57+1</f>
        <v>2078</v>
      </c>
      <c r="CE57" s="1014">
        <f t="shared" ref="CE57" si="138">+CD57+1</f>
        <v>2079</v>
      </c>
      <c r="CF57" s="1014">
        <f t="shared" ref="CF57" si="139">+CE57+1</f>
        <v>2080</v>
      </c>
      <c r="CG57" s="1014">
        <f t="shared" ref="CG57" si="140">+CF57+1</f>
        <v>2081</v>
      </c>
      <c r="CH57" s="1014">
        <f t="shared" ref="CH57" si="141">+CG57+1</f>
        <v>2082</v>
      </c>
      <c r="CI57" s="1014">
        <f t="shared" ref="CI57" si="142">+CH57+1</f>
        <v>2083</v>
      </c>
      <c r="CJ57" s="1014">
        <f t="shared" ref="CJ57" si="143">+CI57+1</f>
        <v>2084</v>
      </c>
      <c r="CK57" s="1014">
        <f t="shared" ref="CK57" si="144">+CJ57+1</f>
        <v>2085</v>
      </c>
      <c r="CL57" s="1014">
        <f t="shared" ref="CL57" si="145">+CK57+1</f>
        <v>2086</v>
      </c>
      <c r="CM57" s="1014">
        <f t="shared" ref="CM57" si="146">+CL57+1</f>
        <v>2087</v>
      </c>
      <c r="CN57" s="1014">
        <f t="shared" ref="CN57" si="147">+CM57+1</f>
        <v>2088</v>
      </c>
      <c r="CO57" s="1014">
        <f t="shared" ref="CO57" si="148">+CN57+1</f>
        <v>2089</v>
      </c>
      <c r="CP57" s="1014">
        <f t="shared" ref="CP57" si="149">+CO57+1</f>
        <v>2090</v>
      </c>
      <c r="CQ57" s="1014">
        <f t="shared" ref="CQ57" si="150">+CP57+1</f>
        <v>2091</v>
      </c>
      <c r="CR57" s="1014">
        <f t="shared" ref="CR57" si="151">+CQ57+1</f>
        <v>2092</v>
      </c>
      <c r="CS57" s="1014">
        <f t="shared" ref="CS57" si="152">+CR57+1</f>
        <v>2093</v>
      </c>
      <c r="CT57" s="1014">
        <f t="shared" ref="CT57" si="153">+CS57+1</f>
        <v>2094</v>
      </c>
      <c r="CU57" s="1014">
        <f t="shared" ref="CU57" si="154">+CT57+1</f>
        <v>2095</v>
      </c>
      <c r="CV57" s="1014">
        <f t="shared" ref="CV57" si="155">+CU57+1</f>
        <v>2096</v>
      </c>
      <c r="CW57" s="1014">
        <f t="shared" ref="CW57" si="156">+CV57+1</f>
        <v>2097</v>
      </c>
      <c r="CX57" s="1014">
        <f t="shared" ref="CX57" si="157">+CW57+1</f>
        <v>2098</v>
      </c>
      <c r="CY57" s="1014">
        <f t="shared" ref="CY57" si="158">+CX57+1</f>
        <v>2099</v>
      </c>
      <c r="CZ57" s="1014">
        <f t="shared" ref="CZ57" si="159">+CY57+1</f>
        <v>2100</v>
      </c>
    </row>
    <row r="58" spans="1:104" ht="13.8" thickBot="1" x14ac:dyDescent="0.3">
      <c r="A58" s="688" t="s">
        <v>1063</v>
      </c>
      <c r="B58" s="689"/>
      <c r="C58" s="689"/>
      <c r="D58" s="973"/>
      <c r="E58" s="689"/>
      <c r="F58" s="689"/>
      <c r="G58" s="689"/>
      <c r="H58" s="689"/>
      <c r="I58" s="689"/>
      <c r="J58" s="689"/>
      <c r="K58" s="689"/>
      <c r="L58" s="689"/>
      <c r="M58" s="689"/>
      <c r="N58" s="689"/>
      <c r="O58" s="689"/>
      <c r="P58" s="689"/>
      <c r="Q58" s="689"/>
      <c r="R58" s="689"/>
      <c r="S58" s="689"/>
      <c r="T58" s="689"/>
      <c r="U58" s="689"/>
      <c r="V58" s="689"/>
      <c r="W58" s="689"/>
      <c r="X58" s="689"/>
      <c r="Y58" s="689"/>
      <c r="Z58" s="689"/>
      <c r="AA58" s="689"/>
      <c r="AB58" s="689"/>
      <c r="AC58" s="689"/>
      <c r="AD58" s="689"/>
      <c r="AE58" s="689"/>
      <c r="AF58" s="689"/>
      <c r="AG58" s="689"/>
      <c r="AH58" s="689"/>
      <c r="AI58" s="689"/>
      <c r="AJ58" s="689"/>
      <c r="AK58" s="689"/>
      <c r="AL58" s="689"/>
      <c r="AM58" s="689"/>
      <c r="AN58" s="689"/>
      <c r="AO58" s="689"/>
      <c r="AP58" s="689"/>
      <c r="AQ58" s="689"/>
      <c r="AR58" s="689"/>
      <c r="AS58" s="689"/>
      <c r="AT58" s="689"/>
      <c r="AU58" s="689"/>
      <c r="AV58" s="689"/>
      <c r="AW58" s="689"/>
      <c r="AX58" s="689"/>
      <c r="AY58" s="689"/>
      <c r="AZ58" s="689"/>
      <c r="BA58" s="689"/>
      <c r="BB58" s="689"/>
      <c r="BC58" s="689"/>
      <c r="BD58" s="689"/>
      <c r="BE58" s="689"/>
      <c r="BF58" s="689"/>
      <c r="BG58" s="689"/>
      <c r="BH58" s="689"/>
      <c r="BI58" s="689"/>
      <c r="BJ58" s="689"/>
      <c r="BK58" s="689"/>
      <c r="BL58" s="689"/>
      <c r="BM58" s="689"/>
      <c r="BN58" s="689"/>
      <c r="BO58" s="689"/>
      <c r="BP58" s="689"/>
      <c r="BQ58" s="689"/>
      <c r="BR58" s="689"/>
      <c r="BS58" s="689"/>
      <c r="BT58" s="689"/>
      <c r="BU58" s="689"/>
      <c r="BV58" s="690"/>
    </row>
    <row r="59" spans="1:104" x14ac:dyDescent="0.25">
      <c r="A59" s="691" t="str">
        <f>'HyARC Physical Property Data'!A73</f>
        <v>Residential Natural Gas</v>
      </c>
      <c r="B59">
        <v>2011</v>
      </c>
      <c r="C59" s="692">
        <f>VLOOKUP(ref_year,DeflatorTable,2,FALSE)/VLOOKUP(B59,DeflatorTable,2,FALSE)</f>
        <v>1.0771767810026385</v>
      </c>
      <c r="D59" s="974" t="str">
        <f>'HyARC Physical Property Data'!H73</f>
        <v>mmBtu</v>
      </c>
      <c r="E59" s="692" t="s">
        <v>1031</v>
      </c>
      <c r="F59">
        <f>'HyARC Physical Property Data'!$E$6</f>
        <v>47.141269049911173</v>
      </c>
      <c r="G59">
        <f>'HyARC Physical Property Data'!$I$6</f>
        <v>52.224661236371581</v>
      </c>
      <c r="H59" s="803">
        <v>13.568796522291001</v>
      </c>
      <c r="I59" s="803">
        <v>13.568796522291001</v>
      </c>
      <c r="J59" s="803">
        <v>13.568796522291001</v>
      </c>
      <c r="K59" s="803">
        <v>12.569562315288914</v>
      </c>
      <c r="L59" s="803">
        <v>12.891154499364562</v>
      </c>
      <c r="M59" s="803">
        <v>11.574514296329017</v>
      </c>
      <c r="N59">
        <f t="shared" ref="N59:AR59" si="160">N74*(1/mmBTU_to_GJ*$C59*$G59/$F59)</f>
        <v>12.848820030872973</v>
      </c>
      <c r="O59">
        <f t="shared" si="160"/>
        <v>12.218751960936617</v>
      </c>
      <c r="P59">
        <f t="shared" si="160"/>
        <v>11.847089507654712</v>
      </c>
      <c r="Q59">
        <f t="shared" si="160"/>
        <v>11.878954304161503</v>
      </c>
      <c r="R59">
        <f t="shared" si="160"/>
        <v>11.689024462272872</v>
      </c>
      <c r="S59">
        <f t="shared" si="160"/>
        <v>11.571127769223187</v>
      </c>
      <c r="T59">
        <f t="shared" si="160"/>
        <v>12.158272077211455</v>
      </c>
      <c r="U59">
        <f t="shared" si="160"/>
        <v>12.546766735129951</v>
      </c>
      <c r="V59">
        <f t="shared" si="160"/>
        <v>13.025386814796633</v>
      </c>
      <c r="W59">
        <f t="shared" si="160"/>
        <v>13.318825496567992</v>
      </c>
      <c r="X59">
        <f t="shared" si="160"/>
        <v>13.569389054574135</v>
      </c>
      <c r="Y59">
        <f t="shared" si="160"/>
        <v>13.810438757785679</v>
      </c>
      <c r="Z59">
        <f t="shared" si="160"/>
        <v>14.116363879109715</v>
      </c>
      <c r="AA59">
        <f t="shared" si="160"/>
        <v>14.398431406172943</v>
      </c>
      <c r="AB59">
        <f t="shared" si="160"/>
        <v>14.538561404399491</v>
      </c>
      <c r="AC59">
        <f t="shared" si="160"/>
        <v>14.725122769343848</v>
      </c>
      <c r="AD59">
        <f t="shared" si="160"/>
        <v>14.945168695396804</v>
      </c>
      <c r="AE59">
        <f t="shared" si="160"/>
        <v>15.119136164337942</v>
      </c>
      <c r="AF59">
        <f t="shared" si="160"/>
        <v>15.386893885550919</v>
      </c>
      <c r="AG59">
        <f t="shared" si="160"/>
        <v>15.591935497746983</v>
      </c>
      <c r="AH59">
        <f t="shared" si="160"/>
        <v>15.825560525786523</v>
      </c>
      <c r="AI59" s="758">
        <f t="shared" si="160"/>
        <v>16.097797484306195</v>
      </c>
      <c r="AJ59" s="758">
        <f t="shared" si="160"/>
        <v>16.489221744402556</v>
      </c>
      <c r="AK59" s="758">
        <f t="shared" si="160"/>
        <v>16.917726397778729</v>
      </c>
      <c r="AL59" s="758">
        <f t="shared" si="160"/>
        <v>17.360396073577061</v>
      </c>
      <c r="AM59" s="758">
        <f t="shared" si="160"/>
        <v>17.767820033598468</v>
      </c>
      <c r="AN59" s="758">
        <f t="shared" si="160"/>
        <v>18.289975811421051</v>
      </c>
      <c r="AO59" s="758">
        <f t="shared" si="160"/>
        <v>18.631226958079775</v>
      </c>
      <c r="AP59" s="758">
        <f t="shared" si="160"/>
        <v>19.172403658768356</v>
      </c>
      <c r="AQ59" s="758">
        <f t="shared" si="160"/>
        <v>19.659398554853915</v>
      </c>
      <c r="AR59" s="758">
        <f t="shared" si="160"/>
        <v>19.991300990315715</v>
      </c>
      <c r="AS59" s="758">
        <f>($BB59-$AR59)/10+AR59</f>
        <v>19.99145536068955</v>
      </c>
      <c r="AT59" s="758">
        <f t="shared" ref="AT59:BA59" si="161">($BB59-$AR59)/10+AS59</f>
        <v>19.991609731063384</v>
      </c>
      <c r="AU59" s="758">
        <f t="shared" si="161"/>
        <v>19.991764101437219</v>
      </c>
      <c r="AV59" s="758">
        <f t="shared" si="161"/>
        <v>19.991918471811054</v>
      </c>
      <c r="AW59" s="758">
        <f t="shared" si="161"/>
        <v>19.992072842184889</v>
      </c>
      <c r="AX59" s="758">
        <f t="shared" si="161"/>
        <v>19.992227212558724</v>
      </c>
      <c r="AY59" s="758">
        <f t="shared" si="161"/>
        <v>19.992381582932559</v>
      </c>
      <c r="AZ59" s="758">
        <f t="shared" si="161"/>
        <v>19.992535953306394</v>
      </c>
      <c r="BA59" s="758">
        <f t="shared" si="161"/>
        <v>19.992690323680229</v>
      </c>
      <c r="BB59" s="760">
        <f>'AEO Data'!$B$30*AM59</f>
        <v>19.992844694054046</v>
      </c>
      <c r="BC59" s="758">
        <f>($BQ59-$BB59)/15+BB59</f>
        <v>20.155753007586423</v>
      </c>
      <c r="BD59" s="758">
        <f t="shared" ref="BD59:BP62" si="162">($BQ59-$BB59)/15+BC59</f>
        <v>20.3186613211188</v>
      </c>
      <c r="BE59" s="758">
        <f t="shared" si="162"/>
        <v>20.481569634651176</v>
      </c>
      <c r="BF59" s="758">
        <f t="shared" si="162"/>
        <v>20.644477948183553</v>
      </c>
      <c r="BG59" s="758">
        <f t="shared" si="162"/>
        <v>20.80738626171593</v>
      </c>
      <c r="BH59" s="758">
        <f t="shared" si="162"/>
        <v>20.970294575248307</v>
      </c>
      <c r="BI59" s="758">
        <f t="shared" si="162"/>
        <v>21.133202888780684</v>
      </c>
      <c r="BJ59" s="758">
        <f t="shared" si="162"/>
        <v>21.29611120231306</v>
      </c>
      <c r="BK59" s="758">
        <f t="shared" si="162"/>
        <v>21.459019515845437</v>
      </c>
      <c r="BL59" s="758">
        <f t="shared" si="162"/>
        <v>21.621927829377814</v>
      </c>
      <c r="BM59" s="758">
        <f t="shared" si="162"/>
        <v>21.784836142910191</v>
      </c>
      <c r="BN59" s="758">
        <f t="shared" si="162"/>
        <v>21.947744456442567</v>
      </c>
      <c r="BO59" s="758">
        <f t="shared" si="162"/>
        <v>22.110652769974944</v>
      </c>
      <c r="BP59" s="758">
        <f t="shared" si="162"/>
        <v>22.273561083507321</v>
      </c>
      <c r="BQ59" s="760">
        <f>'AEO Data'!$C$30*BB59</f>
        <v>22.43646939703968</v>
      </c>
      <c r="BR59" s="757">
        <f>($BV59-$BQ59)/5+BQ59</f>
        <v>22.564713325864819</v>
      </c>
      <c r="BS59" s="758">
        <f t="shared" ref="BS59:BU62" si="163">($BV59-$BQ59)/5+BR59</f>
        <v>22.692957254689958</v>
      </c>
      <c r="BT59" s="758">
        <f t="shared" si="163"/>
        <v>22.821201183515097</v>
      </c>
      <c r="BU59" s="758">
        <f t="shared" si="163"/>
        <v>22.949445112340236</v>
      </c>
      <c r="BV59" s="761">
        <f>'AEO Data'!$D$30*BQ59</f>
        <v>23.077689041165382</v>
      </c>
      <c r="BW59" s="1013">
        <f>+BV59*BW$133/BV$133</f>
        <v>23.154313754554682</v>
      </c>
      <c r="BX59" s="1013">
        <f t="shared" ref="BX59:CZ59" si="164">+BW59*BX$133/BW$133</f>
        <v>23.231192884523196</v>
      </c>
      <c r="BY59" s="1013">
        <f t="shared" si="164"/>
        <v>23.308327275808772</v>
      </c>
      <c r="BZ59" s="1013">
        <f t="shared" si="164"/>
        <v>23.385717775954042</v>
      </c>
      <c r="CA59" s="1013">
        <f t="shared" si="164"/>
        <v>23.463365235315731</v>
      </c>
      <c r="CB59" s="1013">
        <f t="shared" si="164"/>
        <v>23.513434373015976</v>
      </c>
      <c r="CC59" s="1013">
        <f t="shared" si="164"/>
        <v>23.563610354663151</v>
      </c>
      <c r="CD59" s="1013">
        <f t="shared" si="164"/>
        <v>23.613893408254576</v>
      </c>
      <c r="CE59" s="1013">
        <f t="shared" si="164"/>
        <v>23.664283762274096</v>
      </c>
      <c r="CF59" s="1013">
        <f t="shared" si="164"/>
        <v>23.714781645693119</v>
      </c>
      <c r="CG59" s="1013">
        <f t="shared" si="164"/>
        <v>23.731177988110947</v>
      </c>
      <c r="CH59" s="1013">
        <f t="shared" si="164"/>
        <v>23.747585666920095</v>
      </c>
      <c r="CI59" s="1013">
        <f t="shared" si="164"/>
        <v>23.764004689958508</v>
      </c>
      <c r="CJ59" s="1013">
        <f t="shared" si="164"/>
        <v>23.780435065069565</v>
      </c>
      <c r="CK59" s="1013">
        <f t="shared" si="164"/>
        <v>23.796876800102055</v>
      </c>
      <c r="CL59" s="1013">
        <f t="shared" si="164"/>
        <v>23.802449818424297</v>
      </c>
      <c r="CM59" s="1013">
        <f t="shared" si="164"/>
        <v>23.808024141898198</v>
      </c>
      <c r="CN59" s="1013">
        <f t="shared" si="164"/>
        <v>23.813599770829413</v>
      </c>
      <c r="CO59" s="1013">
        <f t="shared" si="164"/>
        <v>23.819176705523667</v>
      </c>
      <c r="CP59" s="1013">
        <f t="shared" si="164"/>
        <v>23.82475494628676</v>
      </c>
      <c r="CQ59" s="1013">
        <f t="shared" si="164"/>
        <v>23.833209305741288</v>
      </c>
      <c r="CR59" s="1013">
        <f t="shared" si="164"/>
        <v>23.841666665276783</v>
      </c>
      <c r="CS59" s="1013">
        <f t="shared" si="164"/>
        <v>23.850127025957839</v>
      </c>
      <c r="CT59" s="1013">
        <f t="shared" si="164"/>
        <v>23.858590388849432</v>
      </c>
      <c r="CU59" s="1013">
        <f t="shared" si="164"/>
        <v>23.867056755016911</v>
      </c>
      <c r="CV59" s="1013">
        <f t="shared" si="164"/>
        <v>23.880086528392884</v>
      </c>
      <c r="CW59" s="1013">
        <f t="shared" si="164"/>
        <v>23.893123415130006</v>
      </c>
      <c r="CX59" s="1013">
        <f t="shared" si="164"/>
        <v>23.906167419111679</v>
      </c>
      <c r="CY59" s="1013">
        <f t="shared" si="164"/>
        <v>23.919218544223433</v>
      </c>
      <c r="CZ59" s="1013">
        <f t="shared" si="164"/>
        <v>23.932276794352919</v>
      </c>
    </row>
    <row r="60" spans="1:104" x14ac:dyDescent="0.25">
      <c r="A60" s="691" t="str">
        <f>'HyARC Physical Property Data'!A71</f>
        <v>Commercial Natural Gas</v>
      </c>
      <c r="B60">
        <v>2011</v>
      </c>
      <c r="C60" s="692">
        <f t="shared" ref="C60:C68" si="165">VLOOKUP(ref_year,DeflatorTable,2,FALSE)/VLOOKUP(B60,DeflatorTable,2,FALSE)</f>
        <v>1.0771767810026385</v>
      </c>
      <c r="D60" s="974" t="str">
        <f>'HyARC Physical Property Data'!H71</f>
        <v>mmBtu</v>
      </c>
      <c r="E60" s="692" t="s">
        <v>1031</v>
      </c>
      <c r="F60">
        <f>'HyARC Physical Property Data'!$E$6</f>
        <v>47.141269049911173</v>
      </c>
      <c r="G60">
        <f>'HyARC Physical Property Data'!$I$6</f>
        <v>52.224661236371581</v>
      </c>
      <c r="H60" s="803">
        <v>11.78211597551449</v>
      </c>
      <c r="I60" s="803">
        <v>11.78211597551449</v>
      </c>
      <c r="J60" s="803">
        <v>11.78211597551449</v>
      </c>
      <c r="K60" s="803">
        <v>10.884547954455588</v>
      </c>
      <c r="L60" s="803">
        <v>11.412186165255939</v>
      </c>
      <c r="M60" s="803">
        <v>10.075756967258858</v>
      </c>
      <c r="N60">
        <f t="shared" ref="N60:AR60" si="166">N75*(1/mmBTU_to_GJ*$C60*$G60/$F60)</f>
        <v>10.629111361129928</v>
      </c>
      <c r="O60">
        <f t="shared" si="166"/>
        <v>9.9955492598702431</v>
      </c>
      <c r="P60">
        <f t="shared" si="166"/>
        <v>9.1410917610380729</v>
      </c>
      <c r="Q60">
        <f t="shared" si="166"/>
        <v>9.5969684001679578</v>
      </c>
      <c r="R60">
        <f t="shared" si="166"/>
        <v>9.4058916020598868</v>
      </c>
      <c r="S60">
        <f t="shared" si="166"/>
        <v>9.2495164507528447</v>
      </c>
      <c r="T60">
        <f t="shared" si="166"/>
        <v>9.7764218036892636</v>
      </c>
      <c r="U60">
        <f t="shared" si="166"/>
        <v>10.090174279094695</v>
      </c>
      <c r="V60">
        <f t="shared" si="166"/>
        <v>10.498071047498478</v>
      </c>
      <c r="W60">
        <f t="shared" si="166"/>
        <v>10.736649252347618</v>
      </c>
      <c r="X60">
        <f t="shared" si="166"/>
        <v>10.944404422699936</v>
      </c>
      <c r="Y60">
        <f t="shared" si="166"/>
        <v>11.141369834297564</v>
      </c>
      <c r="Z60">
        <f t="shared" si="166"/>
        <v>11.405591672727528</v>
      </c>
      <c r="AA60">
        <f t="shared" si="166"/>
        <v>11.642166663114509</v>
      </c>
      <c r="AB60">
        <f t="shared" si="166"/>
        <v>11.748018053618996</v>
      </c>
      <c r="AC60">
        <f t="shared" si="166"/>
        <v>11.902757604636774</v>
      </c>
      <c r="AD60">
        <f t="shared" si="166"/>
        <v>12.090527006309296</v>
      </c>
      <c r="AE60">
        <f t="shared" si="166"/>
        <v>12.220015422570853</v>
      </c>
      <c r="AF60">
        <f t="shared" si="166"/>
        <v>12.435619438294673</v>
      </c>
      <c r="AG60">
        <f t="shared" si="166"/>
        <v>12.592485495912598</v>
      </c>
      <c r="AH60">
        <f t="shared" si="166"/>
        <v>12.770738780549461</v>
      </c>
      <c r="AI60">
        <f t="shared" si="166"/>
        <v>12.989189826652307</v>
      </c>
      <c r="AJ60">
        <f t="shared" si="166"/>
        <v>13.318649041764999</v>
      </c>
      <c r="AK60">
        <f t="shared" si="166"/>
        <v>13.691788738461685</v>
      </c>
      <c r="AL60">
        <f t="shared" si="166"/>
        <v>14.075018030303756</v>
      </c>
      <c r="AM60">
        <f t="shared" si="166"/>
        <v>14.417815418729715</v>
      </c>
      <c r="AN60">
        <f t="shared" si="166"/>
        <v>14.885419515535311</v>
      </c>
      <c r="AO60">
        <f t="shared" si="166"/>
        <v>15.176266800167872</v>
      </c>
      <c r="AP60">
        <f t="shared" si="166"/>
        <v>15.67029726596243</v>
      </c>
      <c r="AQ60">
        <f t="shared" si="166"/>
        <v>16.106982183025981</v>
      </c>
      <c r="AR60">
        <f t="shared" si="166"/>
        <v>16.379635393901427</v>
      </c>
      <c r="AS60">
        <f t="shared" ref="AS60:BA60" si="167">($BB60-$AR60)/10+AR60</f>
        <v>16.364004498297199</v>
      </c>
      <c r="AT60">
        <f t="shared" si="167"/>
        <v>16.348373602692966</v>
      </c>
      <c r="AU60">
        <f t="shared" si="167"/>
        <v>16.332742707088734</v>
      </c>
      <c r="AV60">
        <f t="shared" si="167"/>
        <v>16.317111811484502</v>
      </c>
      <c r="AW60">
        <f t="shared" si="167"/>
        <v>16.301480915880269</v>
      </c>
      <c r="AX60">
        <f t="shared" si="167"/>
        <v>16.285850020276037</v>
      </c>
      <c r="AY60">
        <f t="shared" si="167"/>
        <v>16.270219124671804</v>
      </c>
      <c r="AZ60">
        <f t="shared" si="167"/>
        <v>16.254588229067572</v>
      </c>
      <c r="BA60">
        <f t="shared" si="167"/>
        <v>16.23895733346334</v>
      </c>
      <c r="BB60" s="741">
        <f>'AEO Data'!$B$30*AM60</f>
        <v>16.223326437859122</v>
      </c>
      <c r="BC60">
        <f>($BQ60-$BB60)/15+BB60</f>
        <v>16.355519469432206</v>
      </c>
      <c r="BD60">
        <f t="shared" si="162"/>
        <v>16.487712501005291</v>
      </c>
      <c r="BE60">
        <f t="shared" si="162"/>
        <v>16.619905532578375</v>
      </c>
      <c r="BF60">
        <f t="shared" si="162"/>
        <v>16.75209856415146</v>
      </c>
      <c r="BG60">
        <f t="shared" si="162"/>
        <v>16.884291595724545</v>
      </c>
      <c r="BH60">
        <f t="shared" si="162"/>
        <v>17.016484627297629</v>
      </c>
      <c r="BI60">
        <f t="shared" si="162"/>
        <v>17.148677658870714</v>
      </c>
      <c r="BJ60">
        <f t="shared" si="162"/>
        <v>17.280870690443798</v>
      </c>
      <c r="BK60">
        <f t="shared" si="162"/>
        <v>17.413063722016883</v>
      </c>
      <c r="BL60">
        <f t="shared" si="162"/>
        <v>17.545256753589968</v>
      </c>
      <c r="BM60">
        <f t="shared" si="162"/>
        <v>17.677449785163052</v>
      </c>
      <c r="BN60">
        <f t="shared" si="162"/>
        <v>17.809642816736137</v>
      </c>
      <c r="BO60">
        <f t="shared" si="162"/>
        <v>17.941835848309221</v>
      </c>
      <c r="BP60">
        <f t="shared" si="162"/>
        <v>18.074028879882306</v>
      </c>
      <c r="BQ60" s="741">
        <f>'AEO Data'!$C$30*BB60</f>
        <v>18.206221911455369</v>
      </c>
      <c r="BR60" s="691">
        <f>($BV60-$BQ60)/5+BQ60</f>
        <v>18.310286298131796</v>
      </c>
      <c r="BS60">
        <f t="shared" si="163"/>
        <v>18.414350684808223</v>
      </c>
      <c r="BT60">
        <f t="shared" si="163"/>
        <v>18.51841507148465</v>
      </c>
      <c r="BU60">
        <f t="shared" si="163"/>
        <v>18.622479458161077</v>
      </c>
      <c r="BV60" s="762">
        <f>'AEO Data'!$D$30*BQ60</f>
        <v>18.726543844837511</v>
      </c>
      <c r="BW60" s="1013">
        <f>+BV60*BW$134/BV$134</f>
        <v>18.788721476762582</v>
      </c>
      <c r="BX60" s="1013">
        <f t="shared" ref="BX60:CZ60" si="168">+BW60*BX$134/BW$134</f>
        <v>18.851105556708379</v>
      </c>
      <c r="BY60" s="1013">
        <f t="shared" si="168"/>
        <v>18.913696770143034</v>
      </c>
      <c r="BZ60" s="1013">
        <f t="shared" si="168"/>
        <v>18.976495804810636</v>
      </c>
      <c r="CA60" s="1013">
        <f t="shared" si="168"/>
        <v>19.039503350738787</v>
      </c>
      <c r="CB60" s="1013">
        <f t="shared" si="168"/>
        <v>19.080132284630061</v>
      </c>
      <c r="CC60" s="1013">
        <f t="shared" si="168"/>
        <v>19.120847917750758</v>
      </c>
      <c r="CD60" s="1013">
        <f t="shared" si="168"/>
        <v>19.161650435110815</v>
      </c>
      <c r="CE60" s="1013">
        <f t="shared" si="168"/>
        <v>19.20254002211496</v>
      </c>
      <c r="CF60" s="1013">
        <f t="shared" si="168"/>
        <v>19.243516864563571</v>
      </c>
      <c r="CG60" s="1013">
        <f t="shared" si="168"/>
        <v>19.25682178537409</v>
      </c>
      <c r="CH60" s="1013">
        <f t="shared" si="168"/>
        <v>19.270135905174534</v>
      </c>
      <c r="CI60" s="1013">
        <f t="shared" si="168"/>
        <v>19.283459230325061</v>
      </c>
      <c r="CJ60" s="1013">
        <f t="shared" si="168"/>
        <v>19.296791767190232</v>
      </c>
      <c r="CK60" s="1013">
        <f t="shared" si="168"/>
        <v>19.310133522139004</v>
      </c>
      <c r="CL60" s="1013">
        <f t="shared" si="168"/>
        <v>19.314655784821952</v>
      </c>
      <c r="CM60" s="1013">
        <f t="shared" si="168"/>
        <v>19.319179106578872</v>
      </c>
      <c r="CN60" s="1013">
        <f t="shared" si="168"/>
        <v>19.323703487657788</v>
      </c>
      <c r="CO60" s="1013">
        <f t="shared" si="168"/>
        <v>19.328228928306782</v>
      </c>
      <c r="CP60" s="1013">
        <f t="shared" si="168"/>
        <v>19.332755428773996</v>
      </c>
      <c r="CQ60" s="1013">
        <f t="shared" si="168"/>
        <v>19.339615774830435</v>
      </c>
      <c r="CR60" s="1013">
        <f t="shared" si="168"/>
        <v>19.34647855532247</v>
      </c>
      <c r="CS60" s="1013">
        <f t="shared" si="168"/>
        <v>19.353343771113977</v>
      </c>
      <c r="CT60" s="1013">
        <f t="shared" si="168"/>
        <v>19.360211423069138</v>
      </c>
      <c r="CU60" s="1013">
        <f t="shared" si="168"/>
        <v>19.36708151205244</v>
      </c>
      <c r="CV60" s="1013">
        <f t="shared" si="168"/>
        <v>19.37765460808377</v>
      </c>
      <c r="CW60" s="1013">
        <f t="shared" si="168"/>
        <v>19.388233476299188</v>
      </c>
      <c r="CX60" s="1013">
        <f t="shared" si="168"/>
        <v>19.398818119849906</v>
      </c>
      <c r="CY60" s="1013">
        <f t="shared" si="168"/>
        <v>19.409408541888862</v>
      </c>
      <c r="CZ60" s="1013">
        <f t="shared" si="168"/>
        <v>19.420004745570715</v>
      </c>
    </row>
    <row r="61" spans="1:104" x14ac:dyDescent="0.25">
      <c r="A61" s="691" t="str">
        <f>'HyARC Physical Property Data'!A72</f>
        <v>Industrial Natural Gas</v>
      </c>
      <c r="B61">
        <v>2011</v>
      </c>
      <c r="C61" s="692">
        <f t="shared" si="165"/>
        <v>1.0771767810026385</v>
      </c>
      <c r="D61" s="974" t="str">
        <f>'HyARC Physical Property Data'!H72</f>
        <v>mmBtu</v>
      </c>
      <c r="E61" s="692" t="s">
        <v>1031</v>
      </c>
      <c r="F61">
        <f>'HyARC Physical Property Data'!$E$6</f>
        <v>47.141269049911173</v>
      </c>
      <c r="G61">
        <f>'HyARC Physical Property Data'!$I$6</f>
        <v>52.224661236371581</v>
      </c>
      <c r="H61" s="803">
        <v>7.8800725307970341</v>
      </c>
      <c r="I61" s="803">
        <v>7.8800725307970341</v>
      </c>
      <c r="J61" s="803">
        <v>7.8800725307970341</v>
      </c>
      <c r="K61" s="803">
        <v>7.4431315976064605</v>
      </c>
      <c r="L61" s="803">
        <v>8.8750360136942668</v>
      </c>
      <c r="M61" s="803">
        <v>6.5580125743803235</v>
      </c>
      <c r="N61">
        <f t="shared" ref="N61:AR61" si="169">N76*(1/mmBTU_to_GJ*$C61*$G61/$F61)</f>
        <v>6.2030163592696592</v>
      </c>
      <c r="O61">
        <f t="shared" si="169"/>
        <v>5.5300347074699987</v>
      </c>
      <c r="P61">
        <f t="shared" si="169"/>
        <v>4.260790785073671</v>
      </c>
      <c r="Q61">
        <f t="shared" si="169"/>
        <v>4.9204025921851677</v>
      </c>
      <c r="R61">
        <f t="shared" si="169"/>
        <v>4.9951990684837728</v>
      </c>
      <c r="S61">
        <f t="shared" si="169"/>
        <v>5.0372880634792523</v>
      </c>
      <c r="T61">
        <f t="shared" si="169"/>
        <v>5.5611676689925886</v>
      </c>
      <c r="U61">
        <f t="shared" si="169"/>
        <v>5.805087024993802</v>
      </c>
      <c r="V61">
        <f t="shared" si="169"/>
        <v>6.0936211681384362</v>
      </c>
      <c r="W61">
        <f t="shared" si="169"/>
        <v>6.2815263042747977</v>
      </c>
      <c r="X61">
        <f t="shared" si="169"/>
        <v>6.446729851334049</v>
      </c>
      <c r="Y61">
        <f t="shared" si="169"/>
        <v>6.6107547707989633</v>
      </c>
      <c r="Z61">
        <f t="shared" si="169"/>
        <v>6.8493465490944869</v>
      </c>
      <c r="AA61">
        <f t="shared" si="169"/>
        <v>7.0700971632388772</v>
      </c>
      <c r="AB61">
        <f t="shared" si="169"/>
        <v>7.1542932511583484</v>
      </c>
      <c r="AC61">
        <f t="shared" si="169"/>
        <v>7.2893513049194398</v>
      </c>
      <c r="AD61">
        <f t="shared" si="169"/>
        <v>7.4302708252773213</v>
      </c>
      <c r="AE61">
        <f t="shared" si="169"/>
        <v>7.5360419062240371</v>
      </c>
      <c r="AF61">
        <f t="shared" si="169"/>
        <v>7.7520157983618185</v>
      </c>
      <c r="AG61">
        <f t="shared" si="169"/>
        <v>7.8975966664320465</v>
      </c>
      <c r="AH61">
        <f t="shared" si="169"/>
        <v>8.0540057513550476</v>
      </c>
      <c r="AI61">
        <f t="shared" si="169"/>
        <v>8.2613853896907425</v>
      </c>
      <c r="AJ61">
        <f t="shared" si="169"/>
        <v>8.5847569141002449</v>
      </c>
      <c r="AK61">
        <f t="shared" si="169"/>
        <v>8.9483974605692502</v>
      </c>
      <c r="AL61">
        <f t="shared" si="169"/>
        <v>9.3215688286408334</v>
      </c>
      <c r="AM61">
        <f t="shared" si="169"/>
        <v>9.648490940400265</v>
      </c>
      <c r="AN61">
        <f t="shared" si="169"/>
        <v>10.068364012996796</v>
      </c>
      <c r="AO61">
        <f t="shared" si="169"/>
        <v>10.306145908991411</v>
      </c>
      <c r="AP61">
        <f t="shared" si="169"/>
        <v>10.735979628992679</v>
      </c>
      <c r="AQ61">
        <f t="shared" si="169"/>
        <v>11.099317035159109</v>
      </c>
      <c r="AR61">
        <f t="shared" si="169"/>
        <v>11.325040055162141</v>
      </c>
      <c r="AS61">
        <f t="shared" ref="AS61:BA61" si="170">($BB61-$AR61)/10+AR61</f>
        <v>11.278211053887526</v>
      </c>
      <c r="AT61">
        <f t="shared" si="170"/>
        <v>11.231382052612911</v>
      </c>
      <c r="AU61">
        <f t="shared" si="170"/>
        <v>11.184553051338296</v>
      </c>
      <c r="AV61">
        <f t="shared" si="170"/>
        <v>11.137724050063682</v>
      </c>
      <c r="AW61">
        <f t="shared" si="170"/>
        <v>11.090895048789067</v>
      </c>
      <c r="AX61">
        <f t="shared" si="170"/>
        <v>11.044066047514452</v>
      </c>
      <c r="AY61">
        <f t="shared" si="170"/>
        <v>10.997237046239837</v>
      </c>
      <c r="AZ61">
        <f t="shared" si="170"/>
        <v>10.950408044965222</v>
      </c>
      <c r="BA61">
        <f t="shared" si="170"/>
        <v>10.903579043690607</v>
      </c>
      <c r="BB61" s="741">
        <f>'AEO Data'!$B$30*AM61</f>
        <v>10.856750042415998</v>
      </c>
      <c r="BC61">
        <f>($BQ61-$BB61)/15+BB61</f>
        <v>10.945214433897943</v>
      </c>
      <c r="BD61">
        <f t="shared" si="162"/>
        <v>11.033678825379889</v>
      </c>
      <c r="BE61">
        <f t="shared" si="162"/>
        <v>11.122143216861835</v>
      </c>
      <c r="BF61">
        <f t="shared" si="162"/>
        <v>11.21060760834378</v>
      </c>
      <c r="BG61">
        <f t="shared" si="162"/>
        <v>11.299071999825726</v>
      </c>
      <c r="BH61">
        <f t="shared" si="162"/>
        <v>11.387536391307671</v>
      </c>
      <c r="BI61">
        <f t="shared" si="162"/>
        <v>11.476000782789617</v>
      </c>
      <c r="BJ61">
        <f t="shared" si="162"/>
        <v>11.564465174271563</v>
      </c>
      <c r="BK61">
        <f t="shared" si="162"/>
        <v>11.652929565753508</v>
      </c>
      <c r="BL61">
        <f t="shared" si="162"/>
        <v>11.741393957235454</v>
      </c>
      <c r="BM61">
        <f t="shared" si="162"/>
        <v>11.8298583487174</v>
      </c>
      <c r="BN61">
        <f t="shared" si="162"/>
        <v>11.918322740199345</v>
      </c>
      <c r="BO61">
        <f t="shared" si="162"/>
        <v>12.006787131681291</v>
      </c>
      <c r="BP61">
        <f t="shared" si="162"/>
        <v>12.095251523163236</v>
      </c>
      <c r="BQ61" s="741">
        <f>'AEO Data'!$C$30*BB61</f>
        <v>12.183715914645184</v>
      </c>
      <c r="BR61" s="691">
        <f>($BV61-$BQ61)/5+BQ61</f>
        <v>12.253356443595324</v>
      </c>
      <c r="BS61">
        <f t="shared" si="163"/>
        <v>12.322996972545464</v>
      </c>
      <c r="BT61">
        <f t="shared" si="163"/>
        <v>12.392637501495605</v>
      </c>
      <c r="BU61">
        <f t="shared" si="163"/>
        <v>12.462278030445745</v>
      </c>
      <c r="BV61" s="762">
        <f>'AEO Data'!$D$30*BQ61</f>
        <v>12.531918559395887</v>
      </c>
      <c r="BW61" s="1013">
        <f>+BV61*BW$135/BV$135</f>
        <v>12.573528213903272</v>
      </c>
      <c r="BX61" s="1013">
        <f t="shared" ref="BX61:CZ61" si="171">+BW61*BX$135/BW$135</f>
        <v>12.61527602469854</v>
      </c>
      <c r="BY61" s="1013">
        <f t="shared" si="171"/>
        <v>12.657162450501191</v>
      </c>
      <c r="BZ61" s="1013">
        <f t="shared" si="171"/>
        <v>12.699187951553807</v>
      </c>
      <c r="CA61" s="1013">
        <f t="shared" si="171"/>
        <v>12.741352989627112</v>
      </c>
      <c r="CB61" s="1013">
        <f t="shared" si="171"/>
        <v>12.768542122597896</v>
      </c>
      <c r="CC61" s="1013">
        <f t="shared" si="171"/>
        <v>12.795789275227369</v>
      </c>
      <c r="CD61" s="1013">
        <f t="shared" si="171"/>
        <v>12.823094571325321</v>
      </c>
      <c r="CE61" s="1013">
        <f t="shared" si="171"/>
        <v>12.85045813496574</v>
      </c>
      <c r="CF61" s="1013">
        <f t="shared" si="171"/>
        <v>12.87788009048738</v>
      </c>
      <c r="CG61" s="1013">
        <f t="shared" si="171"/>
        <v>12.886783825496796</v>
      </c>
      <c r="CH61" s="1013">
        <f t="shared" si="171"/>
        <v>12.895693716526967</v>
      </c>
      <c r="CI61" s="1013">
        <f t="shared" si="171"/>
        <v>12.904609767834151</v>
      </c>
      <c r="CJ61" s="1013">
        <f t="shared" si="171"/>
        <v>12.913531983677547</v>
      </c>
      <c r="CK61" s="1013">
        <f t="shared" si="171"/>
        <v>12.922460368319303</v>
      </c>
      <c r="CL61" s="1013">
        <f t="shared" si="171"/>
        <v>12.925486694379064</v>
      </c>
      <c r="CM61" s="1013">
        <f t="shared" si="171"/>
        <v>12.928513729177656</v>
      </c>
      <c r="CN61" s="1013">
        <f t="shared" si="171"/>
        <v>12.931541472881056</v>
      </c>
      <c r="CO61" s="1013">
        <f t="shared" si="171"/>
        <v>12.934569925655282</v>
      </c>
      <c r="CP61" s="1013">
        <f t="shared" si="171"/>
        <v>12.937599087666396</v>
      </c>
      <c r="CQ61" s="1013">
        <f t="shared" si="171"/>
        <v>12.942190073530147</v>
      </c>
      <c r="CR61" s="1013">
        <f t="shared" si="171"/>
        <v>12.946782688533204</v>
      </c>
      <c r="CS61" s="1013">
        <f t="shared" si="171"/>
        <v>12.951376933253679</v>
      </c>
      <c r="CT61" s="1013">
        <f t="shared" si="171"/>
        <v>12.955972808269884</v>
      </c>
      <c r="CU61" s="1013">
        <f t="shared" si="171"/>
        <v>12.960570314160341</v>
      </c>
      <c r="CV61" s="1013">
        <f t="shared" si="171"/>
        <v>12.967645895190305</v>
      </c>
      <c r="CW61" s="1013">
        <f t="shared" si="171"/>
        <v>12.974725339001436</v>
      </c>
      <c r="CX61" s="1013">
        <f t="shared" si="171"/>
        <v>12.981808647702545</v>
      </c>
      <c r="CY61" s="1013">
        <f t="shared" si="171"/>
        <v>12.988895823403597</v>
      </c>
      <c r="CZ61" s="1013">
        <f t="shared" si="171"/>
        <v>12.995986868215709</v>
      </c>
    </row>
    <row r="62" spans="1:104" x14ac:dyDescent="0.25">
      <c r="A62" s="691" t="str">
        <f>'HyARC Physical Property Data'!A74</f>
        <v>Electric Utility Natural Gas</v>
      </c>
      <c r="B62">
        <v>2011</v>
      </c>
      <c r="C62" s="692">
        <f t="shared" si="165"/>
        <v>1.0771767810026385</v>
      </c>
      <c r="D62" s="974" t="str">
        <f>'HyARC Physical Property Data'!H74</f>
        <v>mmBtu</v>
      </c>
      <c r="E62" s="692" t="s">
        <v>1031</v>
      </c>
      <c r="F62">
        <f>'HyARC Physical Property Data'!$E$6</f>
        <v>47.141269049911173</v>
      </c>
      <c r="G62">
        <f>'HyARC Physical Property Data'!$I$6</f>
        <v>52.224661236371581</v>
      </c>
      <c r="H62" s="803">
        <v>6.9870463159656619</v>
      </c>
      <c r="I62" s="803">
        <v>6.9870463159656619</v>
      </c>
      <c r="J62" s="803">
        <v>6.9870463159656619</v>
      </c>
      <c r="K62" s="803">
        <v>6.9519071777354364</v>
      </c>
      <c r="L62" s="803">
        <v>9.0904707383294223</v>
      </c>
      <c r="M62" s="803">
        <v>6.2626950486669273</v>
      </c>
      <c r="N62">
        <f t="shared" ref="N62:AR62" si="172">N77*(1/mmBTU_to_GJ*$C62*$G62/$F62)</f>
        <v>5.9476195232303075</v>
      </c>
      <c r="O62">
        <f t="shared" si="172"/>
        <v>5.4007770397969699</v>
      </c>
      <c r="P62">
        <f t="shared" si="172"/>
        <v>3.7643838350413934</v>
      </c>
      <c r="Q62">
        <f t="shared" si="172"/>
        <v>4.2147881130374945</v>
      </c>
      <c r="R62">
        <f t="shared" si="172"/>
        <v>4.337012473242587</v>
      </c>
      <c r="S62">
        <f t="shared" si="172"/>
        <v>4.4297507834196734</v>
      </c>
      <c r="T62">
        <f t="shared" si="172"/>
        <v>4.9169062986207761</v>
      </c>
      <c r="U62">
        <f t="shared" si="172"/>
        <v>5.1166395621601932</v>
      </c>
      <c r="V62">
        <f t="shared" si="172"/>
        <v>5.3977920127130385</v>
      </c>
      <c r="W62">
        <f t="shared" si="172"/>
        <v>5.5768800643025109</v>
      </c>
      <c r="X62">
        <f t="shared" si="172"/>
        <v>5.731085726429189</v>
      </c>
      <c r="Y62">
        <f t="shared" si="172"/>
        <v>5.8852472748551197</v>
      </c>
      <c r="Z62">
        <f t="shared" si="172"/>
        <v>6.1240381303642737</v>
      </c>
      <c r="AA62">
        <f t="shared" si="172"/>
        <v>6.3478846214047309</v>
      </c>
      <c r="AB62">
        <f t="shared" si="172"/>
        <v>6.46780941356828</v>
      </c>
      <c r="AC62">
        <f t="shared" si="172"/>
        <v>6.6168153146093855</v>
      </c>
      <c r="AD62">
        <f t="shared" si="172"/>
        <v>6.7826918783851724</v>
      </c>
      <c r="AE62">
        <f t="shared" si="172"/>
        <v>6.9152648603374747</v>
      </c>
      <c r="AF62">
        <f t="shared" si="172"/>
        <v>7.1044436381928611</v>
      </c>
      <c r="AG62">
        <f t="shared" si="172"/>
        <v>7.2503909893154548</v>
      </c>
      <c r="AH62">
        <f t="shared" si="172"/>
        <v>7.4075070245709522</v>
      </c>
      <c r="AI62">
        <f t="shared" si="172"/>
        <v>7.6133030941618562</v>
      </c>
      <c r="AJ62">
        <f t="shared" si="172"/>
        <v>7.9366802741740186</v>
      </c>
      <c r="AK62">
        <f t="shared" si="172"/>
        <v>8.2829207934993665</v>
      </c>
      <c r="AL62">
        <f t="shared" si="172"/>
        <v>8.6352320367199251</v>
      </c>
      <c r="AM62">
        <f t="shared" si="172"/>
        <v>8.9389684398145519</v>
      </c>
      <c r="AN62">
        <f t="shared" si="172"/>
        <v>9.3489317654302884</v>
      </c>
      <c r="AO62">
        <f t="shared" si="172"/>
        <v>9.5889623290425074</v>
      </c>
      <c r="AP62">
        <f t="shared" si="172"/>
        <v>10.016230667677213</v>
      </c>
      <c r="AQ62">
        <f t="shared" si="172"/>
        <v>10.374123990723158</v>
      </c>
      <c r="AR62">
        <f t="shared" si="172"/>
        <v>10.560031568000021</v>
      </c>
      <c r="AS62">
        <f t="shared" ref="AS62:BA62" si="173">($BB62-$AR62)/10+AR62</f>
        <v>10.509865972613389</v>
      </c>
      <c r="AT62">
        <f t="shared" si="173"/>
        <v>10.459700377226756</v>
      </c>
      <c r="AU62">
        <f t="shared" si="173"/>
        <v>10.409534781840124</v>
      </c>
      <c r="AV62">
        <f t="shared" si="173"/>
        <v>10.359369186453492</v>
      </c>
      <c r="AW62">
        <f t="shared" si="173"/>
        <v>10.30920359106686</v>
      </c>
      <c r="AX62">
        <f t="shared" si="173"/>
        <v>10.259037995680227</v>
      </c>
      <c r="AY62">
        <f t="shared" si="173"/>
        <v>10.208872400293595</v>
      </c>
      <c r="AZ62">
        <f t="shared" si="173"/>
        <v>10.158706804906963</v>
      </c>
      <c r="BA62">
        <f t="shared" si="173"/>
        <v>10.108541209520331</v>
      </c>
      <c r="BB62" s="741">
        <f>'AEO Data'!$B$30*AM62</f>
        <v>10.058375614133693</v>
      </c>
      <c r="BC62">
        <f>($BQ62-$BB62)/15+BB62</f>
        <v>10.140334586618534</v>
      </c>
      <c r="BD62">
        <f t="shared" si="162"/>
        <v>10.222293559103376</v>
      </c>
      <c r="BE62">
        <f t="shared" si="162"/>
        <v>10.304252531588217</v>
      </c>
      <c r="BF62">
        <f t="shared" si="162"/>
        <v>10.386211504073058</v>
      </c>
      <c r="BG62">
        <f t="shared" si="162"/>
        <v>10.4681704765579</v>
      </c>
      <c r="BH62">
        <f t="shared" si="162"/>
        <v>10.550129449042741</v>
      </c>
      <c r="BI62">
        <f t="shared" si="162"/>
        <v>10.632088421527582</v>
      </c>
      <c r="BJ62">
        <f t="shared" si="162"/>
        <v>10.714047394012423</v>
      </c>
      <c r="BK62">
        <f t="shared" si="162"/>
        <v>10.796006366497265</v>
      </c>
      <c r="BL62">
        <f t="shared" si="162"/>
        <v>10.877965338982106</v>
      </c>
      <c r="BM62">
        <f t="shared" si="162"/>
        <v>10.959924311466947</v>
      </c>
      <c r="BN62">
        <f t="shared" si="162"/>
        <v>11.041883283951789</v>
      </c>
      <c r="BO62">
        <f t="shared" si="162"/>
        <v>11.12384225643663</v>
      </c>
      <c r="BP62">
        <f t="shared" si="162"/>
        <v>11.205801228921471</v>
      </c>
      <c r="BQ62" s="741">
        <f>'AEO Data'!$C$30*BB62</f>
        <v>11.287760201406321</v>
      </c>
      <c r="BR62" s="691">
        <f>($BV62-$BQ62)/5+BQ62</f>
        <v>11.35227956451322</v>
      </c>
      <c r="BS62">
        <f t="shared" si="163"/>
        <v>11.416798927620118</v>
      </c>
      <c r="BT62">
        <f t="shared" si="163"/>
        <v>11.481318290727016</v>
      </c>
      <c r="BU62">
        <f t="shared" si="163"/>
        <v>11.545837653833914</v>
      </c>
      <c r="BV62" s="762">
        <f>'AEO Data'!$D$30*BQ62</f>
        <v>11.610357016940812</v>
      </c>
      <c r="BW62" s="1013">
        <f>+BV62*BW$136/BV$136</f>
        <v>11.648906816150932</v>
      </c>
      <c r="BX62" s="1013">
        <f t="shared" ref="BX62:CZ63" si="174">+BW62*BX$136/BW$136</f>
        <v>11.687584612029626</v>
      </c>
      <c r="BY62" s="1013">
        <f t="shared" si="174"/>
        <v>11.726390829563474</v>
      </c>
      <c r="BZ62" s="1013">
        <f t="shared" si="174"/>
        <v>11.765325895150129</v>
      </c>
      <c r="CA62" s="1013">
        <f t="shared" si="174"/>
        <v>11.804390236603014</v>
      </c>
      <c r="CB62" s="1013">
        <f t="shared" si="174"/>
        <v>11.829579958294525</v>
      </c>
      <c r="CC62" s="1013">
        <f t="shared" si="174"/>
        <v>11.854823433044533</v>
      </c>
      <c r="CD62" s="1013">
        <f t="shared" si="174"/>
        <v>11.880120775558206</v>
      </c>
      <c r="CE62" s="1013">
        <f t="shared" si="174"/>
        <v>11.905472100785488</v>
      </c>
      <c r="CF62" s="1013">
        <f t="shared" si="174"/>
        <v>11.930877523921614</v>
      </c>
      <c r="CG62" s="1013">
        <f t="shared" si="174"/>
        <v>11.939126503657128</v>
      </c>
      <c r="CH62" s="1013">
        <f t="shared" si="174"/>
        <v>11.947381186717189</v>
      </c>
      <c r="CI62" s="1013">
        <f t="shared" si="174"/>
        <v>11.955641577045064</v>
      </c>
      <c r="CJ62" s="1013">
        <f t="shared" si="174"/>
        <v>11.963907678586745</v>
      </c>
      <c r="CK62" s="1013">
        <f t="shared" si="174"/>
        <v>11.97217949529095</v>
      </c>
      <c r="CL62" s="1013">
        <f t="shared" si="174"/>
        <v>11.974983273965139</v>
      </c>
      <c r="CM62" s="1013">
        <f t="shared" si="174"/>
        <v>11.977787709259525</v>
      </c>
      <c r="CN62" s="1013">
        <f t="shared" si="174"/>
        <v>11.980592801327882</v>
      </c>
      <c r="CO62" s="1013">
        <f t="shared" si="174"/>
        <v>11.98339855032402</v>
      </c>
      <c r="CP62" s="1013">
        <f t="shared" si="174"/>
        <v>11.986204956401787</v>
      </c>
      <c r="CQ62" s="1013">
        <f t="shared" si="174"/>
        <v>11.990458334261309</v>
      </c>
      <c r="CR62" s="1013">
        <f t="shared" si="174"/>
        <v>11.99471322145788</v>
      </c>
      <c r="CS62" s="1013">
        <f t="shared" si="174"/>
        <v>11.9989696185271</v>
      </c>
      <c r="CT62" s="1013">
        <f t="shared" si="174"/>
        <v>12.003227526004752</v>
      </c>
      <c r="CU62" s="1013">
        <f t="shared" si="174"/>
        <v>12.007486944426816</v>
      </c>
      <c r="CV62" s="1013">
        <f t="shared" si="174"/>
        <v>12.014042207411556</v>
      </c>
      <c r="CW62" s="1013">
        <f t="shared" si="174"/>
        <v>12.020601049119556</v>
      </c>
      <c r="CX62" s="1013">
        <f t="shared" si="174"/>
        <v>12.027163471504549</v>
      </c>
      <c r="CY62" s="1013">
        <f t="shared" si="174"/>
        <v>12.033729476521339</v>
      </c>
      <c r="CZ62" s="1013">
        <f t="shared" si="174"/>
        <v>12.040299066125799</v>
      </c>
    </row>
    <row r="63" spans="1:104" x14ac:dyDescent="0.25">
      <c r="A63" s="691" t="str">
        <f>'HyARC Physical Property Data'!A75</f>
        <v>Bio Methane</v>
      </c>
      <c r="B63">
        <v>2007</v>
      </c>
      <c r="C63" s="692">
        <f t="shared" si="165"/>
        <v>1.1413971588333081</v>
      </c>
      <c r="D63" s="977" t="str">
        <f>'HyARC Physical Property Data'!H75</f>
        <v>mmBtu</v>
      </c>
      <c r="E63" s="692" t="s">
        <v>1031</v>
      </c>
      <c r="F63">
        <f>'HyARC Physical Property Data'!$E$6</f>
        <v>47.141269049911173</v>
      </c>
      <c r="G63">
        <f>'HyARC Physical Property Data'!$I$6</f>
        <v>52.224661236371581</v>
      </c>
      <c r="H63" s="803">
        <v>12.42654028436019</v>
      </c>
      <c r="I63" s="803">
        <v>12.42654028436019</v>
      </c>
      <c r="J63" s="803">
        <v>12.42654028436019</v>
      </c>
      <c r="K63" s="803">
        <v>12.42654028436019</v>
      </c>
      <c r="L63" s="803">
        <v>12.42654028436019</v>
      </c>
      <c r="M63" s="803">
        <v>12.42654028436019</v>
      </c>
      <c r="N63">
        <f t="shared" ref="N63:AM63" si="175">13.11*($C$63/mmBTU_to_GJ)</f>
        <v>14.183617774696369</v>
      </c>
      <c r="O63">
        <f t="shared" si="175"/>
        <v>14.183617774696369</v>
      </c>
      <c r="P63">
        <f t="shared" si="175"/>
        <v>14.183617774696369</v>
      </c>
      <c r="Q63">
        <f t="shared" si="175"/>
        <v>14.183617774696369</v>
      </c>
      <c r="R63">
        <f t="shared" si="175"/>
        <v>14.183617774696369</v>
      </c>
      <c r="S63">
        <f t="shared" si="175"/>
        <v>14.183617774696369</v>
      </c>
      <c r="T63">
        <f t="shared" si="175"/>
        <v>14.183617774696369</v>
      </c>
      <c r="U63">
        <f t="shared" si="175"/>
        <v>14.183617774696369</v>
      </c>
      <c r="V63">
        <f t="shared" si="175"/>
        <v>14.183617774696369</v>
      </c>
      <c r="W63">
        <f t="shared" si="175"/>
        <v>14.183617774696369</v>
      </c>
      <c r="X63">
        <f t="shared" si="175"/>
        <v>14.183617774696369</v>
      </c>
      <c r="Y63">
        <f t="shared" si="175"/>
        <v>14.183617774696369</v>
      </c>
      <c r="Z63">
        <f t="shared" si="175"/>
        <v>14.183617774696369</v>
      </c>
      <c r="AA63">
        <f t="shared" si="175"/>
        <v>14.183617774696369</v>
      </c>
      <c r="AB63">
        <f t="shared" si="175"/>
        <v>14.183617774696369</v>
      </c>
      <c r="AC63">
        <f t="shared" si="175"/>
        <v>14.183617774696369</v>
      </c>
      <c r="AD63">
        <f t="shared" si="175"/>
        <v>14.183617774696369</v>
      </c>
      <c r="AE63">
        <f t="shared" si="175"/>
        <v>14.183617774696369</v>
      </c>
      <c r="AF63">
        <f t="shared" si="175"/>
        <v>14.183617774696369</v>
      </c>
      <c r="AG63">
        <f t="shared" si="175"/>
        <v>14.183617774696369</v>
      </c>
      <c r="AH63">
        <f t="shared" si="175"/>
        <v>14.183617774696369</v>
      </c>
      <c r="AI63">
        <f t="shared" si="175"/>
        <v>14.183617774696369</v>
      </c>
      <c r="AJ63">
        <f t="shared" si="175"/>
        <v>14.183617774696369</v>
      </c>
      <c r="AK63">
        <f t="shared" si="175"/>
        <v>14.183617774696369</v>
      </c>
      <c r="AL63">
        <f t="shared" si="175"/>
        <v>14.183617774696369</v>
      </c>
      <c r="AM63">
        <f t="shared" si="175"/>
        <v>14.183617774696369</v>
      </c>
      <c r="AN63">
        <f t="shared" ref="AN63:BV63" si="176">13.11*($C$63/mmBTU_to_GJ)</f>
        <v>14.183617774696369</v>
      </c>
      <c r="AO63">
        <f t="shared" si="176"/>
        <v>14.183617774696369</v>
      </c>
      <c r="AP63">
        <f t="shared" si="176"/>
        <v>14.183617774696369</v>
      </c>
      <c r="AQ63">
        <f t="shared" si="176"/>
        <v>14.183617774696369</v>
      </c>
      <c r="AR63">
        <f t="shared" si="176"/>
        <v>14.183617774696369</v>
      </c>
      <c r="AS63">
        <f t="shared" si="176"/>
        <v>14.183617774696369</v>
      </c>
      <c r="AT63">
        <f t="shared" si="176"/>
        <v>14.183617774696369</v>
      </c>
      <c r="AU63">
        <f t="shared" si="176"/>
        <v>14.183617774696369</v>
      </c>
      <c r="AV63">
        <f t="shared" si="176"/>
        <v>14.183617774696369</v>
      </c>
      <c r="AW63">
        <f t="shared" si="176"/>
        <v>14.183617774696369</v>
      </c>
      <c r="AX63">
        <f t="shared" si="176"/>
        <v>14.183617774696369</v>
      </c>
      <c r="AY63">
        <f t="shared" si="176"/>
        <v>14.183617774696369</v>
      </c>
      <c r="AZ63">
        <f t="shared" si="176"/>
        <v>14.183617774696369</v>
      </c>
      <c r="BA63">
        <f t="shared" si="176"/>
        <v>14.183617774696369</v>
      </c>
      <c r="BB63">
        <f t="shared" si="176"/>
        <v>14.183617774696369</v>
      </c>
      <c r="BC63">
        <f t="shared" si="176"/>
        <v>14.183617774696369</v>
      </c>
      <c r="BD63">
        <f t="shared" si="176"/>
        <v>14.183617774696369</v>
      </c>
      <c r="BE63">
        <f t="shared" si="176"/>
        <v>14.183617774696369</v>
      </c>
      <c r="BF63">
        <f t="shared" si="176"/>
        <v>14.183617774696369</v>
      </c>
      <c r="BG63">
        <f t="shared" si="176"/>
        <v>14.183617774696369</v>
      </c>
      <c r="BH63">
        <f t="shared" si="176"/>
        <v>14.183617774696369</v>
      </c>
      <c r="BI63">
        <f t="shared" si="176"/>
        <v>14.183617774696369</v>
      </c>
      <c r="BJ63">
        <f t="shared" si="176"/>
        <v>14.183617774696369</v>
      </c>
      <c r="BK63">
        <f t="shared" si="176"/>
        <v>14.183617774696369</v>
      </c>
      <c r="BL63">
        <f t="shared" si="176"/>
        <v>14.183617774696369</v>
      </c>
      <c r="BM63">
        <f t="shared" si="176"/>
        <v>14.183617774696369</v>
      </c>
      <c r="BN63">
        <f t="shared" si="176"/>
        <v>14.183617774696369</v>
      </c>
      <c r="BO63">
        <f t="shared" si="176"/>
        <v>14.183617774696369</v>
      </c>
      <c r="BP63">
        <f t="shared" si="176"/>
        <v>14.183617774696369</v>
      </c>
      <c r="BQ63">
        <f t="shared" si="176"/>
        <v>14.183617774696369</v>
      </c>
      <c r="BR63" s="691">
        <f t="shared" si="176"/>
        <v>14.183617774696369</v>
      </c>
      <c r="BS63">
        <f t="shared" si="176"/>
        <v>14.183617774696369</v>
      </c>
      <c r="BT63">
        <f t="shared" si="176"/>
        <v>14.183617774696369</v>
      </c>
      <c r="BU63">
        <f t="shared" si="176"/>
        <v>14.183617774696369</v>
      </c>
      <c r="BV63" s="575">
        <f t="shared" si="176"/>
        <v>14.183617774696369</v>
      </c>
      <c r="BW63" s="1013">
        <f>+BV63*BW$136/BV$136</f>
        <v>14.230711556264829</v>
      </c>
      <c r="BX63" s="1013">
        <f t="shared" si="174"/>
        <v>14.277961703035571</v>
      </c>
      <c r="BY63" s="1013">
        <f t="shared" si="174"/>
        <v>14.325368734187041</v>
      </c>
      <c r="BZ63" s="1013">
        <f t="shared" si="174"/>
        <v>14.372933170621517</v>
      </c>
      <c r="CA63" s="1013">
        <f t="shared" si="174"/>
        <v>14.420655534970821</v>
      </c>
      <c r="CB63" s="1013">
        <f t="shared" si="174"/>
        <v>14.451428179067991</v>
      </c>
      <c r="CC63" s="1013">
        <f t="shared" si="174"/>
        <v>14.482266489779443</v>
      </c>
      <c r="CD63" s="1013">
        <f t="shared" si="174"/>
        <v>14.51317060723302</v>
      </c>
      <c r="CE63" s="1013">
        <f t="shared" si="174"/>
        <v>14.54414067185559</v>
      </c>
      <c r="CF63" s="1013">
        <f t="shared" si="174"/>
        <v>14.575176824373679</v>
      </c>
      <c r="CG63" s="1013">
        <f t="shared" si="174"/>
        <v>14.585254066221541</v>
      </c>
      <c r="CH63" s="1013">
        <f t="shared" si="174"/>
        <v>14.595338275449933</v>
      </c>
      <c r="CI63" s="1013">
        <f t="shared" si="174"/>
        <v>14.605429456876088</v>
      </c>
      <c r="CJ63" s="1013">
        <f t="shared" si="174"/>
        <v>14.615527615320566</v>
      </c>
      <c r="CK63" s="1013">
        <f t="shared" si="174"/>
        <v>14.625632755607262</v>
      </c>
      <c r="CL63" s="1013">
        <f t="shared" si="174"/>
        <v>14.629057949594106</v>
      </c>
      <c r="CM63" s="1013">
        <f t="shared" si="174"/>
        <v>14.632483945731124</v>
      </c>
      <c r="CN63" s="1013">
        <f t="shared" si="174"/>
        <v>14.635910744206171</v>
      </c>
      <c r="CO63" s="1013">
        <f t="shared" si="174"/>
        <v>14.639338345207147</v>
      </c>
      <c r="CP63" s="1013">
        <f t="shared" si="174"/>
        <v>14.642766748922</v>
      </c>
      <c r="CQ63" s="1013">
        <f t="shared" si="174"/>
        <v>14.647962823919764</v>
      </c>
      <c r="CR63" s="1013">
        <f t="shared" si="174"/>
        <v>14.6531607427764</v>
      </c>
      <c r="CS63" s="1013">
        <f t="shared" si="174"/>
        <v>14.658360506146211</v>
      </c>
      <c r="CT63" s="1013">
        <f t="shared" si="174"/>
        <v>14.663562114683737</v>
      </c>
      <c r="CU63" s="1013">
        <f t="shared" si="174"/>
        <v>14.668765569043746</v>
      </c>
      <c r="CV63" s="1013">
        <f t="shared" si="174"/>
        <v>14.676773707333766</v>
      </c>
      <c r="CW63" s="1013">
        <f t="shared" si="174"/>
        <v>14.68478621751715</v>
      </c>
      <c r="CX63" s="1013">
        <f t="shared" si="174"/>
        <v>14.692803101980653</v>
      </c>
      <c r="CY63" s="1013">
        <f t="shared" si="174"/>
        <v>14.700824363112332</v>
      </c>
      <c r="CZ63" s="1013">
        <f t="shared" si="174"/>
        <v>14.708850003301547</v>
      </c>
    </row>
    <row r="64" spans="1:104" x14ac:dyDescent="0.25">
      <c r="A64" s="763" t="str">
        <f>'HyARC Physical Property Data'!A85</f>
        <v>Woody Biomass</v>
      </c>
      <c r="B64">
        <v>2005</v>
      </c>
      <c r="C64" s="692">
        <f>VLOOKUP(ref_year,DeflatorTable,2,FALSE)/VLOOKUP(B64,DeflatorTable,2,FALSE)</f>
        <v>1.208440716126562</v>
      </c>
      <c r="D64" s="976" t="str">
        <f>+'HyARC Physical Property Data'!$H$85</f>
        <v>kg</v>
      </c>
      <c r="E64" s="709" t="s">
        <v>1025</v>
      </c>
      <c r="F64">
        <f>'HyARC Physical Property Data'!$E$45</f>
        <v>19.551069237418005</v>
      </c>
      <c r="G64">
        <f>'HyARC Physical Property Data'!$I$45</f>
        <v>20.588656379262464</v>
      </c>
      <c r="H64" s="803">
        <v>1.3438238843289665</v>
      </c>
      <c r="I64" s="803">
        <v>1.3438238843289665</v>
      </c>
      <c r="J64" s="803">
        <v>1.3438238843289665</v>
      </c>
      <c r="K64" s="803">
        <v>1.3438238843289665</v>
      </c>
      <c r="L64" s="803">
        <v>1.3438238843289665</v>
      </c>
      <c r="M64" s="803">
        <v>1.3438238843289665</v>
      </c>
      <c r="N64">
        <f>1.27*($C$64)</f>
        <v>1.5347197094807337</v>
      </c>
      <c r="O64">
        <f>1.27*($C$64)</f>
        <v>1.5347197094807337</v>
      </c>
      <c r="P64">
        <f>1.28*($C$64)</f>
        <v>1.5468041166419995</v>
      </c>
      <c r="Q64">
        <f>1.32*($C$64)</f>
        <v>1.595141745287062</v>
      </c>
      <c r="R64">
        <f>1.32*($C$64)</f>
        <v>1.595141745287062</v>
      </c>
      <c r="S64">
        <f>1.34*($C$64)</f>
        <v>1.6193105596095931</v>
      </c>
      <c r="T64">
        <f>1.34*($C$64)</f>
        <v>1.6193105596095931</v>
      </c>
      <c r="U64">
        <f>1.36*($C$64)</f>
        <v>1.6434793739321245</v>
      </c>
      <c r="V64">
        <f>1.36*($C$64)</f>
        <v>1.6434793739321245</v>
      </c>
      <c r="W64">
        <f>1.38*($C$64)</f>
        <v>1.6676481882546554</v>
      </c>
      <c r="X64">
        <f>1.4*($C$64)</f>
        <v>1.6918170025771868</v>
      </c>
      <c r="Y64">
        <f>1.46*($C$64)</f>
        <v>1.7643234455447805</v>
      </c>
      <c r="Z64">
        <f>1.48*($C$64)</f>
        <v>1.7884922598673119</v>
      </c>
      <c r="AA64">
        <f>1.48*($C$64)</f>
        <v>1.7884922598673119</v>
      </c>
      <c r="AB64">
        <f>1.51*($C$64)</f>
        <v>1.8247454813511086</v>
      </c>
      <c r="AC64">
        <f>1.52*($C$64)</f>
        <v>1.8368298885123742</v>
      </c>
      <c r="AD64">
        <f>1.62*($C$64)</f>
        <v>1.9576739601250306</v>
      </c>
      <c r="AE64">
        <f>1.72*($C$64)</f>
        <v>2.0785180317376866</v>
      </c>
      <c r="AF64">
        <f>1.82*($C$64)</f>
        <v>2.1993621033503428</v>
      </c>
      <c r="AG64">
        <f>1.91*($C$64)</f>
        <v>2.3081217678017332</v>
      </c>
      <c r="AH64">
        <f>2.01*($C$64)</f>
        <v>2.4289658394143894</v>
      </c>
      <c r="AI64">
        <f>2.11*($C$64)</f>
        <v>2.5498099110270456</v>
      </c>
      <c r="AJ64">
        <f>2.2*($C$64)</f>
        <v>2.6585695754784364</v>
      </c>
      <c r="AK64">
        <f>2.3*($C$64)</f>
        <v>2.7794136470910926</v>
      </c>
      <c r="AL64">
        <f>2.4*($C$64)</f>
        <v>2.9002577187037488</v>
      </c>
      <c r="AM64">
        <f>2.5*($C$64)</f>
        <v>3.021101790316405</v>
      </c>
      <c r="AN64">
        <f>2.57*($C$64)</f>
        <v>3.1056926404452643</v>
      </c>
      <c r="AO64">
        <f>2.64*($C$64)</f>
        <v>3.190283490574124</v>
      </c>
      <c r="AP64">
        <f>2.71*($C$64)</f>
        <v>3.2748743407029832</v>
      </c>
      <c r="AQ64">
        <f>2.78*($C$64)</f>
        <v>3.359465190831842</v>
      </c>
      <c r="AR64">
        <f>2.85*($C$64)</f>
        <v>3.4440560409607017</v>
      </c>
      <c r="AS64">
        <f>2.92*($C$64)</f>
        <v>3.528646891089561</v>
      </c>
      <c r="AT64">
        <f>2.99*($C$64)</f>
        <v>3.6132377412184207</v>
      </c>
      <c r="AU64">
        <f>3.07*($C$64)</f>
        <v>3.7099129985085453</v>
      </c>
      <c r="AV64">
        <f>3.14*($C$64)</f>
        <v>3.794503848637405</v>
      </c>
      <c r="AW64">
        <f>3.21*($C$64)</f>
        <v>3.8790946987662642</v>
      </c>
      <c r="AX64">
        <f>3.28*($C$64)</f>
        <v>3.963685548895123</v>
      </c>
      <c r="AY64">
        <f>3.35*($C$64)</f>
        <v>4.0482763990239832</v>
      </c>
      <c r="AZ64">
        <f>3.42*($C$64)</f>
        <v>4.1328672491528424</v>
      </c>
      <c r="BA64">
        <f>3.49*($C$64)</f>
        <v>4.2174580992817017</v>
      </c>
      <c r="BB64">
        <f>3.56*($C$64)</f>
        <v>4.3020489494105609</v>
      </c>
      <c r="BC64">
        <f>3.64*($C$64)</f>
        <v>4.3987242067006855</v>
      </c>
      <c r="BD64">
        <f>3.71*($C$64)</f>
        <v>4.4833150568295448</v>
      </c>
      <c r="BE64">
        <f>3.78*($C$64)</f>
        <v>4.567905906958404</v>
      </c>
      <c r="BF64">
        <f>3.85*($C$64)</f>
        <v>4.6524967570872642</v>
      </c>
      <c r="BG64">
        <f>3.92*($C$64)</f>
        <v>4.7370876072161234</v>
      </c>
      <c r="BH64">
        <f>3.99*($C$64)</f>
        <v>4.8216784573449827</v>
      </c>
      <c r="BI64">
        <f>4.06*($C$64)</f>
        <v>4.906269307473841</v>
      </c>
      <c r="BJ64">
        <f>4.14*($C$64)</f>
        <v>5.0029445647639665</v>
      </c>
      <c r="BK64">
        <f>4.21*($C$64)</f>
        <v>5.0875354148928258</v>
      </c>
      <c r="BL64">
        <f>4.28*($C$64)</f>
        <v>5.1721262650216859</v>
      </c>
      <c r="BM64">
        <f>4.35*($C$64)</f>
        <v>5.2567171151505443</v>
      </c>
      <c r="BN64">
        <f>4.42*($C$64)</f>
        <v>5.3413079652794044</v>
      </c>
      <c r="BO64">
        <f>4.49*($C$64)</f>
        <v>5.4258988154082637</v>
      </c>
      <c r="BP64">
        <f>4.56*($C$64)</f>
        <v>5.5104896655371221</v>
      </c>
      <c r="BQ64">
        <f>4.63*($C$64)</f>
        <v>5.5950805156659822</v>
      </c>
      <c r="BR64" s="691">
        <f>4.71*($C$64)</f>
        <v>5.6917557729561068</v>
      </c>
      <c r="BS64">
        <f>4.78*($C$64)</f>
        <v>5.7763466230849669</v>
      </c>
      <c r="BT64">
        <f>4.85*($C$64)</f>
        <v>5.8609374732138253</v>
      </c>
      <c r="BU64">
        <f>4.92*($C$64)</f>
        <v>5.9455283233426854</v>
      </c>
      <c r="BV64" s="575">
        <f>4.99*($C$64)</f>
        <v>6.0301191734715447</v>
      </c>
      <c r="BW64" s="1013">
        <f>+BV64*BW$137/BV$137</f>
        <v>6.0446132076616896</v>
      </c>
      <c r="BX64" s="1013">
        <f t="shared" ref="BX64:CZ64" si="177">+BW64*BX$137/BW$137</f>
        <v>6.0591420798079438</v>
      </c>
      <c r="BY64" s="1013">
        <f t="shared" si="177"/>
        <v>6.0737058736470511</v>
      </c>
      <c r="BZ64" s="1013">
        <f t="shared" si="177"/>
        <v>6.0883046731170198</v>
      </c>
      <c r="CA64" s="1013">
        <f t="shared" si="177"/>
        <v>6.1029385623576156</v>
      </c>
      <c r="CB64" s="1013">
        <f t="shared" si="177"/>
        <v>6.1157485681116217</v>
      </c>
      <c r="CC64" s="1013">
        <f t="shared" si="177"/>
        <v>6.1285854619369617</v>
      </c>
      <c r="CD64" s="1013">
        <f t="shared" si="177"/>
        <v>6.1414493002714252</v>
      </c>
      <c r="CE64" s="1013">
        <f t="shared" si="177"/>
        <v>6.1543401396712598</v>
      </c>
      <c r="CF64" s="1013">
        <f t="shared" si="177"/>
        <v>6.167258036811428</v>
      </c>
      <c r="CG64" s="1013">
        <f t="shared" si="177"/>
        <v>6.183149548139812</v>
      </c>
      <c r="CH64" s="1013">
        <f t="shared" si="177"/>
        <v>6.1990820079952069</v>
      </c>
      <c r="CI64" s="1013">
        <f t="shared" si="177"/>
        <v>6.215055521891923</v>
      </c>
      <c r="CJ64" s="1013">
        <f t="shared" si="177"/>
        <v>6.2310701956161552</v>
      </c>
      <c r="CK64" s="1013">
        <f t="shared" si="177"/>
        <v>6.2471261352266838</v>
      </c>
      <c r="CL64" s="1013">
        <f t="shared" si="177"/>
        <v>6.2604975997429575</v>
      </c>
      <c r="CM64" s="1013">
        <f t="shared" si="177"/>
        <v>6.2738976847896071</v>
      </c>
      <c r="CN64" s="1013">
        <f t="shared" si="177"/>
        <v>6.2873264516265444</v>
      </c>
      <c r="CO64" s="1013">
        <f t="shared" si="177"/>
        <v>6.3007839616448056</v>
      </c>
      <c r="CP64" s="1013">
        <f t="shared" si="177"/>
        <v>6.3142702763668277</v>
      </c>
      <c r="CQ64" s="1013">
        <f t="shared" si="177"/>
        <v>6.326614172551615</v>
      </c>
      <c r="CR64" s="1013">
        <f t="shared" si="177"/>
        <v>6.3389822000716718</v>
      </c>
      <c r="CS64" s="1013">
        <f t="shared" si="177"/>
        <v>6.3513744061018391</v>
      </c>
      <c r="CT64" s="1013">
        <f t="shared" si="177"/>
        <v>6.3637908379091801</v>
      </c>
      <c r="CU64" s="1013">
        <f t="shared" si="177"/>
        <v>6.376231542853164</v>
      </c>
      <c r="CV64" s="1013">
        <f t="shared" si="177"/>
        <v>6.3909193633613004</v>
      </c>
      <c r="CW64" s="1013">
        <f t="shared" si="177"/>
        <v>6.4056410176582252</v>
      </c>
      <c r="CX64" s="1013">
        <f t="shared" si="177"/>
        <v>6.4203965836809767</v>
      </c>
      <c r="CY64" s="1013">
        <f t="shared" si="177"/>
        <v>6.4351861395461265</v>
      </c>
      <c r="CZ64" s="1013">
        <f t="shared" si="177"/>
        <v>6.450009763550189</v>
      </c>
    </row>
    <row r="65" spans="1:104" x14ac:dyDescent="0.25">
      <c r="A65" s="715" t="str">
        <f>'HyARC Physical Property Data'!A79</f>
        <v>Electric Utility Steam Coal</v>
      </c>
      <c r="B65">
        <v>2011</v>
      </c>
      <c r="C65" s="692">
        <f>VLOOKUP(ref_year,DeflatorTable,2,FALSE)/VLOOKUP(B65,DeflatorTable,2,FALSE)</f>
        <v>1.0771767810026385</v>
      </c>
      <c r="D65" s="976" t="str">
        <f>+'HyARC Physical Property Data'!$H$79</f>
        <v>kg</v>
      </c>
      <c r="E65" s="709" t="s">
        <v>1025</v>
      </c>
      <c r="F65">
        <f>'HyARC Physical Property Data'!$E$42</f>
        <v>22.7322030001394</v>
      </c>
      <c r="G65">
        <f>'HyARC Physical Property Data'!$I$42</f>
        <v>23.967615189707661</v>
      </c>
      <c r="H65" s="803">
        <v>1.6359074751967535</v>
      </c>
      <c r="I65" s="803">
        <v>1.6359074751967535</v>
      </c>
      <c r="J65" s="803">
        <v>1.6359074751967535</v>
      </c>
      <c r="K65" s="803">
        <v>1.6778298347292193</v>
      </c>
      <c r="L65" s="803">
        <v>1.8315470257945772</v>
      </c>
      <c r="M65" s="803">
        <v>1.8060149340317679</v>
      </c>
      <c r="N65">
        <f t="shared" ref="N65:AR65" si="178">N79*($C65/mmBTU_to_GJ*$G65/$F65)</f>
        <v>2.4738067312648084</v>
      </c>
      <c r="O65">
        <f t="shared" si="178"/>
        <v>2.562092342657099</v>
      </c>
      <c r="P65">
        <f t="shared" si="178"/>
        <v>2.5992975836043981</v>
      </c>
      <c r="Q65">
        <f t="shared" si="178"/>
        <v>2.5097040133060879</v>
      </c>
      <c r="R65">
        <f t="shared" si="178"/>
        <v>2.6554020233616504</v>
      </c>
      <c r="S65">
        <f t="shared" si="178"/>
        <v>2.6808248690608902</v>
      </c>
      <c r="T65">
        <f t="shared" si="178"/>
        <v>2.7666904873496958</v>
      </c>
      <c r="U65">
        <f t="shared" si="178"/>
        <v>2.7733379328185648</v>
      </c>
      <c r="V65">
        <f t="shared" si="178"/>
        <v>2.7935332489312734</v>
      </c>
      <c r="W65">
        <f t="shared" si="178"/>
        <v>2.8081877712256396</v>
      </c>
      <c r="X65">
        <f t="shared" si="178"/>
        <v>2.8455997019753716</v>
      </c>
      <c r="Y65">
        <f t="shared" si="178"/>
        <v>2.875157420232656</v>
      </c>
      <c r="Z65">
        <f t="shared" si="178"/>
        <v>2.9218811571857422</v>
      </c>
      <c r="AA65">
        <f t="shared" si="178"/>
        <v>2.9595180783974975</v>
      </c>
      <c r="AB65">
        <f t="shared" si="178"/>
        <v>3.001801214126441</v>
      </c>
      <c r="AC65">
        <f t="shared" si="178"/>
        <v>3.0485410987203423</v>
      </c>
      <c r="AD65">
        <f t="shared" si="178"/>
        <v>3.0887358062372043</v>
      </c>
      <c r="AE65">
        <f t="shared" si="178"/>
        <v>3.1212689964420113</v>
      </c>
      <c r="AF65">
        <f t="shared" si="178"/>
        <v>3.1614959992405027</v>
      </c>
      <c r="AG65">
        <f t="shared" si="178"/>
        <v>3.2059762906296831</v>
      </c>
      <c r="AH65">
        <f t="shared" si="178"/>
        <v>3.2488525830312334</v>
      </c>
      <c r="AI65">
        <f t="shared" si="178"/>
        <v>3.2862978855719831</v>
      </c>
      <c r="AJ65">
        <f t="shared" si="178"/>
        <v>3.3267574143982119</v>
      </c>
      <c r="AK65">
        <f t="shared" si="178"/>
        <v>3.3693139835116237</v>
      </c>
      <c r="AL65">
        <f t="shared" si="178"/>
        <v>3.4131279155898357</v>
      </c>
      <c r="AM65">
        <f t="shared" si="178"/>
        <v>3.462467570354963</v>
      </c>
      <c r="AN65">
        <f t="shared" si="178"/>
        <v>3.500480193343015</v>
      </c>
      <c r="AO65">
        <f t="shared" si="178"/>
        <v>3.5291401027709814</v>
      </c>
      <c r="AP65">
        <f t="shared" si="178"/>
        <v>3.5647628749184039</v>
      </c>
      <c r="AQ65">
        <f t="shared" si="178"/>
        <v>3.6129969545423934</v>
      </c>
      <c r="AR65">
        <f t="shared" si="178"/>
        <v>3.658942375208194</v>
      </c>
      <c r="AS65">
        <f>($BB65-$AR65)/10+AR65</f>
        <v>3.6559939686764786</v>
      </c>
      <c r="AT65">
        <f t="shared" ref="AT65:BA65" si="179">($BB65-$AR65)/10+AS65</f>
        <v>3.6530455621447633</v>
      </c>
      <c r="AU65">
        <f t="shared" si="179"/>
        <v>3.6500971556130479</v>
      </c>
      <c r="AV65">
        <f t="shared" si="179"/>
        <v>3.6471487490813326</v>
      </c>
      <c r="AW65">
        <f t="shared" si="179"/>
        <v>3.6442003425496172</v>
      </c>
      <c r="AX65">
        <f t="shared" si="179"/>
        <v>3.6412519360179019</v>
      </c>
      <c r="AY65">
        <f t="shared" si="179"/>
        <v>3.6383035294861865</v>
      </c>
      <c r="AZ65">
        <f t="shared" si="179"/>
        <v>3.6353551229544712</v>
      </c>
      <c r="BA65">
        <f t="shared" si="179"/>
        <v>3.6324067164227558</v>
      </c>
      <c r="BB65" s="741">
        <f>('AEO Data'!$B$28*AM65)</f>
        <v>3.6294583098910396</v>
      </c>
      <c r="BC65">
        <f>($BQ65-$BB65)/15+BB65</f>
        <v>3.6421956634171884</v>
      </c>
      <c r="BD65">
        <f t="shared" ref="BD65:BP68" si="180">($BQ65-$BB65)/15+BC65</f>
        <v>3.6549330169433372</v>
      </c>
      <c r="BE65">
        <f t="shared" si="180"/>
        <v>3.667670370469486</v>
      </c>
      <c r="BF65">
        <f t="shared" si="180"/>
        <v>3.6804077239956348</v>
      </c>
      <c r="BG65">
        <f t="shared" si="180"/>
        <v>3.6931450775217836</v>
      </c>
      <c r="BH65">
        <f t="shared" si="180"/>
        <v>3.7058824310479324</v>
      </c>
      <c r="BI65">
        <f t="shared" si="180"/>
        <v>3.7186197845740812</v>
      </c>
      <c r="BJ65">
        <f t="shared" si="180"/>
        <v>3.73135713810023</v>
      </c>
      <c r="BK65">
        <f t="shared" si="180"/>
        <v>3.7440944916263788</v>
      </c>
      <c r="BL65">
        <f t="shared" si="180"/>
        <v>3.7568318451525275</v>
      </c>
      <c r="BM65">
        <f t="shared" si="180"/>
        <v>3.7695691986786763</v>
      </c>
      <c r="BN65">
        <f t="shared" si="180"/>
        <v>3.7823065522048251</v>
      </c>
      <c r="BO65">
        <f t="shared" si="180"/>
        <v>3.7950439057309739</v>
      </c>
      <c r="BP65">
        <f t="shared" si="180"/>
        <v>3.8077812592571227</v>
      </c>
      <c r="BQ65" s="741">
        <f>('AEO Data'!$C$28*BB65)</f>
        <v>3.8205186127832693</v>
      </c>
      <c r="BR65" s="691">
        <f t="shared" ref="BR65:BU68" si="181">($BV65-$BQ65)/5+BQ65</f>
        <v>3.8327668169477032</v>
      </c>
      <c r="BS65">
        <f t="shared" si="181"/>
        <v>3.845015021112137</v>
      </c>
      <c r="BT65">
        <f t="shared" si="181"/>
        <v>3.8572632252765708</v>
      </c>
      <c r="BU65">
        <f t="shared" si="181"/>
        <v>3.8695114294410047</v>
      </c>
      <c r="BV65" s="762">
        <f>('AEO Data'!$D$28*BQ65)</f>
        <v>3.8817596336054376</v>
      </c>
      <c r="BW65" s="1013">
        <f>+BV65*BW$138/BV$138</f>
        <v>3.8948836892010701</v>
      </c>
      <c r="BX65" s="1013">
        <f t="shared" ref="BX65:CZ65" si="182">+BW65*BX$138/BW$138</f>
        <v>3.9080521166413131</v>
      </c>
      <c r="BY65" s="1013">
        <f t="shared" si="182"/>
        <v>3.9212650659453869</v>
      </c>
      <c r="BZ65" s="1013">
        <f t="shared" si="182"/>
        <v>3.934522687639721</v>
      </c>
      <c r="CA65" s="1013">
        <f t="shared" si="182"/>
        <v>3.9478251327596676</v>
      </c>
      <c r="CB65" s="1013">
        <f t="shared" si="182"/>
        <v>3.9591283759223899</v>
      </c>
      <c r="CC65" s="1013">
        <f t="shared" si="182"/>
        <v>3.9704639820448935</v>
      </c>
      <c r="CD65" s="1013">
        <f t="shared" si="182"/>
        <v>3.9818320437874131</v>
      </c>
      <c r="CE65" s="1013">
        <f t="shared" si="182"/>
        <v>3.9932326540754852</v>
      </c>
      <c r="CF65" s="1013">
        <f t="shared" si="182"/>
        <v>4.0046659061007048</v>
      </c>
      <c r="CG65" s="1013">
        <f t="shared" si="182"/>
        <v>4.0133952059294913</v>
      </c>
      <c r="CH65" s="1013">
        <f t="shared" si="182"/>
        <v>4.0221435337314686</v>
      </c>
      <c r="CI65" s="1013">
        <f t="shared" si="182"/>
        <v>4.0309109309834765</v>
      </c>
      <c r="CJ65" s="1013">
        <f t="shared" si="182"/>
        <v>4.0396974392527643</v>
      </c>
      <c r="CK65" s="1013">
        <f t="shared" si="182"/>
        <v>4.0485031001971885</v>
      </c>
      <c r="CL65" s="1013">
        <f t="shared" si="182"/>
        <v>4.0544726040914778</v>
      </c>
      <c r="CM65" s="1013">
        <f t="shared" si="182"/>
        <v>4.0604509099987238</v>
      </c>
      <c r="CN65" s="1013">
        <f t="shared" si="182"/>
        <v>4.0664380308974657</v>
      </c>
      <c r="CO65" s="1013">
        <f t="shared" si="182"/>
        <v>4.0724339797853757</v>
      </c>
      <c r="CP65" s="1013">
        <f t="shared" si="182"/>
        <v>4.0784387696792948</v>
      </c>
      <c r="CQ65" s="1013">
        <f t="shared" si="182"/>
        <v>4.0804496799112764</v>
      </c>
      <c r="CR65" s="1013">
        <f t="shared" si="182"/>
        <v>4.0824615816402954</v>
      </c>
      <c r="CS65" s="1013">
        <f t="shared" si="182"/>
        <v>4.0844744753552202</v>
      </c>
      <c r="CT65" s="1013">
        <f t="shared" si="182"/>
        <v>4.0864883615451566</v>
      </c>
      <c r="CU65" s="1013">
        <f t="shared" si="182"/>
        <v>4.0885032406994535</v>
      </c>
      <c r="CV65" s="1013">
        <f t="shared" si="182"/>
        <v>4.0856074248284502</v>
      </c>
      <c r="CW65" s="1013">
        <f t="shared" si="182"/>
        <v>4.0827136600135576</v>
      </c>
      <c r="CX65" s="1013">
        <f t="shared" si="182"/>
        <v>4.0798219448020498</v>
      </c>
      <c r="CY65" s="1013">
        <f t="shared" si="182"/>
        <v>4.0769322777422268</v>
      </c>
      <c r="CZ65" s="1013">
        <f t="shared" si="182"/>
        <v>4.0740446573834195</v>
      </c>
    </row>
    <row r="66" spans="1:104" x14ac:dyDescent="0.25">
      <c r="A66" s="694" t="str">
        <f>'HyARC Physical Property Data'!A76</f>
        <v>Commercial Electricity</v>
      </c>
      <c r="B66">
        <v>2011</v>
      </c>
      <c r="C66" s="692">
        <f t="shared" si="165"/>
        <v>1.0771767810026385</v>
      </c>
      <c r="D66" s="976" t="str">
        <f>'HyARC Physical Property Data'!$H$76</f>
        <v>kWh</v>
      </c>
      <c r="E66" s="692" t="s">
        <v>1044</v>
      </c>
      <c r="F66" s="695"/>
      <c r="G66" s="692"/>
      <c r="H66" s="803">
        <v>26.764062885406638</v>
      </c>
      <c r="I66" s="803">
        <v>26.764062885406638</v>
      </c>
      <c r="J66" s="803">
        <v>26.764062885406638</v>
      </c>
      <c r="K66" s="803">
        <v>26.478521097803213</v>
      </c>
      <c r="L66" s="803">
        <v>27.879470162766175</v>
      </c>
      <c r="M66" s="803">
        <v>27.895326399478549</v>
      </c>
      <c r="N66">
        <f>N80*($C66)</f>
        <v>32.845898091688653</v>
      </c>
      <c r="O66">
        <f t="shared" ref="O66:AR68" si="183">O80*($C66)</f>
        <v>32.294462213720315</v>
      </c>
      <c r="P66">
        <f t="shared" si="183"/>
        <v>30.700817944591027</v>
      </c>
      <c r="Q66">
        <f t="shared" si="183"/>
        <v>29.936886325857518</v>
      </c>
      <c r="R66">
        <f t="shared" si="183"/>
        <v>30.351947314643798</v>
      </c>
      <c r="S66">
        <f t="shared" si="183"/>
        <v>30.31116863324538</v>
      </c>
      <c r="T66">
        <f t="shared" si="183"/>
        <v>30.903469366754614</v>
      </c>
      <c r="U66">
        <f t="shared" si="183"/>
        <v>31.264578879287598</v>
      </c>
      <c r="V66">
        <f t="shared" si="183"/>
        <v>31.3554312005277</v>
      </c>
      <c r="W66">
        <f t="shared" si="183"/>
        <v>31.211201538258571</v>
      </c>
      <c r="X66">
        <f t="shared" si="183"/>
        <v>31.282410463720318</v>
      </c>
      <c r="Y66">
        <f t="shared" si="183"/>
        <v>31.412854417546175</v>
      </c>
      <c r="Z66">
        <f t="shared" si="183"/>
        <v>31.504922871372031</v>
      </c>
      <c r="AA66">
        <f t="shared" si="183"/>
        <v>31.44926299274406</v>
      </c>
      <c r="AB66">
        <f t="shared" si="183"/>
        <v>31.362652593667544</v>
      </c>
      <c r="AC66">
        <f t="shared" si="183"/>
        <v>31.455675426121374</v>
      </c>
      <c r="AD66">
        <f t="shared" si="183"/>
        <v>31.429995531662264</v>
      </c>
      <c r="AE66">
        <f t="shared" si="183"/>
        <v>31.467324015831135</v>
      </c>
      <c r="AF66">
        <f t="shared" si="183"/>
        <v>31.469078736807386</v>
      </c>
      <c r="AG66">
        <f t="shared" si="183"/>
        <v>31.609617991424798</v>
      </c>
      <c r="AH66">
        <f t="shared" si="183"/>
        <v>31.830758075857517</v>
      </c>
      <c r="AI66">
        <f t="shared" si="183"/>
        <v>32.094287220976256</v>
      </c>
      <c r="AJ66">
        <f t="shared" si="183"/>
        <v>32.269189492084429</v>
      </c>
      <c r="AK66">
        <f t="shared" si="183"/>
        <v>32.612192740105542</v>
      </c>
      <c r="AL66">
        <f t="shared" si="183"/>
        <v>33.178551825197886</v>
      </c>
      <c r="AM66">
        <f t="shared" si="183"/>
        <v>33.706074378627967</v>
      </c>
      <c r="AN66">
        <f t="shared" si="183"/>
        <v>34.261722017810023</v>
      </c>
      <c r="AO66">
        <f t="shared" si="183"/>
        <v>34.758917736147751</v>
      </c>
      <c r="AP66">
        <f t="shared" si="183"/>
        <v>35.188647718337727</v>
      </c>
      <c r="AQ66">
        <f t="shared" si="183"/>
        <v>35.787504149736144</v>
      </c>
      <c r="AR66">
        <f t="shared" si="183"/>
        <v>36.169038011213715</v>
      </c>
      <c r="AS66">
        <f t="shared" ref="AS66:BA66" si="184">($BB66-$AR66)/10+AR66</f>
        <v>35.838717572225882</v>
      </c>
      <c r="AT66">
        <f t="shared" si="184"/>
        <v>35.508397133238049</v>
      </c>
      <c r="AU66">
        <f t="shared" si="184"/>
        <v>35.178076694250215</v>
      </c>
      <c r="AV66">
        <f t="shared" si="184"/>
        <v>34.847756255262382</v>
      </c>
      <c r="AW66">
        <f t="shared" si="184"/>
        <v>34.517435816274549</v>
      </c>
      <c r="AX66">
        <f t="shared" si="184"/>
        <v>34.187115377286716</v>
      </c>
      <c r="AY66">
        <f t="shared" si="184"/>
        <v>33.856794938298883</v>
      </c>
      <c r="AZ66">
        <f t="shared" si="184"/>
        <v>33.52647449931105</v>
      </c>
      <c r="BA66">
        <f t="shared" si="184"/>
        <v>33.196154060323217</v>
      </c>
      <c r="BB66" s="741">
        <f>'AEO Data'!$B$33*AM66</f>
        <v>32.865833621335355</v>
      </c>
      <c r="BC66">
        <f>($BQ66-$BB66)/15+BB66</f>
        <v>32.884982038593449</v>
      </c>
      <c r="BD66">
        <f t="shared" si="180"/>
        <v>32.904130455851544</v>
      </c>
      <c r="BE66">
        <f t="shared" si="180"/>
        <v>32.923278873109638</v>
      </c>
      <c r="BF66">
        <f t="shared" si="180"/>
        <v>32.942427290367732</v>
      </c>
      <c r="BG66">
        <f t="shared" si="180"/>
        <v>32.961575707625826</v>
      </c>
      <c r="BH66">
        <f t="shared" si="180"/>
        <v>32.98072412488392</v>
      </c>
      <c r="BI66">
        <f t="shared" si="180"/>
        <v>32.999872542142015</v>
      </c>
      <c r="BJ66">
        <f t="shared" si="180"/>
        <v>33.019020959400109</v>
      </c>
      <c r="BK66">
        <f t="shared" si="180"/>
        <v>33.038169376658203</v>
      </c>
      <c r="BL66">
        <f t="shared" si="180"/>
        <v>33.057317793916297</v>
      </c>
      <c r="BM66">
        <f t="shared" si="180"/>
        <v>33.076466211174392</v>
      </c>
      <c r="BN66">
        <f t="shared" si="180"/>
        <v>33.095614628432486</v>
      </c>
      <c r="BO66">
        <f t="shared" si="180"/>
        <v>33.11476304569058</v>
      </c>
      <c r="BP66">
        <f t="shared" si="180"/>
        <v>33.133911462948674</v>
      </c>
      <c r="BQ66" s="741">
        <f>'AEO Data'!$C$33*BB66</f>
        <v>33.153059880206783</v>
      </c>
      <c r="BR66" s="691">
        <f t="shared" si="181"/>
        <v>33.130736260086941</v>
      </c>
      <c r="BS66">
        <f t="shared" si="181"/>
        <v>33.108412639967099</v>
      </c>
      <c r="BT66">
        <f t="shared" si="181"/>
        <v>33.086089019847257</v>
      </c>
      <c r="BU66">
        <f t="shared" si="181"/>
        <v>33.063765399727416</v>
      </c>
      <c r="BV66" s="762">
        <f>'AEO Data'!$D$33*BQ66</f>
        <v>33.04144177960756</v>
      </c>
      <c r="BW66" s="1013">
        <f>+BV66*BW$139/BV$139</f>
        <v>33.026893508206783</v>
      </c>
      <c r="BX66" s="1013">
        <f t="shared" ref="BX66:CZ66" si="185">+BW66*BX$139/BW$139</f>
        <v>33.012351642464765</v>
      </c>
      <c r="BY66" s="1013">
        <f t="shared" si="185"/>
        <v>32.997816179561063</v>
      </c>
      <c r="BZ66" s="1013">
        <f t="shared" si="185"/>
        <v>32.983287116676486</v>
      </c>
      <c r="CA66" s="1013">
        <f t="shared" si="185"/>
        <v>32.968764450993078</v>
      </c>
      <c r="CB66" s="1013">
        <f t="shared" si="185"/>
        <v>32.94235698552729</v>
      </c>
      <c r="CC66" s="1013">
        <f t="shared" si="185"/>
        <v>32.915970672028941</v>
      </c>
      <c r="CD66" s="1013">
        <f t="shared" si="185"/>
        <v>32.889605493555642</v>
      </c>
      <c r="CE66" s="1013">
        <f t="shared" si="185"/>
        <v>32.863261433178565</v>
      </c>
      <c r="CF66" s="1013">
        <f t="shared" si="185"/>
        <v>32.83693847398245</v>
      </c>
      <c r="CG66" s="1013">
        <f t="shared" si="185"/>
        <v>32.800677122537721</v>
      </c>
      <c r="CH66" s="1013">
        <f t="shared" si="185"/>
        <v>32.764455813973655</v>
      </c>
      <c r="CI66" s="1013">
        <f t="shared" si="185"/>
        <v>32.728274504071479</v>
      </c>
      <c r="CJ66" s="1013">
        <f t="shared" si="185"/>
        <v>32.692133148661256</v>
      </c>
      <c r="CK66" s="1013">
        <f t="shared" si="185"/>
        <v>32.656031703621828</v>
      </c>
      <c r="CL66" s="1013">
        <f t="shared" si="185"/>
        <v>32.61667230567209</v>
      </c>
      <c r="CM66" s="1013">
        <f t="shared" si="185"/>
        <v>32.57736034649939</v>
      </c>
      <c r="CN66" s="1013">
        <f t="shared" si="185"/>
        <v>32.538095768927107</v>
      </c>
      <c r="CO66" s="1013">
        <f t="shared" si="185"/>
        <v>32.498878515847522</v>
      </c>
      <c r="CP66" s="1013">
        <f t="shared" si="185"/>
        <v>32.459708530221761</v>
      </c>
      <c r="CQ66" s="1013">
        <f t="shared" si="185"/>
        <v>32.414339458662745</v>
      </c>
      <c r="CR66" s="1013">
        <f t="shared" si="185"/>
        <v>32.369033799646459</v>
      </c>
      <c r="CS66" s="1013">
        <f t="shared" si="185"/>
        <v>32.323791464540925</v>
      </c>
      <c r="CT66" s="1013">
        <f t="shared" si="185"/>
        <v>32.27861236483804</v>
      </c>
      <c r="CU66" s="1013">
        <f t="shared" si="185"/>
        <v>32.233496412153421</v>
      </c>
      <c r="CV66" s="1013">
        <f t="shared" si="185"/>
        <v>32.189455210275135</v>
      </c>
      <c r="CW66" s="1013">
        <f t="shared" si="185"/>
        <v>32.145474182677603</v>
      </c>
      <c r="CX66" s="1013">
        <f t="shared" si="185"/>
        <v>32.101553247143634</v>
      </c>
      <c r="CY66" s="1013">
        <f t="shared" si="185"/>
        <v>32.057692321568368</v>
      </c>
      <c r="CZ66" s="1013">
        <f t="shared" si="185"/>
        <v>32.013891323959122</v>
      </c>
    </row>
    <row r="67" spans="1:104" x14ac:dyDescent="0.25">
      <c r="A67" s="694" t="str">
        <f>'HyARC Physical Property Data'!A77</f>
        <v>Industrial Electricity</v>
      </c>
      <c r="B67">
        <v>2011</v>
      </c>
      <c r="C67" s="692">
        <f t="shared" si="165"/>
        <v>1.0771767810026385</v>
      </c>
      <c r="D67" s="964" t="str">
        <f>'HyARC Physical Property Data'!$H$77</f>
        <v>kWh</v>
      </c>
      <c r="E67" s="692" t="s">
        <v>1044</v>
      </c>
      <c r="F67" s="693"/>
      <c r="H67" s="803">
        <v>17.365230901091444</v>
      </c>
      <c r="I67" s="803">
        <v>17.365230901091444</v>
      </c>
      <c r="J67" s="803">
        <v>17.365230901091444</v>
      </c>
      <c r="K67" s="803">
        <v>17.575551809904887</v>
      </c>
      <c r="L67" s="803">
        <v>19.530121721487372</v>
      </c>
      <c r="M67" s="803">
        <v>19.467200489895287</v>
      </c>
      <c r="N67">
        <f t="shared" ref="N67:AC68" si="186">N81*($C67)</f>
        <v>21.824080926781001</v>
      </c>
      <c r="O67">
        <f t="shared" si="186"/>
        <v>21.517382844986805</v>
      </c>
      <c r="P67">
        <f t="shared" si="186"/>
        <v>19.878853696569919</v>
      </c>
      <c r="Q67">
        <f t="shared" si="186"/>
        <v>19.559017289577834</v>
      </c>
      <c r="R67">
        <f t="shared" si="186"/>
        <v>19.681393189313983</v>
      </c>
      <c r="S67">
        <f t="shared" si="186"/>
        <v>19.595758712401054</v>
      </c>
      <c r="T67">
        <f t="shared" si="186"/>
        <v>20.147114879287596</v>
      </c>
      <c r="U67">
        <f t="shared" si="186"/>
        <v>20.469555899736147</v>
      </c>
      <c r="V67">
        <f t="shared" si="186"/>
        <v>20.570052184696571</v>
      </c>
      <c r="W67">
        <f t="shared" si="186"/>
        <v>20.520463274406332</v>
      </c>
      <c r="X67">
        <f t="shared" si="186"/>
        <v>20.569618082453825</v>
      </c>
      <c r="Y67">
        <f t="shared" si="186"/>
        <v>20.73793341754617</v>
      </c>
      <c r="Z67">
        <f t="shared" si="186"/>
        <v>20.92149511279683</v>
      </c>
      <c r="AA67">
        <f t="shared" si="186"/>
        <v>21.047268428100264</v>
      </c>
      <c r="AB67">
        <f t="shared" si="186"/>
        <v>21.075329960422163</v>
      </c>
      <c r="AC67">
        <f t="shared" si="186"/>
        <v>21.244222662269127</v>
      </c>
      <c r="AD67">
        <f t="shared" si="183"/>
        <v>21.339939513852244</v>
      </c>
      <c r="AE67">
        <f t="shared" si="183"/>
        <v>21.483012288258571</v>
      </c>
      <c r="AF67">
        <f t="shared" si="183"/>
        <v>21.593541397757257</v>
      </c>
      <c r="AG67">
        <f t="shared" si="183"/>
        <v>21.800339950527704</v>
      </c>
      <c r="AH67">
        <f t="shared" si="183"/>
        <v>21.997833850263849</v>
      </c>
      <c r="AI67">
        <f t="shared" si="183"/>
        <v>22.197943135224271</v>
      </c>
      <c r="AJ67">
        <f t="shared" si="183"/>
        <v>22.447729658970974</v>
      </c>
      <c r="AK67">
        <f t="shared" si="183"/>
        <v>22.811336067282323</v>
      </c>
      <c r="AL67">
        <f t="shared" si="183"/>
        <v>23.297994842348285</v>
      </c>
      <c r="AM67">
        <f t="shared" si="183"/>
        <v>23.815261595646437</v>
      </c>
      <c r="AN67">
        <f t="shared" si="183"/>
        <v>24.308689349604222</v>
      </c>
      <c r="AO67">
        <f t="shared" si="183"/>
        <v>24.764817703166226</v>
      </c>
      <c r="AP67">
        <f t="shared" si="183"/>
        <v>25.184108765171505</v>
      </c>
      <c r="AQ67">
        <f t="shared" si="183"/>
        <v>25.713819064643797</v>
      </c>
      <c r="AR67">
        <f t="shared" si="183"/>
        <v>26.032369322559369</v>
      </c>
      <c r="AS67">
        <f t="shared" ref="AS67:BA67" si="187">($BB67-$AR67)/10+AR67</f>
        <v>25.751290753982193</v>
      </c>
      <c r="AT67">
        <f t="shared" si="187"/>
        <v>25.470212185405018</v>
      </c>
      <c r="AU67">
        <f t="shared" si="187"/>
        <v>25.189133616827842</v>
      </c>
      <c r="AV67">
        <f t="shared" si="187"/>
        <v>24.908055048250667</v>
      </c>
      <c r="AW67">
        <f t="shared" si="187"/>
        <v>24.626976479673491</v>
      </c>
      <c r="AX67">
        <f t="shared" si="187"/>
        <v>24.345897911096316</v>
      </c>
      <c r="AY67">
        <f t="shared" si="187"/>
        <v>24.06481934251914</v>
      </c>
      <c r="AZ67">
        <f t="shared" si="187"/>
        <v>23.783740773941965</v>
      </c>
      <c r="BA67">
        <f t="shared" si="187"/>
        <v>23.502662205364789</v>
      </c>
      <c r="BB67" s="741">
        <f>'AEO Data'!$B$33*AM67</f>
        <v>23.22158363678761</v>
      </c>
      <c r="BC67">
        <f>($BQ67-$BB67)/15+BB67</f>
        <v>23.235113084359032</v>
      </c>
      <c r="BD67">
        <f t="shared" si="180"/>
        <v>23.248642531930454</v>
      </c>
      <c r="BE67">
        <f t="shared" si="180"/>
        <v>23.262171979501876</v>
      </c>
      <c r="BF67">
        <f t="shared" si="180"/>
        <v>23.275701427073297</v>
      </c>
      <c r="BG67">
        <f t="shared" si="180"/>
        <v>23.289230874644719</v>
      </c>
      <c r="BH67">
        <f t="shared" si="180"/>
        <v>23.302760322216141</v>
      </c>
      <c r="BI67">
        <f t="shared" si="180"/>
        <v>23.316289769787563</v>
      </c>
      <c r="BJ67">
        <f t="shared" si="180"/>
        <v>23.329819217358985</v>
      </c>
      <c r="BK67">
        <f t="shared" si="180"/>
        <v>23.343348664930406</v>
      </c>
      <c r="BL67">
        <f t="shared" si="180"/>
        <v>23.356878112501828</v>
      </c>
      <c r="BM67">
        <f t="shared" si="180"/>
        <v>23.37040756007325</v>
      </c>
      <c r="BN67">
        <f t="shared" si="180"/>
        <v>23.383937007644672</v>
      </c>
      <c r="BO67">
        <f t="shared" si="180"/>
        <v>23.397466455216094</v>
      </c>
      <c r="BP67">
        <f t="shared" si="180"/>
        <v>23.410995902787516</v>
      </c>
      <c r="BQ67" s="741">
        <f>'AEO Data'!$C$33*BB67</f>
        <v>23.424525350358955</v>
      </c>
      <c r="BR67" s="691">
        <f t="shared" si="181"/>
        <v>23.408752441092101</v>
      </c>
      <c r="BS67">
        <f t="shared" si="181"/>
        <v>23.392979531825247</v>
      </c>
      <c r="BT67">
        <f t="shared" si="181"/>
        <v>23.377206622558393</v>
      </c>
      <c r="BU67">
        <f t="shared" si="181"/>
        <v>23.36143371329154</v>
      </c>
      <c r="BV67" s="762">
        <f>'AEO Data'!$D$33*BQ67</f>
        <v>23.345660804024686</v>
      </c>
      <c r="BW67" s="1013">
        <f>+BV67*BW$140/BV$140</f>
        <v>23.3527149207825</v>
      </c>
      <c r="BX67" s="1013">
        <f t="shared" ref="BX67:CZ67" si="188">+BW67*BX$140/BW$140</f>
        <v>23.359771169009782</v>
      </c>
      <c r="BY67" s="1013">
        <f t="shared" si="188"/>
        <v>23.366829549350573</v>
      </c>
      <c r="BZ67" s="1013">
        <f t="shared" si="188"/>
        <v>23.373890062449121</v>
      </c>
      <c r="CA67" s="1013">
        <f t="shared" si="188"/>
        <v>23.380952708949849</v>
      </c>
      <c r="CB67" s="1013">
        <f t="shared" si="188"/>
        <v>23.378308502870599</v>
      </c>
      <c r="CC67" s="1013">
        <f t="shared" si="188"/>
        <v>23.375664595830738</v>
      </c>
      <c r="CD67" s="1013">
        <f t="shared" si="188"/>
        <v>23.373020987796441</v>
      </c>
      <c r="CE67" s="1013">
        <f t="shared" si="188"/>
        <v>23.370377678733899</v>
      </c>
      <c r="CF67" s="1013">
        <f t="shared" si="188"/>
        <v>23.367734668609302</v>
      </c>
      <c r="CG67" s="1013">
        <f t="shared" si="188"/>
        <v>23.357134857315337</v>
      </c>
      <c r="CH67" s="1013">
        <f t="shared" si="188"/>
        <v>23.346539854189601</v>
      </c>
      <c r="CI67" s="1013">
        <f t="shared" si="188"/>
        <v>23.335949657051067</v>
      </c>
      <c r="CJ67" s="1013">
        <f t="shared" si="188"/>
        <v>23.325364263719699</v>
      </c>
      <c r="CK67" s="1013">
        <f t="shared" si="188"/>
        <v>23.314783672016446</v>
      </c>
      <c r="CL67" s="1013">
        <f t="shared" si="188"/>
        <v>23.301803459317899</v>
      </c>
      <c r="CM67" s="1013">
        <f t="shared" si="188"/>
        <v>23.288830473189584</v>
      </c>
      <c r="CN67" s="1013">
        <f t="shared" si="188"/>
        <v>23.275864709608204</v>
      </c>
      <c r="CO67" s="1013">
        <f t="shared" si="188"/>
        <v>23.262906164552696</v>
      </c>
      <c r="CP67" s="1013">
        <f t="shared" si="188"/>
        <v>23.249954834004228</v>
      </c>
      <c r="CQ67" s="1013">
        <f t="shared" si="188"/>
        <v>23.232210866712229</v>
      </c>
      <c r="CR67" s="1013">
        <f t="shared" si="188"/>
        <v>23.214480441312137</v>
      </c>
      <c r="CS67" s="1013">
        <f t="shared" si="188"/>
        <v>23.196763547469015</v>
      </c>
      <c r="CT67" s="1013">
        <f t="shared" si="188"/>
        <v>23.179060174855813</v>
      </c>
      <c r="CU67" s="1013">
        <f t="shared" si="188"/>
        <v>23.161370313153348</v>
      </c>
      <c r="CV67" s="1013">
        <f t="shared" si="188"/>
        <v>23.144738488925565</v>
      </c>
      <c r="CW67" s="1013">
        <f t="shared" si="188"/>
        <v>23.128118607755269</v>
      </c>
      <c r="CX67" s="1013">
        <f t="shared" si="188"/>
        <v>23.111510661066333</v>
      </c>
      <c r="CY67" s="1013">
        <f t="shared" si="188"/>
        <v>23.094914640288788</v>
      </c>
      <c r="CZ67" s="1013">
        <f t="shared" si="188"/>
        <v>23.078330536858825</v>
      </c>
    </row>
    <row r="68" spans="1:104" ht="13.8" thickBot="1" x14ac:dyDescent="0.3">
      <c r="A68" s="696" t="str">
        <f>'HyARC Physical Property Data'!A78</f>
        <v>Residential Electricity</v>
      </c>
      <c r="B68" s="461">
        <v>2011</v>
      </c>
      <c r="C68" s="697">
        <f t="shared" si="165"/>
        <v>1.0771767810026385</v>
      </c>
      <c r="D68" s="965" t="str">
        <f>'HyARC Physical Property Data'!$H$78</f>
        <v>kWh</v>
      </c>
      <c r="E68" s="697" t="s">
        <v>1044</v>
      </c>
      <c r="F68" s="701"/>
      <c r="G68" s="461"/>
      <c r="H68" s="805">
        <v>29.433773538887177</v>
      </c>
      <c r="I68" s="805">
        <v>29.433773538887177</v>
      </c>
      <c r="J68" s="805">
        <v>29.433773538887177</v>
      </c>
      <c r="K68" s="805">
        <v>29.415861064534436</v>
      </c>
      <c r="L68" s="805">
        <v>30.500905105766051</v>
      </c>
      <c r="M68" s="805">
        <v>30.574559070308627</v>
      </c>
      <c r="N68" s="461">
        <f t="shared" si="186"/>
        <v>37.187183350263851</v>
      </c>
      <c r="O68" s="461">
        <f t="shared" si="183"/>
        <v>36.985808382585752</v>
      </c>
      <c r="P68" s="461">
        <f t="shared" si="183"/>
        <v>35.861648381926123</v>
      </c>
      <c r="Q68" s="461">
        <f t="shared" si="183"/>
        <v>35.074328023746702</v>
      </c>
      <c r="R68" s="461">
        <f t="shared" si="183"/>
        <v>35.926786339050132</v>
      </c>
      <c r="S68" s="461">
        <f t="shared" si="183"/>
        <v>36.073591531002634</v>
      </c>
      <c r="T68" s="461">
        <f t="shared" si="183"/>
        <v>36.674317941292877</v>
      </c>
      <c r="U68" s="461">
        <f t="shared" si="183"/>
        <v>36.975630139182059</v>
      </c>
      <c r="V68" s="461">
        <f t="shared" si="183"/>
        <v>36.950708577176783</v>
      </c>
      <c r="W68" s="461">
        <f t="shared" si="183"/>
        <v>36.706312246042216</v>
      </c>
      <c r="X68" s="461">
        <f t="shared" si="183"/>
        <v>36.737241222955141</v>
      </c>
      <c r="Y68" s="461">
        <f t="shared" si="183"/>
        <v>36.822931713060683</v>
      </c>
      <c r="Z68" s="461">
        <f t="shared" si="183"/>
        <v>36.936536162269128</v>
      </c>
      <c r="AA68" s="461">
        <f t="shared" si="183"/>
        <v>36.968069435356199</v>
      </c>
      <c r="AB68" s="461">
        <f t="shared" si="183"/>
        <v>37.072613750659634</v>
      </c>
      <c r="AC68" s="461">
        <f t="shared" si="183"/>
        <v>37.406478230870711</v>
      </c>
      <c r="AD68" s="461">
        <f t="shared" si="183"/>
        <v>37.597953943931394</v>
      </c>
      <c r="AE68" s="461">
        <f t="shared" si="183"/>
        <v>37.769102253957783</v>
      </c>
      <c r="AF68" s="461">
        <f t="shared" si="183"/>
        <v>37.892630732849597</v>
      </c>
      <c r="AG68" s="461">
        <f t="shared" si="183"/>
        <v>38.064576153693928</v>
      </c>
      <c r="AH68" s="461">
        <f t="shared" si="183"/>
        <v>38.24699927308707</v>
      </c>
      <c r="AI68" s="461">
        <f t="shared" si="183"/>
        <v>38.482771726912929</v>
      </c>
      <c r="AJ68" s="461">
        <f t="shared" si="183"/>
        <v>38.653685212401051</v>
      </c>
      <c r="AK68" s="461">
        <f t="shared" si="183"/>
        <v>38.945181098284962</v>
      </c>
      <c r="AL68" s="461">
        <f t="shared" si="183"/>
        <v>39.434103021767804</v>
      </c>
      <c r="AM68" s="461">
        <f t="shared" si="183"/>
        <v>39.943878010554087</v>
      </c>
      <c r="AN68" s="461">
        <f t="shared" si="183"/>
        <v>40.396384895778361</v>
      </c>
      <c r="AO68" s="461">
        <f t="shared" si="183"/>
        <v>40.762839359498678</v>
      </c>
      <c r="AP68" s="461">
        <f t="shared" si="183"/>
        <v>41.106692500000001</v>
      </c>
      <c r="AQ68" s="461">
        <f t="shared" si="183"/>
        <v>41.598897658311344</v>
      </c>
      <c r="AR68" s="461">
        <f t="shared" si="183"/>
        <v>41.849125824538255</v>
      </c>
      <c r="AS68" s="461">
        <f t="shared" ref="AS68:BA68" si="189">($BB68-$AR68)/10+AR68</f>
        <v>41.559027079314276</v>
      </c>
      <c r="AT68" s="461">
        <f t="shared" si="189"/>
        <v>41.268928334090297</v>
      </c>
      <c r="AU68" s="461">
        <f t="shared" si="189"/>
        <v>40.978829588866319</v>
      </c>
      <c r="AV68" s="461">
        <f t="shared" si="189"/>
        <v>40.68873084364234</v>
      </c>
      <c r="AW68" s="461">
        <f t="shared" si="189"/>
        <v>40.398632098418361</v>
      </c>
      <c r="AX68" s="461">
        <f t="shared" si="189"/>
        <v>40.108533353194382</v>
      </c>
      <c r="AY68" s="461">
        <f t="shared" si="189"/>
        <v>39.818434607970403</v>
      </c>
      <c r="AZ68" s="461">
        <f t="shared" si="189"/>
        <v>39.528335862746424</v>
      </c>
      <c r="BA68" s="461">
        <f t="shared" si="189"/>
        <v>39.238237117522445</v>
      </c>
      <c r="BB68" s="767">
        <f>'AEO Data'!$B$33*AM68</f>
        <v>38.948138372298473</v>
      </c>
      <c r="BC68" s="461">
        <f>($BQ68-$BB68)/15+BB68</f>
        <v>38.9708304851343</v>
      </c>
      <c r="BD68" s="461">
        <f t="shared" si="180"/>
        <v>38.993522597970127</v>
      </c>
      <c r="BE68" s="461">
        <f t="shared" si="180"/>
        <v>39.016214710805954</v>
      </c>
      <c r="BF68" s="461">
        <f t="shared" si="180"/>
        <v>39.038906823641781</v>
      </c>
      <c r="BG68" s="461">
        <f t="shared" si="180"/>
        <v>39.061598936477608</v>
      </c>
      <c r="BH68" s="461">
        <f t="shared" si="180"/>
        <v>39.084291049313435</v>
      </c>
      <c r="BI68" s="461">
        <f t="shared" si="180"/>
        <v>39.106983162149263</v>
      </c>
      <c r="BJ68" s="461">
        <f t="shared" si="180"/>
        <v>39.12967527498509</v>
      </c>
      <c r="BK68" s="461">
        <f t="shared" si="180"/>
        <v>39.152367387820917</v>
      </c>
      <c r="BL68" s="461">
        <f t="shared" si="180"/>
        <v>39.175059500656744</v>
      </c>
      <c r="BM68" s="461">
        <f t="shared" si="180"/>
        <v>39.197751613492571</v>
      </c>
      <c r="BN68" s="461">
        <f t="shared" si="180"/>
        <v>39.220443726328398</v>
      </c>
      <c r="BO68" s="461">
        <f t="shared" si="180"/>
        <v>39.243135839164225</v>
      </c>
      <c r="BP68" s="461">
        <f t="shared" si="180"/>
        <v>39.265827952000052</v>
      </c>
      <c r="BQ68" s="767">
        <f>'AEO Data'!$C$33*BB68</f>
        <v>39.288520064835851</v>
      </c>
      <c r="BR68" s="771">
        <f t="shared" si="181"/>
        <v>39.262065131259057</v>
      </c>
      <c r="BS68" s="461">
        <f t="shared" si="181"/>
        <v>39.235610197682263</v>
      </c>
      <c r="BT68" s="461">
        <f t="shared" si="181"/>
        <v>39.209155264105469</v>
      </c>
      <c r="BU68" s="461">
        <f t="shared" si="181"/>
        <v>39.182700330528675</v>
      </c>
      <c r="BV68" s="768">
        <f>'AEO Data'!$D$33*BQ68</f>
        <v>39.156245396951888</v>
      </c>
      <c r="BW68" s="1013">
        <f>+BV68*BW$141/BV$141</f>
        <v>39.139004754462078</v>
      </c>
      <c r="BX68" s="1013">
        <f t="shared" ref="BX68:CZ68" si="190">+BW68*BX$141/BW$141</f>
        <v>39.121771703092165</v>
      </c>
      <c r="BY68" s="1013">
        <f t="shared" si="190"/>
        <v>39.104546239499747</v>
      </c>
      <c r="BZ68" s="1013">
        <f t="shared" si="190"/>
        <v>39.087328360343896</v>
      </c>
      <c r="CA68" s="1013">
        <f t="shared" si="190"/>
        <v>39.070118062285161</v>
      </c>
      <c r="CB68" s="1013">
        <f t="shared" si="190"/>
        <v>39.038823507859021</v>
      </c>
      <c r="CC68" s="1013">
        <f t="shared" si="190"/>
        <v>39.007554019882264</v>
      </c>
      <c r="CD68" s="1013">
        <f t="shared" si="190"/>
        <v>38.976309578277061</v>
      </c>
      <c r="CE68" s="1013">
        <f t="shared" si="190"/>
        <v>38.94509016298165</v>
      </c>
      <c r="CF68" s="1013">
        <f t="shared" si="190"/>
        <v>38.913895753950342</v>
      </c>
      <c r="CG68" s="1013">
        <f t="shared" si="190"/>
        <v>38.870923707359104</v>
      </c>
      <c r="CH68" s="1013">
        <f t="shared" si="190"/>
        <v>38.827999114171142</v>
      </c>
      <c r="CI68" s="1013">
        <f t="shared" si="190"/>
        <v>38.785121921984356</v>
      </c>
      <c r="CJ68" s="1013">
        <f t="shared" si="190"/>
        <v>38.742292078454511</v>
      </c>
      <c r="CK68" s="1013">
        <f t="shared" si="190"/>
        <v>38.699509531295178</v>
      </c>
      <c r="CL68" s="1013">
        <f t="shared" si="190"/>
        <v>38.652866099235652</v>
      </c>
      <c r="CM68" s="1013">
        <f t="shared" si="190"/>
        <v>38.606278885194918</v>
      </c>
      <c r="CN68" s="1013">
        <f t="shared" si="190"/>
        <v>38.559747821414987</v>
      </c>
      <c r="CO68" s="1013">
        <f t="shared" si="190"/>
        <v>38.513272840219521</v>
      </c>
      <c r="CP68" s="1013">
        <f t="shared" si="190"/>
        <v>38.466853874013751</v>
      </c>
      <c r="CQ68" s="1013">
        <f t="shared" si="190"/>
        <v>38.413088590063794</v>
      </c>
      <c r="CR68" s="1013">
        <f t="shared" si="190"/>
        <v>38.359398454078047</v>
      </c>
      <c r="CS68" s="1013">
        <f t="shared" si="190"/>
        <v>38.305783361021881</v>
      </c>
      <c r="CT68" s="1013">
        <f t="shared" si="190"/>
        <v>38.252243206007478</v>
      </c>
      <c r="CU68" s="1013">
        <f t="shared" si="190"/>
        <v>38.198777884293627</v>
      </c>
      <c r="CV68" s="1013">
        <f t="shared" si="190"/>
        <v>38.146586211792602</v>
      </c>
      <c r="CW68" s="1013">
        <f t="shared" si="190"/>
        <v>38.094465849705919</v>
      </c>
      <c r="CX68" s="1013">
        <f t="shared" si="190"/>
        <v>38.042416700600896</v>
      </c>
      <c r="CY68" s="1013">
        <f t="shared" si="190"/>
        <v>37.990438667177955</v>
      </c>
      <c r="CZ68" s="1013">
        <f t="shared" si="190"/>
        <v>37.93853165227047</v>
      </c>
    </row>
    <row r="69" spans="1:104" ht="13.8" thickTop="1" x14ac:dyDescent="0.25">
      <c r="D69" s="827"/>
    </row>
    <row r="70" spans="1:104" ht="13.8" thickBot="1" x14ac:dyDescent="0.3">
      <c r="D70" s="827"/>
      <c r="E70" s="692"/>
    </row>
    <row r="71" spans="1:104" s="789" customFormat="1" x14ac:dyDescent="0.25">
      <c r="A71" s="785" t="s">
        <v>1083</v>
      </c>
      <c r="B71" s="786"/>
      <c r="C71" s="787"/>
      <c r="D71" s="968"/>
      <c r="E71" s="787"/>
      <c r="F71" s="786"/>
      <c r="G71" s="786"/>
      <c r="H71" s="786"/>
      <c r="I71" s="786"/>
      <c r="J71" s="786"/>
      <c r="K71" s="786"/>
      <c r="L71" s="786"/>
      <c r="M71" s="786"/>
      <c r="N71" s="786"/>
      <c r="O71" s="786"/>
      <c r="P71" s="786"/>
      <c r="Q71" s="786"/>
      <c r="R71" s="786"/>
      <c r="S71" s="786"/>
      <c r="T71" s="786"/>
      <c r="U71" s="786"/>
      <c r="V71" s="786"/>
      <c r="W71" s="786"/>
      <c r="X71" s="786"/>
      <c r="Y71" s="786"/>
      <c r="Z71" s="786"/>
      <c r="AA71" s="786"/>
      <c r="AB71" s="786"/>
      <c r="AC71" s="786"/>
      <c r="AD71" s="786"/>
      <c r="AE71" s="786"/>
      <c r="AF71" s="786"/>
      <c r="AG71" s="786"/>
      <c r="AH71" s="786"/>
      <c r="AI71" s="786"/>
      <c r="AJ71" s="786"/>
      <c r="AK71" s="786"/>
      <c r="AL71" s="786"/>
      <c r="AM71" s="786"/>
      <c r="AN71" s="786"/>
      <c r="AO71" s="786"/>
      <c r="AP71" s="786"/>
      <c r="AQ71" s="786"/>
      <c r="AR71" s="786"/>
      <c r="AS71" s="786"/>
      <c r="AT71" s="786"/>
      <c r="AU71" s="786"/>
      <c r="AV71" s="786"/>
      <c r="AW71" s="786"/>
      <c r="AX71" s="786"/>
      <c r="AY71" s="786"/>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8"/>
    </row>
    <row r="72" spans="1:104" s="789" customFormat="1" x14ac:dyDescent="0.25">
      <c r="A72" s="790" t="s">
        <v>1080</v>
      </c>
      <c r="C72" s="791"/>
      <c r="D72" s="969"/>
      <c r="E72" s="791"/>
      <c r="BV72" s="792"/>
    </row>
    <row r="73" spans="1:104" s="789" customFormat="1" x14ac:dyDescent="0.25">
      <c r="A73" s="793"/>
      <c r="C73" s="791"/>
      <c r="D73" s="969"/>
      <c r="E73" s="806"/>
      <c r="BV73" s="792"/>
    </row>
    <row r="74" spans="1:104" s="789" customFormat="1" x14ac:dyDescent="0.25">
      <c r="A74" s="793" t="s">
        <v>666</v>
      </c>
      <c r="C74" s="791"/>
      <c r="D74" s="969"/>
      <c r="E74" s="791"/>
      <c r="N74" s="794">
        <v>11.359373</v>
      </c>
      <c r="O74" s="794">
        <v>10.802343</v>
      </c>
      <c r="P74" s="794">
        <v>10.473763999999999</v>
      </c>
      <c r="Q74" s="794">
        <v>10.501935</v>
      </c>
      <c r="R74" s="794">
        <v>10.334021999999999</v>
      </c>
      <c r="S74" s="794">
        <v>10.229792</v>
      </c>
      <c r="T74" s="794">
        <v>10.748874000000001</v>
      </c>
      <c r="U74" s="794">
        <v>11.092333999999999</v>
      </c>
      <c r="V74" s="794">
        <v>11.515472000000001</v>
      </c>
      <c r="W74" s="794">
        <v>11.774895000000001</v>
      </c>
      <c r="X74" s="794">
        <v>11.996413</v>
      </c>
      <c r="Y74" s="794">
        <v>12.209519999999999</v>
      </c>
      <c r="Z74" s="794">
        <v>12.479982</v>
      </c>
      <c r="AA74" s="794">
        <v>12.729352</v>
      </c>
      <c r="AB74" s="794">
        <v>12.853237999999999</v>
      </c>
      <c r="AC74" s="794">
        <v>13.018173000000001</v>
      </c>
      <c r="AD74" s="794">
        <v>13.212711000000001</v>
      </c>
      <c r="AE74" s="794">
        <v>13.366512</v>
      </c>
      <c r="AF74" s="794">
        <v>13.603230999999999</v>
      </c>
      <c r="AG74" s="794">
        <v>13.784504</v>
      </c>
      <c r="AH74" s="794">
        <v>13.991047</v>
      </c>
      <c r="AI74" s="794">
        <v>14.231726</v>
      </c>
      <c r="AJ74" s="794">
        <v>14.577776</v>
      </c>
      <c r="AK74" s="794">
        <v>14.956607999999999</v>
      </c>
      <c r="AL74" s="794">
        <v>15.347963</v>
      </c>
      <c r="AM74" s="794">
        <v>15.708157999999999</v>
      </c>
      <c r="AN74" s="794">
        <v>16.169785000000001</v>
      </c>
      <c r="AO74" s="794">
        <v>16.471478000000001</v>
      </c>
      <c r="AP74" s="794">
        <v>16.949921</v>
      </c>
      <c r="AQ74" s="794">
        <v>17.380462999999999</v>
      </c>
      <c r="AR74" s="794">
        <v>17.673891000000001</v>
      </c>
      <c r="BV74" s="792"/>
    </row>
    <row r="75" spans="1:104" s="789" customFormat="1" x14ac:dyDescent="0.25">
      <c r="A75" s="793" t="s">
        <v>1058</v>
      </c>
      <c r="C75" s="791"/>
      <c r="D75" s="969"/>
      <c r="E75" s="791"/>
      <c r="N75" s="794">
        <v>9.3969749999999994</v>
      </c>
      <c r="O75" s="794">
        <v>8.8368559999999992</v>
      </c>
      <c r="P75" s="794">
        <v>8.081448</v>
      </c>
      <c r="Q75" s="794">
        <v>8.4844790000000003</v>
      </c>
      <c r="R75" s="794">
        <v>8.3155520000000003</v>
      </c>
      <c r="S75" s="794">
        <v>8.1773039999999995</v>
      </c>
      <c r="T75" s="794">
        <v>8.6431299999999993</v>
      </c>
      <c r="U75" s="794">
        <v>8.9205120000000004</v>
      </c>
      <c r="V75" s="794">
        <v>9.2811249999999994</v>
      </c>
      <c r="W75" s="794">
        <v>9.4920469999999995</v>
      </c>
      <c r="X75" s="794">
        <v>9.6757190000000008</v>
      </c>
      <c r="Y75" s="794">
        <v>9.8498520000000003</v>
      </c>
      <c r="Z75" s="794">
        <v>10.083444999999999</v>
      </c>
      <c r="AA75" s="794">
        <v>10.292596</v>
      </c>
      <c r="AB75" s="794">
        <v>10.386177</v>
      </c>
      <c r="AC75" s="794">
        <v>10.522978999999999</v>
      </c>
      <c r="AD75" s="794">
        <v>10.688981999999999</v>
      </c>
      <c r="AE75" s="794">
        <v>10.803459999999999</v>
      </c>
      <c r="AF75" s="794">
        <v>10.994071</v>
      </c>
      <c r="AG75" s="794">
        <v>11.132752999999999</v>
      </c>
      <c r="AH75" s="794">
        <v>11.290343</v>
      </c>
      <c r="AI75" s="794">
        <v>11.483471</v>
      </c>
      <c r="AJ75" s="794">
        <v>11.774739</v>
      </c>
      <c r="AK75" s="794">
        <v>12.104623999999999</v>
      </c>
      <c r="AL75" s="794">
        <v>12.443429</v>
      </c>
      <c r="AM75" s="794">
        <v>12.746489</v>
      </c>
      <c r="AN75" s="794">
        <v>13.159888</v>
      </c>
      <c r="AO75" s="794">
        <v>13.417020000000001</v>
      </c>
      <c r="AP75" s="794">
        <v>13.853782000000001</v>
      </c>
      <c r="AQ75" s="794">
        <v>14.239846</v>
      </c>
      <c r="AR75" s="794">
        <v>14.480893</v>
      </c>
      <c r="BV75" s="792"/>
    </row>
    <row r="76" spans="1:104" s="789" customFormat="1" x14ac:dyDescent="0.25">
      <c r="A76" s="793" t="s">
        <v>280</v>
      </c>
      <c r="C76" s="791"/>
      <c r="D76" s="969"/>
      <c r="E76" s="791"/>
      <c r="N76" s="794">
        <v>5.4839570000000002</v>
      </c>
      <c r="O76" s="794">
        <v>4.8889880000000003</v>
      </c>
      <c r="P76" s="794">
        <v>3.7668759999999999</v>
      </c>
      <c r="Q76" s="794">
        <v>4.3500249999999996</v>
      </c>
      <c r="R76" s="794">
        <v>4.4161510000000002</v>
      </c>
      <c r="S76" s="794">
        <v>4.4533610000000001</v>
      </c>
      <c r="T76" s="794">
        <v>4.916512</v>
      </c>
      <c r="U76" s="794">
        <v>5.1321560000000002</v>
      </c>
      <c r="V76" s="794">
        <v>5.3872429999999998</v>
      </c>
      <c r="W76" s="794">
        <v>5.5533659999999996</v>
      </c>
      <c r="X76" s="794">
        <v>5.6994189999999998</v>
      </c>
      <c r="Y76" s="794">
        <v>5.84443</v>
      </c>
      <c r="Z76" s="794">
        <v>6.055364</v>
      </c>
      <c r="AA76" s="794">
        <v>6.2505249999999997</v>
      </c>
      <c r="AB76" s="794">
        <v>6.3249610000000001</v>
      </c>
      <c r="AC76" s="794">
        <v>6.4443630000000001</v>
      </c>
      <c r="AD76" s="794">
        <v>6.5689469999999996</v>
      </c>
      <c r="AE76" s="794">
        <v>6.6624569999999999</v>
      </c>
      <c r="AF76" s="794">
        <v>6.8533949999999999</v>
      </c>
      <c r="AG76" s="794">
        <v>6.9821</v>
      </c>
      <c r="AH76" s="794">
        <v>7.1203779999999997</v>
      </c>
      <c r="AI76" s="794">
        <v>7.3037179999999999</v>
      </c>
      <c r="AJ76" s="794">
        <v>7.5896039999999996</v>
      </c>
      <c r="AK76" s="794">
        <v>7.9110909999999999</v>
      </c>
      <c r="AL76" s="794">
        <v>8.2410040000000002</v>
      </c>
      <c r="AM76" s="794">
        <v>8.5300290000000007</v>
      </c>
      <c r="AN76" s="794">
        <v>8.90123</v>
      </c>
      <c r="AO76" s="794">
        <v>9.1114479999999993</v>
      </c>
      <c r="AP76" s="794">
        <v>9.4914550000000002</v>
      </c>
      <c r="AQ76" s="794">
        <v>9.8126739999999995</v>
      </c>
      <c r="AR76" s="794">
        <v>10.012231</v>
      </c>
      <c r="BV76" s="792"/>
    </row>
    <row r="77" spans="1:104" s="789" customFormat="1" x14ac:dyDescent="0.25">
      <c r="A77" s="793" t="str">
        <f>'HyARC Physical Property Data'!$A$74</f>
        <v>Electric Utility Natural Gas</v>
      </c>
      <c r="C77" s="791"/>
      <c r="D77" s="969"/>
      <c r="E77" s="791"/>
      <c r="N77" s="794">
        <v>5.2581660000000001</v>
      </c>
      <c r="O77" s="794">
        <v>4.7747140000000003</v>
      </c>
      <c r="P77" s="794">
        <v>3.3280129999999999</v>
      </c>
      <c r="Q77" s="794">
        <v>3.7262059999999999</v>
      </c>
      <c r="R77" s="794">
        <v>3.8342619999999998</v>
      </c>
      <c r="S77" s="794">
        <v>3.9162499999999998</v>
      </c>
      <c r="T77" s="794">
        <v>4.3469340000000001</v>
      </c>
      <c r="U77" s="794">
        <v>4.5235139999999996</v>
      </c>
      <c r="V77" s="794">
        <v>4.7720750000000001</v>
      </c>
      <c r="W77" s="794">
        <v>4.9304030000000001</v>
      </c>
      <c r="X77" s="794">
        <v>5.0667330000000002</v>
      </c>
      <c r="Y77" s="794">
        <v>5.2030240000000001</v>
      </c>
      <c r="Z77" s="794">
        <v>5.4141339999999998</v>
      </c>
      <c r="AA77" s="794">
        <v>5.6120320000000001</v>
      </c>
      <c r="AB77" s="794">
        <v>5.7180549999999997</v>
      </c>
      <c r="AC77" s="794">
        <v>5.8497880000000002</v>
      </c>
      <c r="AD77" s="794">
        <v>5.9964360000000001</v>
      </c>
      <c r="AE77" s="794">
        <v>6.1136410000000003</v>
      </c>
      <c r="AF77" s="794">
        <v>6.2808900000000003</v>
      </c>
      <c r="AG77" s="794">
        <v>6.4099190000000004</v>
      </c>
      <c r="AH77" s="794">
        <v>6.5488220000000004</v>
      </c>
      <c r="AI77" s="794">
        <v>6.7307620000000004</v>
      </c>
      <c r="AJ77" s="794">
        <v>7.0166529999999998</v>
      </c>
      <c r="AK77" s="794">
        <v>7.3227570000000002</v>
      </c>
      <c r="AL77" s="794">
        <v>7.6342280000000002</v>
      </c>
      <c r="AM77" s="794">
        <v>7.902755</v>
      </c>
      <c r="AN77" s="794">
        <v>8.2651950000000003</v>
      </c>
      <c r="AO77" s="794">
        <v>8.4774010000000004</v>
      </c>
      <c r="AP77" s="794">
        <v>8.8551400000000005</v>
      </c>
      <c r="AQ77" s="794">
        <v>9.1715459999999993</v>
      </c>
      <c r="AR77" s="794">
        <v>9.3359030000000001</v>
      </c>
      <c r="BV77" s="792"/>
    </row>
    <row r="78" spans="1:104" s="789" customFormat="1" x14ac:dyDescent="0.25">
      <c r="A78" s="793" t="s">
        <v>1054</v>
      </c>
      <c r="C78" s="791"/>
      <c r="D78" s="969"/>
      <c r="E78" s="791"/>
      <c r="N78" s="794"/>
      <c r="O78" s="794"/>
      <c r="P78" s="794"/>
      <c r="Q78" s="794"/>
      <c r="R78" s="794"/>
      <c r="S78" s="794"/>
      <c r="T78" s="794"/>
      <c r="U78" s="794"/>
      <c r="V78" s="794"/>
      <c r="W78" s="794"/>
      <c r="X78" s="794"/>
      <c r="Y78" s="794"/>
      <c r="Z78" s="794"/>
      <c r="AA78" s="794"/>
      <c r="AB78" s="794"/>
      <c r="AC78" s="794"/>
      <c r="AD78" s="794"/>
      <c r="AE78" s="794"/>
      <c r="AF78" s="794"/>
      <c r="AG78" s="794"/>
      <c r="AH78" s="794"/>
      <c r="AI78" s="794"/>
      <c r="AJ78" s="794"/>
      <c r="AK78" s="794"/>
      <c r="AL78" s="794"/>
      <c r="AM78" s="794"/>
      <c r="AN78" s="794"/>
      <c r="AO78" s="794"/>
      <c r="AP78" s="794"/>
      <c r="AQ78" s="794"/>
      <c r="AR78" s="794"/>
      <c r="BV78" s="792"/>
    </row>
    <row r="79" spans="1:104" s="789" customFormat="1" x14ac:dyDescent="0.25">
      <c r="A79" s="793" t="s">
        <v>1060</v>
      </c>
      <c r="C79" s="791"/>
      <c r="D79" s="969"/>
      <c r="E79" s="791"/>
      <c r="N79" s="794">
        <v>2.2979889999999998</v>
      </c>
      <c r="O79" s="794">
        <v>2.38</v>
      </c>
      <c r="P79" s="794">
        <v>2.414561</v>
      </c>
      <c r="Q79" s="794">
        <v>2.3313350000000002</v>
      </c>
      <c r="R79" s="794">
        <v>2.4666779999999999</v>
      </c>
      <c r="S79" s="794">
        <v>2.490294</v>
      </c>
      <c r="T79" s="794">
        <v>2.5700569999999998</v>
      </c>
      <c r="U79" s="794">
        <v>2.5762320000000001</v>
      </c>
      <c r="V79" s="794">
        <v>2.594992</v>
      </c>
      <c r="W79" s="794">
        <v>2.6086049999999998</v>
      </c>
      <c r="X79" s="794">
        <v>2.6433580000000001</v>
      </c>
      <c r="Y79" s="794">
        <v>2.6708150000000002</v>
      </c>
      <c r="Z79" s="794">
        <v>2.7142179999999998</v>
      </c>
      <c r="AA79" s="794">
        <v>2.74918</v>
      </c>
      <c r="AB79" s="794">
        <v>2.7884579999999999</v>
      </c>
      <c r="AC79" s="794">
        <v>2.8318759999999998</v>
      </c>
      <c r="AD79" s="794">
        <v>2.8692139999999999</v>
      </c>
      <c r="AE79" s="794">
        <v>2.899435</v>
      </c>
      <c r="AF79" s="794">
        <v>2.9368029999999998</v>
      </c>
      <c r="AG79" s="794">
        <v>2.9781219999999999</v>
      </c>
      <c r="AH79" s="794">
        <v>3.0179510000000001</v>
      </c>
      <c r="AI79" s="794">
        <v>3.0527350000000002</v>
      </c>
      <c r="AJ79" s="794">
        <v>3.090319</v>
      </c>
      <c r="AK79" s="794">
        <v>3.1298509999999999</v>
      </c>
      <c r="AL79" s="794">
        <v>3.1705510000000001</v>
      </c>
      <c r="AM79" s="794">
        <v>3.2163840000000001</v>
      </c>
      <c r="AN79" s="794">
        <v>3.2516949999999998</v>
      </c>
      <c r="AO79" s="794">
        <v>3.2783180000000001</v>
      </c>
      <c r="AP79" s="794">
        <v>3.3114089999999998</v>
      </c>
      <c r="AQ79" s="794">
        <v>3.3562150000000002</v>
      </c>
      <c r="AR79" s="794">
        <v>3.398895</v>
      </c>
      <c r="BV79" s="792"/>
    </row>
    <row r="80" spans="1:104" s="789" customFormat="1" x14ac:dyDescent="0.25">
      <c r="A80" s="793" t="s">
        <v>668</v>
      </c>
      <c r="C80" s="791"/>
      <c r="D80" s="969"/>
      <c r="E80" s="791"/>
      <c r="N80" s="794">
        <v>30.492578999999999</v>
      </c>
      <c r="O80" s="794">
        <v>29.980651999999999</v>
      </c>
      <c r="P80" s="794">
        <v>28.501187999999999</v>
      </c>
      <c r="Q80" s="794">
        <v>27.791989999999998</v>
      </c>
      <c r="R80" s="794">
        <v>28.177313000000002</v>
      </c>
      <c r="S80" s="794">
        <v>28.139455999999999</v>
      </c>
      <c r="T80" s="794">
        <v>28.689319999999999</v>
      </c>
      <c r="U80" s="794">
        <v>29.024557000000001</v>
      </c>
      <c r="V80" s="794">
        <v>29.108899999999998</v>
      </c>
      <c r="W80" s="794">
        <v>28.975003999999998</v>
      </c>
      <c r="X80" s="794">
        <v>29.041111000000001</v>
      </c>
      <c r="Y80" s="794">
        <v>29.162209000000001</v>
      </c>
      <c r="Z80" s="794">
        <v>29.247681</v>
      </c>
      <c r="AA80" s="794">
        <v>29.196009</v>
      </c>
      <c r="AB80" s="794">
        <v>29.115604000000001</v>
      </c>
      <c r="AC80" s="794">
        <v>29.201962000000002</v>
      </c>
      <c r="AD80" s="794">
        <v>29.178121999999998</v>
      </c>
      <c r="AE80" s="794">
        <v>29.212776000000002</v>
      </c>
      <c r="AF80" s="794">
        <v>29.214404999999999</v>
      </c>
      <c r="AG80" s="794">
        <v>29.344874999999998</v>
      </c>
      <c r="AH80" s="794">
        <v>29.550170999999999</v>
      </c>
      <c r="AI80" s="794">
        <v>29.794819</v>
      </c>
      <c r="AJ80" s="794">
        <v>29.957190000000001</v>
      </c>
      <c r="AK80" s="794">
        <v>30.275618000000001</v>
      </c>
      <c r="AL80" s="794">
        <v>30.801399</v>
      </c>
      <c r="AM80" s="794">
        <v>31.291125999999998</v>
      </c>
      <c r="AN80" s="794">
        <v>31.806963</v>
      </c>
      <c r="AO80" s="794">
        <v>32.268535999999997</v>
      </c>
      <c r="AP80" s="794">
        <v>32.667476999999998</v>
      </c>
      <c r="AQ80" s="794">
        <v>33.223427000000001</v>
      </c>
      <c r="AR80" s="794">
        <v>33.577624999999998</v>
      </c>
      <c r="BV80" s="792"/>
    </row>
    <row r="81" spans="1:104" s="789" customFormat="1" x14ac:dyDescent="0.25">
      <c r="A81" s="793" t="s">
        <v>683</v>
      </c>
      <c r="C81" s="791"/>
      <c r="D81" s="969"/>
      <c r="E81" s="791"/>
      <c r="N81" s="794">
        <v>20.260445000000001</v>
      </c>
      <c r="O81" s="794">
        <v>19.975721</v>
      </c>
      <c r="P81" s="794">
        <v>18.454588000000001</v>
      </c>
      <c r="Q81" s="794">
        <v>18.157667</v>
      </c>
      <c r="R81" s="794">
        <v>18.271274999999999</v>
      </c>
      <c r="S81" s="794">
        <v>18.191776000000001</v>
      </c>
      <c r="T81" s="794">
        <v>18.703628999999999</v>
      </c>
      <c r="U81" s="794">
        <v>19.002967999999999</v>
      </c>
      <c r="V81" s="794">
        <v>19.096264000000001</v>
      </c>
      <c r="W81" s="794">
        <v>19.050228000000001</v>
      </c>
      <c r="X81" s="794">
        <v>19.095860999999999</v>
      </c>
      <c r="Y81" s="794">
        <v>19.252116999999998</v>
      </c>
      <c r="Z81" s="794">
        <v>19.422526999999999</v>
      </c>
      <c r="AA81" s="794">
        <v>19.539289</v>
      </c>
      <c r="AB81" s="794">
        <v>19.565339999999999</v>
      </c>
      <c r="AC81" s="794">
        <v>19.722131999999998</v>
      </c>
      <c r="AD81" s="794">
        <v>19.810991000000001</v>
      </c>
      <c r="AE81" s="794">
        <v>19.943812999999999</v>
      </c>
      <c r="AF81" s="794">
        <v>20.046423000000001</v>
      </c>
      <c r="AG81" s="794">
        <v>20.238405</v>
      </c>
      <c r="AH81" s="794">
        <v>20.421748999999998</v>
      </c>
      <c r="AI81" s="794">
        <v>20.607520999999998</v>
      </c>
      <c r="AJ81" s="794">
        <v>20.839410999999998</v>
      </c>
      <c r="AK81" s="794">
        <v>21.176966</v>
      </c>
      <c r="AL81" s="794">
        <v>21.628757</v>
      </c>
      <c r="AM81" s="794">
        <v>22.108962999999999</v>
      </c>
      <c r="AN81" s="794">
        <v>22.567038</v>
      </c>
      <c r="AO81" s="794">
        <v>22.990486000000001</v>
      </c>
      <c r="AP81" s="794">
        <v>23.379736000000001</v>
      </c>
      <c r="AQ81" s="794">
        <v>23.871493999999998</v>
      </c>
      <c r="AR81" s="794">
        <v>24.167221000000001</v>
      </c>
      <c r="BV81" s="792"/>
    </row>
    <row r="82" spans="1:104" s="789" customFormat="1" ht="13.8" thickBot="1" x14ac:dyDescent="0.3">
      <c r="A82" s="796" t="s">
        <v>669</v>
      </c>
      <c r="B82" s="797"/>
      <c r="C82" s="798"/>
      <c r="D82" s="970"/>
      <c r="E82" s="798"/>
      <c r="F82" s="797"/>
      <c r="G82" s="797"/>
      <c r="H82" s="797"/>
      <c r="I82" s="797"/>
      <c r="J82" s="797"/>
      <c r="K82" s="797"/>
      <c r="L82" s="797"/>
      <c r="M82" s="797"/>
      <c r="N82" s="799">
        <v>34.522823000000002</v>
      </c>
      <c r="O82" s="799">
        <v>34.335875999999999</v>
      </c>
      <c r="P82" s="799">
        <v>33.292259000000001</v>
      </c>
      <c r="Q82" s="799">
        <v>32.561348000000002</v>
      </c>
      <c r="R82" s="799">
        <v>33.352730000000001</v>
      </c>
      <c r="S82" s="799">
        <v>33.489016999999997</v>
      </c>
      <c r="T82" s="799">
        <v>34.046703000000001</v>
      </c>
      <c r="U82" s="799">
        <v>34.326427000000002</v>
      </c>
      <c r="V82" s="799">
        <v>34.303291000000002</v>
      </c>
      <c r="W82" s="799">
        <v>34.076405000000001</v>
      </c>
      <c r="X82" s="799">
        <v>34.105117999999997</v>
      </c>
      <c r="Y82" s="799">
        <v>34.184669</v>
      </c>
      <c r="Z82" s="799">
        <v>34.290134000000002</v>
      </c>
      <c r="AA82" s="799">
        <v>34.319408000000003</v>
      </c>
      <c r="AB82" s="799">
        <v>34.416462000000003</v>
      </c>
      <c r="AC82" s="799">
        <v>34.726405999999997</v>
      </c>
      <c r="AD82" s="799">
        <v>34.904162999999997</v>
      </c>
      <c r="AE82" s="799">
        <v>35.063048999999999</v>
      </c>
      <c r="AF82" s="799">
        <v>35.177726999999997</v>
      </c>
      <c r="AG82" s="799">
        <v>35.337353</v>
      </c>
      <c r="AH82" s="799">
        <v>35.506706000000001</v>
      </c>
      <c r="AI82" s="799">
        <v>35.725586</v>
      </c>
      <c r="AJ82" s="799">
        <v>35.884253999999999</v>
      </c>
      <c r="AK82" s="799">
        <v>36.154865000000001</v>
      </c>
      <c r="AL82" s="799">
        <v>36.608756999999997</v>
      </c>
      <c r="AM82" s="799">
        <v>37.082008000000002</v>
      </c>
      <c r="AN82" s="799">
        <v>37.502094</v>
      </c>
      <c r="AO82" s="799">
        <v>37.842292999999998</v>
      </c>
      <c r="AP82" s="799">
        <v>38.16151</v>
      </c>
      <c r="AQ82" s="799">
        <v>38.618450000000003</v>
      </c>
      <c r="AR82" s="799">
        <v>38.850749999999998</v>
      </c>
      <c r="AS82" s="797"/>
      <c r="AT82" s="797"/>
      <c r="AU82" s="797"/>
      <c r="AV82" s="797"/>
      <c r="AW82" s="797"/>
      <c r="AX82" s="797"/>
      <c r="AY82" s="797"/>
      <c r="AZ82" s="797"/>
      <c r="BA82" s="797"/>
      <c r="BB82" s="797"/>
      <c r="BC82" s="797"/>
      <c r="BD82" s="797"/>
      <c r="BE82" s="797"/>
      <c r="BF82" s="797"/>
      <c r="BG82" s="797"/>
      <c r="BH82" s="797"/>
      <c r="BI82" s="797"/>
      <c r="BJ82" s="797"/>
      <c r="BK82" s="797"/>
      <c r="BL82" s="797"/>
      <c r="BM82" s="797"/>
      <c r="BN82" s="797"/>
      <c r="BO82" s="797"/>
      <c r="BP82" s="797"/>
      <c r="BQ82" s="797"/>
      <c r="BR82" s="797"/>
      <c r="BS82" s="797"/>
      <c r="BT82" s="797"/>
      <c r="BU82" s="797"/>
      <c r="BV82" s="800"/>
    </row>
    <row r="83" spans="1:104" x14ac:dyDescent="0.25">
      <c r="D83" s="827"/>
      <c r="E83" s="692"/>
    </row>
    <row r="84" spans="1:104" x14ac:dyDescent="0.25">
      <c r="D84" s="827"/>
    </row>
    <row r="85" spans="1:104" ht="13.8" thickBot="1" x14ac:dyDescent="0.3">
      <c r="D85" s="827"/>
    </row>
    <row r="86" spans="1:104" ht="13.8" thickTop="1" x14ac:dyDescent="0.25">
      <c r="A86" s="686" t="s">
        <v>1078</v>
      </c>
      <c r="B86" s="573" t="str">
        <f>"Prices are in $(" &amp; ref_year&amp;")/GJ LHV"</f>
        <v>Prices are in $(2016)/GJ LHV</v>
      </c>
      <c r="C86" s="573"/>
      <c r="D86" s="971"/>
      <c r="E86" s="573"/>
      <c r="F86" s="687"/>
      <c r="G86" s="687"/>
      <c r="H86" s="687"/>
      <c r="I86" s="687"/>
      <c r="J86" s="687"/>
      <c r="K86" s="687"/>
      <c r="L86" s="687"/>
      <c r="M86" s="687"/>
      <c r="N86" s="687"/>
      <c r="O86" s="687"/>
      <c r="P86" s="687"/>
      <c r="Q86" s="687"/>
      <c r="R86" s="687"/>
      <c r="S86" s="687"/>
      <c r="T86" s="687"/>
      <c r="U86" s="687"/>
      <c r="V86" s="687"/>
      <c r="W86" s="687"/>
      <c r="X86" s="687"/>
      <c r="Y86" s="687"/>
      <c r="Z86" s="687"/>
      <c r="AA86" s="687"/>
      <c r="AB86" s="687"/>
      <c r="AC86" s="687"/>
      <c r="AD86" s="687"/>
      <c r="AE86" s="687"/>
      <c r="AF86" s="687"/>
      <c r="AG86" s="687"/>
      <c r="AH86" s="687"/>
      <c r="AI86" s="687"/>
      <c r="AJ86" s="687"/>
      <c r="AK86" s="687"/>
      <c r="AL86" s="687"/>
      <c r="AM86" s="687"/>
      <c r="AN86" s="687"/>
      <c r="AO86" s="687"/>
      <c r="AP86" s="687"/>
      <c r="AQ86" s="687"/>
      <c r="AR86" s="687"/>
      <c r="AS86" s="698" t="s">
        <v>757</v>
      </c>
      <c r="AT86" s="699"/>
      <c r="AU86" s="699"/>
      <c r="AV86" s="699"/>
      <c r="AW86" s="699"/>
      <c r="AX86" s="699"/>
      <c r="AY86" s="699"/>
      <c r="AZ86" s="699"/>
      <c r="BA86" s="699"/>
      <c r="BB86" s="699"/>
      <c r="BC86" s="699"/>
      <c r="BD86" s="699"/>
      <c r="BE86" s="699"/>
      <c r="BF86" s="699"/>
      <c r="BG86" s="699"/>
      <c r="BH86" s="699"/>
      <c r="BI86" s="699"/>
      <c r="BJ86" s="699"/>
      <c r="BK86" s="699"/>
      <c r="BL86" s="699"/>
      <c r="BM86" s="699"/>
      <c r="BN86" s="699"/>
      <c r="BO86" s="699"/>
      <c r="BP86" s="699"/>
      <c r="BQ86" s="699"/>
      <c r="BR86" s="699"/>
      <c r="BS86" s="699"/>
      <c r="BT86" s="699"/>
      <c r="BU86" s="699"/>
      <c r="BV86" s="700"/>
    </row>
    <row r="87" spans="1:104" ht="40.200000000000003" thickBot="1" x14ac:dyDescent="0.3">
      <c r="A87" s="852" t="s">
        <v>1057</v>
      </c>
      <c r="B87" s="853" t="s">
        <v>663</v>
      </c>
      <c r="C87" s="853" t="s">
        <v>664</v>
      </c>
      <c r="D87" s="972" t="s">
        <v>675</v>
      </c>
      <c r="E87" s="853" t="s">
        <v>676</v>
      </c>
      <c r="F87" s="474" t="s">
        <v>665</v>
      </c>
      <c r="G87" s="474" t="s">
        <v>677</v>
      </c>
      <c r="H87" s="1">
        <v>2004</v>
      </c>
      <c r="I87" s="1">
        <v>2005</v>
      </c>
      <c r="J87" s="1">
        <v>2006</v>
      </c>
      <c r="K87" s="1">
        <v>2007</v>
      </c>
      <c r="L87" s="1">
        <v>2008</v>
      </c>
      <c r="M87" s="1">
        <v>2009</v>
      </c>
      <c r="N87" s="1">
        <v>2010</v>
      </c>
      <c r="O87" s="1">
        <v>2011</v>
      </c>
      <c r="P87" s="1">
        <v>2012</v>
      </c>
      <c r="Q87" s="1">
        <v>2013</v>
      </c>
      <c r="R87" s="1">
        <v>2014</v>
      </c>
      <c r="S87" s="1">
        <v>2015</v>
      </c>
      <c r="T87" s="1">
        <v>2016</v>
      </c>
      <c r="U87" s="1">
        <v>2017</v>
      </c>
      <c r="V87" s="1">
        <v>2018</v>
      </c>
      <c r="W87" s="1">
        <v>2019</v>
      </c>
      <c r="X87" s="1">
        <v>2020</v>
      </c>
      <c r="Y87" s="1">
        <v>2021</v>
      </c>
      <c r="Z87" s="1">
        <v>2022</v>
      </c>
      <c r="AA87" s="1">
        <v>2023</v>
      </c>
      <c r="AB87" s="1">
        <v>2024</v>
      </c>
      <c r="AC87" s="1">
        <v>2025</v>
      </c>
      <c r="AD87" s="1">
        <v>2026</v>
      </c>
      <c r="AE87" s="1">
        <v>2027</v>
      </c>
      <c r="AF87" s="1">
        <v>2028</v>
      </c>
      <c r="AG87" s="1">
        <v>2029</v>
      </c>
      <c r="AH87" s="1">
        <v>2030</v>
      </c>
      <c r="AI87" s="1">
        <v>2031</v>
      </c>
      <c r="AJ87" s="1">
        <v>2032</v>
      </c>
      <c r="AK87" s="1">
        <v>2033</v>
      </c>
      <c r="AL87" s="1">
        <v>2034</v>
      </c>
      <c r="AM87" s="1">
        <v>2035</v>
      </c>
      <c r="AN87" s="1">
        <v>2036</v>
      </c>
      <c r="AO87" s="1">
        <v>2037</v>
      </c>
      <c r="AP87" s="1">
        <v>2038</v>
      </c>
      <c r="AQ87" s="1">
        <v>2039</v>
      </c>
      <c r="AR87" s="1">
        <v>2040</v>
      </c>
      <c r="AS87" s="1">
        <v>2041</v>
      </c>
      <c r="AT87" s="1">
        <v>2042</v>
      </c>
      <c r="AU87" s="1">
        <v>2043</v>
      </c>
      <c r="AV87" s="1">
        <v>2044</v>
      </c>
      <c r="AW87" s="1">
        <v>2045</v>
      </c>
      <c r="AX87" s="1">
        <v>2046</v>
      </c>
      <c r="AY87" s="1">
        <v>2047</v>
      </c>
      <c r="AZ87" s="1">
        <v>2048</v>
      </c>
      <c r="BA87" s="1">
        <v>2049</v>
      </c>
      <c r="BB87" s="1">
        <v>2050</v>
      </c>
      <c r="BC87" s="1">
        <v>2051</v>
      </c>
      <c r="BD87" s="1">
        <v>2052</v>
      </c>
      <c r="BE87" s="1">
        <v>2053</v>
      </c>
      <c r="BF87" s="1">
        <v>2054</v>
      </c>
      <c r="BG87" s="1">
        <v>2055</v>
      </c>
      <c r="BH87" s="1">
        <v>2056</v>
      </c>
      <c r="BI87" s="1">
        <v>2057</v>
      </c>
      <c r="BJ87" s="1">
        <v>2058</v>
      </c>
      <c r="BK87" s="1">
        <v>2059</v>
      </c>
      <c r="BL87" s="1">
        <v>2060</v>
      </c>
      <c r="BM87" s="1">
        <v>2061</v>
      </c>
      <c r="BN87" s="1">
        <v>2062</v>
      </c>
      <c r="BO87" s="1">
        <v>2063</v>
      </c>
      <c r="BP87" s="1">
        <v>2064</v>
      </c>
      <c r="BQ87" s="1">
        <v>2065</v>
      </c>
      <c r="BR87" s="1">
        <v>2066</v>
      </c>
      <c r="BS87" s="1">
        <v>2067</v>
      </c>
      <c r="BT87" s="1">
        <v>2068</v>
      </c>
      <c r="BU87" s="1">
        <v>2069</v>
      </c>
      <c r="BV87" s="704">
        <v>2070</v>
      </c>
      <c r="BW87" s="1014">
        <f t="shared" ref="BW87" si="191">+BV87+1</f>
        <v>2071</v>
      </c>
      <c r="BX87" s="1014">
        <f t="shared" ref="BX87" si="192">+BW87+1</f>
        <v>2072</v>
      </c>
      <c r="BY87" s="1014">
        <f t="shared" ref="BY87" si="193">+BX87+1</f>
        <v>2073</v>
      </c>
      <c r="BZ87" s="1014">
        <f t="shared" ref="BZ87" si="194">+BY87+1</f>
        <v>2074</v>
      </c>
      <c r="CA87" s="1014">
        <f t="shared" ref="CA87" si="195">+BZ87+1</f>
        <v>2075</v>
      </c>
      <c r="CB87" s="1014">
        <f t="shared" ref="CB87" si="196">+CA87+1</f>
        <v>2076</v>
      </c>
      <c r="CC87" s="1014">
        <f t="shared" ref="CC87" si="197">+CB87+1</f>
        <v>2077</v>
      </c>
      <c r="CD87" s="1014">
        <f t="shared" ref="CD87" si="198">+CC87+1</f>
        <v>2078</v>
      </c>
      <c r="CE87" s="1014">
        <f t="shared" ref="CE87" si="199">+CD87+1</f>
        <v>2079</v>
      </c>
      <c r="CF87" s="1014">
        <f t="shared" ref="CF87" si="200">+CE87+1</f>
        <v>2080</v>
      </c>
      <c r="CG87" s="1014">
        <f t="shared" ref="CG87" si="201">+CF87+1</f>
        <v>2081</v>
      </c>
      <c r="CH87" s="1014">
        <f t="shared" ref="CH87" si="202">+CG87+1</f>
        <v>2082</v>
      </c>
      <c r="CI87" s="1014">
        <f t="shared" ref="CI87" si="203">+CH87+1</f>
        <v>2083</v>
      </c>
      <c r="CJ87" s="1014">
        <f t="shared" ref="CJ87" si="204">+CI87+1</f>
        <v>2084</v>
      </c>
      <c r="CK87" s="1014">
        <f t="shared" ref="CK87" si="205">+CJ87+1</f>
        <v>2085</v>
      </c>
      <c r="CL87" s="1014">
        <f t="shared" ref="CL87" si="206">+CK87+1</f>
        <v>2086</v>
      </c>
      <c r="CM87" s="1014">
        <f t="shared" ref="CM87" si="207">+CL87+1</f>
        <v>2087</v>
      </c>
      <c r="CN87" s="1014">
        <f t="shared" ref="CN87" si="208">+CM87+1</f>
        <v>2088</v>
      </c>
      <c r="CO87" s="1014">
        <f t="shared" ref="CO87" si="209">+CN87+1</f>
        <v>2089</v>
      </c>
      <c r="CP87" s="1014">
        <f t="shared" ref="CP87" si="210">+CO87+1</f>
        <v>2090</v>
      </c>
      <c r="CQ87" s="1014">
        <f t="shared" ref="CQ87" si="211">+CP87+1</f>
        <v>2091</v>
      </c>
      <c r="CR87" s="1014">
        <f t="shared" ref="CR87" si="212">+CQ87+1</f>
        <v>2092</v>
      </c>
      <c r="CS87" s="1014">
        <f t="shared" ref="CS87" si="213">+CR87+1</f>
        <v>2093</v>
      </c>
      <c r="CT87" s="1014">
        <f t="shared" ref="CT87" si="214">+CS87+1</f>
        <v>2094</v>
      </c>
      <c r="CU87" s="1014">
        <f t="shared" ref="CU87" si="215">+CT87+1</f>
        <v>2095</v>
      </c>
      <c r="CV87" s="1014">
        <f t="shared" ref="CV87" si="216">+CU87+1</f>
        <v>2096</v>
      </c>
      <c r="CW87" s="1014">
        <f t="shared" ref="CW87" si="217">+CV87+1</f>
        <v>2097</v>
      </c>
      <c r="CX87" s="1014">
        <f t="shared" ref="CX87" si="218">+CW87+1</f>
        <v>2098</v>
      </c>
      <c r="CY87" s="1014">
        <f t="shared" ref="CY87" si="219">+CX87+1</f>
        <v>2099</v>
      </c>
      <c r="CZ87" s="1014">
        <f t="shared" ref="CZ87" si="220">+CY87+1</f>
        <v>2100</v>
      </c>
    </row>
    <row r="88" spans="1:104" ht="13.8" thickBot="1" x14ac:dyDescent="0.3">
      <c r="A88" s="688" t="s">
        <v>1063</v>
      </c>
      <c r="B88" s="689"/>
      <c r="C88" s="689"/>
      <c r="D88" s="973"/>
      <c r="E88" s="689"/>
      <c r="F88" s="689"/>
      <c r="G88" s="689"/>
      <c r="H88" s="758"/>
      <c r="I88" s="758"/>
      <c r="J88" s="758"/>
      <c r="K88" s="758"/>
      <c r="L88" s="758"/>
      <c r="M88" s="758"/>
      <c r="N88" s="758"/>
      <c r="O88" s="758"/>
      <c r="P88" s="758"/>
      <c r="Q88" s="758"/>
      <c r="R88" s="758"/>
      <c r="S88" s="758"/>
      <c r="T88" s="758"/>
      <c r="U88" s="758"/>
      <c r="V88" s="758"/>
      <c r="W88" s="758"/>
      <c r="X88" s="758"/>
      <c r="Y88" s="758"/>
      <c r="Z88" s="758"/>
      <c r="AA88" s="758"/>
      <c r="AB88" s="758"/>
      <c r="AC88" s="758"/>
      <c r="AD88" s="758"/>
      <c r="AE88" s="758"/>
      <c r="AF88" s="758"/>
      <c r="AG88" s="758"/>
      <c r="AH88" s="758"/>
      <c r="AI88" s="758"/>
      <c r="AJ88" s="758"/>
      <c r="AK88" s="758"/>
      <c r="AL88" s="758"/>
      <c r="AM88" s="758"/>
      <c r="AN88" s="758"/>
      <c r="AO88" s="758"/>
      <c r="AP88" s="758"/>
      <c r="AQ88" s="758"/>
      <c r="AR88" s="758"/>
      <c r="AS88" s="758"/>
      <c r="AT88" s="758"/>
      <c r="AU88" s="758"/>
      <c r="AV88" s="758"/>
      <c r="AW88" s="758"/>
      <c r="AX88" s="758"/>
      <c r="AY88" s="758"/>
      <c r="AZ88" s="758"/>
      <c r="BA88" s="758"/>
      <c r="BC88" s="758"/>
      <c r="BD88" s="758"/>
      <c r="BE88" s="758"/>
      <c r="BF88" s="758"/>
      <c r="BG88" s="758"/>
      <c r="BH88" s="758"/>
      <c r="BI88" s="758"/>
      <c r="BJ88" s="758"/>
      <c r="BK88" s="758"/>
      <c r="BL88" s="758"/>
      <c r="BM88" s="758"/>
      <c r="BN88" s="758"/>
      <c r="BO88" s="758"/>
      <c r="BP88" s="758"/>
      <c r="BR88" s="758"/>
      <c r="BS88" s="758"/>
      <c r="BT88" s="758"/>
      <c r="BU88" s="758"/>
    </row>
    <row r="89" spans="1:104" x14ac:dyDescent="0.25">
      <c r="A89" s="691" t="str">
        <f>'HyARC Physical Property Data'!A73</f>
        <v>Residential Natural Gas</v>
      </c>
      <c r="B89">
        <v>2012</v>
      </c>
      <c r="C89" s="692">
        <f t="shared" ref="C89:C100" si="221">VLOOKUP(ref_year,DeflatorTable,2,FALSE)/VLOOKUP(B89,DeflatorTable,2,FALSE)</f>
        <v>1.0573833607504113</v>
      </c>
      <c r="D89" s="974" t="str">
        <f>'HyARC Physical Property Data'!H73</f>
        <v>mmBtu</v>
      </c>
      <c r="E89" s="692" t="s">
        <v>1031</v>
      </c>
      <c r="F89">
        <f>'HyARC Physical Property Data'!$E$6</f>
        <v>47.141269049911173</v>
      </c>
      <c r="G89">
        <f>'HyARC Physical Property Data'!$I$6</f>
        <v>52.224661236371581</v>
      </c>
      <c r="H89" s="802">
        <v>12.595706345448797</v>
      </c>
      <c r="I89" s="802">
        <v>12.595706345448797</v>
      </c>
      <c r="J89" s="802">
        <v>12.595706345448797</v>
      </c>
      <c r="K89" s="802">
        <v>12.595706345448797</v>
      </c>
      <c r="L89" s="802">
        <v>13.121338604068761</v>
      </c>
      <c r="M89" s="802">
        <v>11.086947084595193</v>
      </c>
      <c r="N89" s="802">
        <v>10.600250548835966</v>
      </c>
      <c r="O89" s="758">
        <f t="shared" ref="O89:AR89" si="222">O106*($C89/mmBTU_to_GJ*$G89/$F89)</f>
        <v>12.191092687749757</v>
      </c>
      <c r="P89" s="758">
        <f t="shared" si="222"/>
        <v>11.61240672324179</v>
      </c>
      <c r="Q89" s="758">
        <f t="shared" si="222"/>
        <v>11.532824509346533</v>
      </c>
      <c r="R89" s="758">
        <f t="shared" si="222"/>
        <v>12.433025993412414</v>
      </c>
      <c r="S89" s="758">
        <f t="shared" si="222"/>
        <v>12.210932169261609</v>
      </c>
      <c r="T89" s="758">
        <f t="shared" si="222"/>
        <v>11.863496968910505</v>
      </c>
      <c r="U89" s="758">
        <f t="shared" si="222"/>
        <v>12.225430935188502</v>
      </c>
      <c r="V89" s="758">
        <f t="shared" si="222"/>
        <v>12.719978977683732</v>
      </c>
      <c r="W89" s="758">
        <f t="shared" si="222"/>
        <v>12.909977432874298</v>
      </c>
      <c r="X89" s="758">
        <f t="shared" si="222"/>
        <v>12.870974664401787</v>
      </c>
      <c r="Y89" s="758">
        <f t="shared" si="222"/>
        <v>13.107127561470831</v>
      </c>
      <c r="Z89" s="758">
        <f t="shared" si="222"/>
        <v>13.208746611585347</v>
      </c>
      <c r="AA89" s="758">
        <f t="shared" si="222"/>
        <v>13.387263083436196</v>
      </c>
      <c r="AB89" s="758">
        <f t="shared" si="222"/>
        <v>13.662847338627605</v>
      </c>
      <c r="AC89" s="758">
        <f t="shared" si="222"/>
        <v>13.851960856121453</v>
      </c>
      <c r="AD89" s="758">
        <f t="shared" si="222"/>
        <v>13.96794321118545</v>
      </c>
      <c r="AE89" s="758">
        <f t="shared" si="222"/>
        <v>14.119468528118476</v>
      </c>
      <c r="AF89" s="758">
        <f t="shared" si="222"/>
        <v>14.321017807473346</v>
      </c>
      <c r="AG89" s="758">
        <f t="shared" si="222"/>
        <v>14.638900308030435</v>
      </c>
      <c r="AH89" s="758">
        <f t="shared" si="222"/>
        <v>14.992739925739963</v>
      </c>
      <c r="AI89" s="758">
        <f t="shared" si="222"/>
        <v>15.156051458043953</v>
      </c>
      <c r="AJ89" s="758">
        <f t="shared" si="222"/>
        <v>15.225075488052026</v>
      </c>
      <c r="AK89" s="758">
        <f t="shared" si="222"/>
        <v>15.481925045932627</v>
      </c>
      <c r="AL89" s="758">
        <f t="shared" si="222"/>
        <v>15.921613613246663</v>
      </c>
      <c r="AM89" s="758">
        <f t="shared" si="222"/>
        <v>16.217219445034317</v>
      </c>
      <c r="AN89" s="758">
        <f t="shared" si="222"/>
        <v>16.649245584437377</v>
      </c>
      <c r="AO89" s="758">
        <f t="shared" si="222"/>
        <v>16.824194547104348</v>
      </c>
      <c r="AP89" s="758">
        <f t="shared" si="222"/>
        <v>16.965891170823646</v>
      </c>
      <c r="AQ89" s="758">
        <f t="shared" si="222"/>
        <v>17.341637715454421</v>
      </c>
      <c r="AR89" s="758">
        <f t="shared" si="222"/>
        <v>17.740732402979265</v>
      </c>
      <c r="AS89" s="758">
        <f>($BB89-$AR89)/10+AR89</f>
        <v>17.791465746273797</v>
      </c>
      <c r="AT89" s="758">
        <f t="shared" ref="AT89:BA89" si="223">($BB89-$AR89)/10+AS89</f>
        <v>17.842199089568329</v>
      </c>
      <c r="AU89" s="758">
        <f t="shared" si="223"/>
        <v>17.89293243286286</v>
      </c>
      <c r="AV89" s="758">
        <f t="shared" si="223"/>
        <v>17.943665776157392</v>
      </c>
      <c r="AW89" s="758">
        <f t="shared" si="223"/>
        <v>17.994399119451923</v>
      </c>
      <c r="AX89" s="758">
        <f t="shared" si="223"/>
        <v>18.045132462746455</v>
      </c>
      <c r="AY89" s="758">
        <f t="shared" si="223"/>
        <v>18.095865806040987</v>
      </c>
      <c r="AZ89" s="758">
        <f t="shared" si="223"/>
        <v>18.146599149335518</v>
      </c>
      <c r="BA89" s="758">
        <f t="shared" si="223"/>
        <v>18.19733249263005</v>
      </c>
      <c r="BB89" s="760">
        <f>'AEO Data'!$B$30*AM89</f>
        <v>18.248065835924574</v>
      </c>
      <c r="BC89" s="758">
        <f t="shared" ref="BC89:BP92" si="224">($BQ89-$BB89)/15+BB89</f>
        <v>18.396757114031804</v>
      </c>
      <c r="BD89" s="758">
        <f t="shared" si="224"/>
        <v>18.545448392139033</v>
      </c>
      <c r="BE89" s="758">
        <f t="shared" si="224"/>
        <v>18.694139670246262</v>
      </c>
      <c r="BF89" s="758">
        <f t="shared" si="224"/>
        <v>18.842830948353491</v>
      </c>
      <c r="BG89" s="758">
        <f t="shared" si="224"/>
        <v>18.99152222646072</v>
      </c>
      <c r="BH89" s="758">
        <f t="shared" si="224"/>
        <v>19.140213504567949</v>
      </c>
      <c r="BI89" s="758">
        <f t="shared" si="224"/>
        <v>19.288904782675178</v>
      </c>
      <c r="BJ89" s="758">
        <f t="shared" si="224"/>
        <v>19.437596060782408</v>
      </c>
      <c r="BK89" s="758">
        <f t="shared" si="224"/>
        <v>19.586287338889637</v>
      </c>
      <c r="BL89" s="758">
        <f t="shared" si="224"/>
        <v>19.734978616996866</v>
      </c>
      <c r="BM89" s="758">
        <f t="shared" si="224"/>
        <v>19.883669895104095</v>
      </c>
      <c r="BN89" s="758">
        <f t="shared" si="224"/>
        <v>20.032361173211324</v>
      </c>
      <c r="BO89" s="758">
        <f t="shared" si="224"/>
        <v>20.181052451318553</v>
      </c>
      <c r="BP89" s="758">
        <f t="shared" si="224"/>
        <v>20.329743729425783</v>
      </c>
      <c r="BQ89" s="760">
        <f>'AEO Data'!$C$30*BB89</f>
        <v>20.478435007533015</v>
      </c>
      <c r="BR89" s="758">
        <f t="shared" ref="BR89:BU92" si="225">($BV89-$BQ89)/5+BQ89</f>
        <v>20.595487067510991</v>
      </c>
      <c r="BS89" s="758">
        <f t="shared" si="225"/>
        <v>20.712539127488967</v>
      </c>
      <c r="BT89" s="758">
        <f t="shared" si="225"/>
        <v>20.829591187466942</v>
      </c>
      <c r="BU89" s="758">
        <f t="shared" si="225"/>
        <v>20.946643247444918</v>
      </c>
      <c r="BV89" s="761">
        <f>'AEO Data'!$D$30*BQ89</f>
        <v>21.063695307422901</v>
      </c>
      <c r="BW89" s="1013">
        <f>+BV89*BW$133/BV$133</f>
        <v>21.133632969420677</v>
      </c>
      <c r="BX89" s="1013">
        <f t="shared" ref="BX89:CZ89" si="226">+BW89*BX$133/BW$133</f>
        <v>21.203802845020782</v>
      </c>
      <c r="BY89" s="1013">
        <f t="shared" si="226"/>
        <v>21.274205705240661</v>
      </c>
      <c r="BZ89" s="1013">
        <f t="shared" si="226"/>
        <v>21.344842323657751</v>
      </c>
      <c r="CA89" s="1013">
        <f t="shared" si="226"/>
        <v>21.415713476418006</v>
      </c>
      <c r="CB89" s="1013">
        <f t="shared" si="226"/>
        <v>21.461413072202582</v>
      </c>
      <c r="CC89" s="1013">
        <f t="shared" si="226"/>
        <v>21.507210187645192</v>
      </c>
      <c r="CD89" s="1013">
        <f t="shared" si="226"/>
        <v>21.553105030845796</v>
      </c>
      <c r="CE89" s="1013">
        <f t="shared" si="226"/>
        <v>21.599097810348415</v>
      </c>
      <c r="CF89" s="1013">
        <f t="shared" si="226"/>
        <v>21.645188735142085</v>
      </c>
      <c r="CG89" s="1013">
        <f t="shared" si="226"/>
        <v>21.66015416604937</v>
      </c>
      <c r="CH89" s="1013">
        <f t="shared" si="226"/>
        <v>21.675129944019229</v>
      </c>
      <c r="CI89" s="1013">
        <f t="shared" si="226"/>
        <v>21.690116076205594</v>
      </c>
      <c r="CJ89" s="1013">
        <f t="shared" si="226"/>
        <v>21.705112569767344</v>
      </c>
      <c r="CK89" s="1013">
        <f t="shared" si="226"/>
        <v>21.720119431868312</v>
      </c>
      <c r="CL89" s="1013">
        <f t="shared" si="226"/>
        <v>21.725206091961226</v>
      </c>
      <c r="CM89" s="1013">
        <f t="shared" si="226"/>
        <v>21.730293943305</v>
      </c>
      <c r="CN89" s="1013">
        <f t="shared" si="226"/>
        <v>21.73538298617861</v>
      </c>
      <c r="CO89" s="1013">
        <f t="shared" si="226"/>
        <v>21.740473220861105</v>
      </c>
      <c r="CP89" s="1013">
        <f t="shared" si="226"/>
        <v>21.745564647631596</v>
      </c>
      <c r="CQ89" s="1013">
        <f t="shared" si="226"/>
        <v>21.753281193740353</v>
      </c>
      <c r="CR89" s="1013">
        <f t="shared" si="226"/>
        <v>21.761000478112514</v>
      </c>
      <c r="CS89" s="1013">
        <f t="shared" si="226"/>
        <v>21.768722501719765</v>
      </c>
      <c r="CT89" s="1013">
        <f t="shared" si="226"/>
        <v>21.776447265534141</v>
      </c>
      <c r="CU89" s="1013">
        <f t="shared" si="226"/>
        <v>21.784174770528026</v>
      </c>
      <c r="CV89" s="1013">
        <f t="shared" si="226"/>
        <v>21.796067433429702</v>
      </c>
      <c r="CW89" s="1013">
        <f t="shared" si="226"/>
        <v>21.807966588908322</v>
      </c>
      <c r="CX89" s="1013">
        <f t="shared" si="226"/>
        <v>21.819872240508388</v>
      </c>
      <c r="CY89" s="1013">
        <f t="shared" si="226"/>
        <v>21.831784391776338</v>
      </c>
      <c r="CZ89" s="1013">
        <f t="shared" si="226"/>
        <v>21.84370304626054</v>
      </c>
    </row>
    <row r="90" spans="1:104" x14ac:dyDescent="0.25">
      <c r="A90" s="691" t="str">
        <f>'HyARC Physical Property Data'!A71</f>
        <v>Commercial Natural Gas</v>
      </c>
      <c r="B90">
        <v>2012</v>
      </c>
      <c r="C90" s="692">
        <f t="shared" si="221"/>
        <v>1.0573833607504113</v>
      </c>
      <c r="D90" s="974" t="str">
        <f>'HyARC Physical Property Data'!H71</f>
        <v>mmBtu</v>
      </c>
      <c r="E90" s="692" t="s">
        <v>1031</v>
      </c>
      <c r="F90">
        <f>'HyARC Physical Property Data'!$E$6</f>
        <v>47.141269049911173</v>
      </c>
      <c r="G90">
        <f>'HyARC Physical Property Data'!$I$6</f>
        <v>52.224661236371581</v>
      </c>
      <c r="H90" s="803">
        <v>10.902002401006685</v>
      </c>
      <c r="I90" s="803">
        <v>10.902002401006685</v>
      </c>
      <c r="J90" s="803">
        <v>10.902002401006685</v>
      </c>
      <c r="K90" s="803">
        <v>10.902002401006685</v>
      </c>
      <c r="L90" s="803">
        <v>11.622313273930342</v>
      </c>
      <c r="M90" s="803">
        <v>8.8092072972420112</v>
      </c>
      <c r="N90" s="803">
        <v>8.4393179300649965</v>
      </c>
      <c r="O90">
        <f t="shared" ref="O90:AR90" si="227">O107*($C90/mmBTU_to_GJ*$G90/$F90)</f>
        <v>9.9495366192776444</v>
      </c>
      <c r="P90">
        <f t="shared" si="227"/>
        <v>9.0080039923979545</v>
      </c>
      <c r="Q90">
        <f t="shared" si="227"/>
        <v>9.2291706860885867</v>
      </c>
      <c r="R90">
        <f t="shared" si="227"/>
        <v>10.088576209235033</v>
      </c>
      <c r="S90">
        <f t="shared" si="227"/>
        <v>9.9025871769087672</v>
      </c>
      <c r="T90">
        <f t="shared" si="227"/>
        <v>9.6855387189987159</v>
      </c>
      <c r="U90">
        <f t="shared" si="227"/>
        <v>10.001081741855701</v>
      </c>
      <c r="V90">
        <f t="shared" si="227"/>
        <v>10.447347938925514</v>
      </c>
      <c r="W90">
        <f t="shared" si="227"/>
        <v>10.599788172624031</v>
      </c>
      <c r="X90">
        <f t="shared" si="227"/>
        <v>10.53794690542658</v>
      </c>
      <c r="Y90">
        <f t="shared" si="227"/>
        <v>10.753568581730253</v>
      </c>
      <c r="Z90">
        <f t="shared" si="227"/>
        <v>10.835192703309655</v>
      </c>
      <c r="AA90">
        <f t="shared" si="227"/>
        <v>10.990940627596027</v>
      </c>
      <c r="AB90">
        <f t="shared" si="227"/>
        <v>11.244415874735946</v>
      </c>
      <c r="AC90">
        <f t="shared" si="227"/>
        <v>11.421938595973796</v>
      </c>
      <c r="AD90">
        <f t="shared" si="227"/>
        <v>11.526345699484116</v>
      </c>
      <c r="AE90">
        <f t="shared" si="227"/>
        <v>11.655064717432735</v>
      </c>
      <c r="AF90">
        <f t="shared" si="227"/>
        <v>11.833099303511471</v>
      </c>
      <c r="AG90">
        <f t="shared" si="227"/>
        <v>12.114892556946344</v>
      </c>
      <c r="AH90">
        <f t="shared" si="227"/>
        <v>12.427240033139398</v>
      </c>
      <c r="AI90">
        <f t="shared" si="227"/>
        <v>12.540484299922209</v>
      </c>
      <c r="AJ90">
        <f t="shared" si="227"/>
        <v>12.538704431505849</v>
      </c>
      <c r="AK90">
        <f t="shared" si="227"/>
        <v>12.7448604944287</v>
      </c>
      <c r="AL90">
        <f t="shared" si="227"/>
        <v>13.044138206972995</v>
      </c>
      <c r="AM90">
        <f t="shared" si="227"/>
        <v>13.272322223428063</v>
      </c>
      <c r="AN90">
        <f t="shared" si="227"/>
        <v>13.616748413543148</v>
      </c>
      <c r="AO90">
        <f t="shared" si="227"/>
        <v>13.732951725447354</v>
      </c>
      <c r="AP90">
        <f t="shared" si="227"/>
        <v>13.833902353361841</v>
      </c>
      <c r="AQ90">
        <f t="shared" si="227"/>
        <v>14.16332901606795</v>
      </c>
      <c r="AR90">
        <f t="shared" si="227"/>
        <v>14.520292008609179</v>
      </c>
      <c r="AS90">
        <f t="shared" ref="AS90:BA90" si="228">($BB90-$AR90)/10+AR90</f>
        <v>14.561701375004496</v>
      </c>
      <c r="AT90">
        <f t="shared" si="228"/>
        <v>14.603110741399814</v>
      </c>
      <c r="AU90">
        <f t="shared" si="228"/>
        <v>14.644520107795131</v>
      </c>
      <c r="AV90">
        <f t="shared" si="228"/>
        <v>14.685929474190448</v>
      </c>
      <c r="AW90">
        <f t="shared" si="228"/>
        <v>14.727338840585766</v>
      </c>
      <c r="AX90">
        <f t="shared" si="228"/>
        <v>14.768748206981083</v>
      </c>
      <c r="AY90">
        <f t="shared" si="228"/>
        <v>14.810157573376401</v>
      </c>
      <c r="AZ90">
        <f t="shared" si="228"/>
        <v>14.851566939771718</v>
      </c>
      <c r="BA90">
        <f t="shared" si="228"/>
        <v>14.892976306167036</v>
      </c>
      <c r="BB90" s="741">
        <f>'AEO Data'!$B$30*AM90</f>
        <v>14.934385672562355</v>
      </c>
      <c r="BC90">
        <f t="shared" si="224"/>
        <v>15.056075988312308</v>
      </c>
      <c r="BD90">
        <f t="shared" si="224"/>
        <v>15.177766304062262</v>
      </c>
      <c r="BE90">
        <f t="shared" si="224"/>
        <v>15.299456619812215</v>
      </c>
      <c r="BF90">
        <f t="shared" si="224"/>
        <v>15.421146935562168</v>
      </c>
      <c r="BG90">
        <f t="shared" si="224"/>
        <v>15.542837251312122</v>
      </c>
      <c r="BH90">
        <f t="shared" si="224"/>
        <v>15.664527567062075</v>
      </c>
      <c r="BI90">
        <f t="shared" si="224"/>
        <v>15.786217882812029</v>
      </c>
      <c r="BJ90">
        <f t="shared" si="224"/>
        <v>15.907908198561982</v>
      </c>
      <c r="BK90">
        <f t="shared" si="224"/>
        <v>16.029598514311935</v>
      </c>
      <c r="BL90">
        <f t="shared" si="224"/>
        <v>16.151288830061887</v>
      </c>
      <c r="BM90">
        <f t="shared" si="224"/>
        <v>16.272979145811838</v>
      </c>
      <c r="BN90">
        <f t="shared" si="224"/>
        <v>16.39466946156179</v>
      </c>
      <c r="BO90">
        <f t="shared" si="224"/>
        <v>16.516359777311742</v>
      </c>
      <c r="BP90">
        <f t="shared" si="224"/>
        <v>16.638050093061693</v>
      </c>
      <c r="BQ90" s="741">
        <f>'AEO Data'!$C$30*BB90</f>
        <v>16.759740408811648</v>
      </c>
      <c r="BR90">
        <f t="shared" si="225"/>
        <v>16.855536896132378</v>
      </c>
      <c r="BS90">
        <f t="shared" si="225"/>
        <v>16.951333383453107</v>
      </c>
      <c r="BT90">
        <f t="shared" si="225"/>
        <v>17.047129870773837</v>
      </c>
      <c r="BU90">
        <f t="shared" si="225"/>
        <v>17.142926358094567</v>
      </c>
      <c r="BV90" s="762">
        <f>'AEO Data'!$D$30*BQ90</f>
        <v>17.238722845415303</v>
      </c>
      <c r="BW90" s="1013">
        <f>+BV90*BW$134/BV$134</f>
        <v>17.295960474142827</v>
      </c>
      <c r="BX90" s="1013">
        <f t="shared" ref="BX90:CZ90" si="229">+BW90*BX$134/BW$134</f>
        <v>17.353388148627904</v>
      </c>
      <c r="BY90" s="1013">
        <f t="shared" si="229"/>
        <v>17.411006499878322</v>
      </c>
      <c r="BZ90" s="1013">
        <f t="shared" si="229"/>
        <v>17.468816160997019</v>
      </c>
      <c r="CA90" s="1013">
        <f t="shared" si="229"/>
        <v>17.526817767189005</v>
      </c>
      <c r="CB90" s="1013">
        <f t="shared" si="229"/>
        <v>17.564218738594064</v>
      </c>
      <c r="CC90" s="1013">
        <f t="shared" si="229"/>
        <v>17.601699520988237</v>
      </c>
      <c r="CD90" s="1013">
        <f t="shared" si="229"/>
        <v>17.63926028468245</v>
      </c>
      <c r="CE90" s="1013">
        <f t="shared" si="229"/>
        <v>17.676901200351057</v>
      </c>
      <c r="CF90" s="1013">
        <f t="shared" si="229"/>
        <v>17.71462243903262</v>
      </c>
      <c r="CG90" s="1013">
        <f t="shared" si="229"/>
        <v>17.726870285951581</v>
      </c>
      <c r="CH90" s="1013">
        <f t="shared" si="229"/>
        <v>17.739126601002145</v>
      </c>
      <c r="CI90" s="1013">
        <f t="shared" si="229"/>
        <v>17.751391390039156</v>
      </c>
      <c r="CJ90" s="1013">
        <f t="shared" si="229"/>
        <v>17.763664658921517</v>
      </c>
      <c r="CK90" s="1013">
        <f t="shared" si="229"/>
        <v>17.775946413512166</v>
      </c>
      <c r="CL90" s="1013">
        <f t="shared" si="229"/>
        <v>17.78010938312746</v>
      </c>
      <c r="CM90" s="1013">
        <f t="shared" si="229"/>
        <v>17.784273327673461</v>
      </c>
      <c r="CN90" s="1013">
        <f t="shared" si="229"/>
        <v>17.78843824737849</v>
      </c>
      <c r="CO90" s="1013">
        <f t="shared" si="229"/>
        <v>17.792604142470921</v>
      </c>
      <c r="CP90" s="1013">
        <f t="shared" si="229"/>
        <v>17.796771013179182</v>
      </c>
      <c r="CQ90" s="1013">
        <f t="shared" si="229"/>
        <v>17.803086305807149</v>
      </c>
      <c r="CR90" s="1013">
        <f t="shared" si="229"/>
        <v>17.809403839455182</v>
      </c>
      <c r="CS90" s="1013">
        <f t="shared" si="229"/>
        <v>17.815723614918522</v>
      </c>
      <c r="CT90" s="1013">
        <f t="shared" si="229"/>
        <v>17.82204563299269</v>
      </c>
      <c r="CU90" s="1013">
        <f t="shared" si="229"/>
        <v>17.828369894473493</v>
      </c>
      <c r="CV90" s="1013">
        <f t="shared" si="229"/>
        <v>17.838102959667598</v>
      </c>
      <c r="CW90" s="1013">
        <f t="shared" si="229"/>
        <v>17.84784133844666</v>
      </c>
      <c r="CX90" s="1013">
        <f t="shared" si="229"/>
        <v>17.85758503371153</v>
      </c>
      <c r="CY90" s="1013">
        <f t="shared" si="229"/>
        <v>17.867334048364647</v>
      </c>
      <c r="CZ90" s="1013">
        <f t="shared" si="229"/>
        <v>17.877088385310028</v>
      </c>
    </row>
    <row r="91" spans="1:104" x14ac:dyDescent="0.25">
      <c r="A91" s="691" t="str">
        <f>'HyARC Physical Property Data'!A72</f>
        <v>Industrial Natural Gas</v>
      </c>
      <c r="B91">
        <v>2012</v>
      </c>
      <c r="C91" s="692">
        <f t="shared" si="221"/>
        <v>1.0573833607504113</v>
      </c>
      <c r="D91" s="974" t="str">
        <f>'HyARC Physical Property Data'!H72</f>
        <v>mmBtu</v>
      </c>
      <c r="E91" s="692" t="s">
        <v>1031</v>
      </c>
      <c r="F91">
        <f>'HyARC Physical Property Data'!$E$6</f>
        <v>47.141269049911173</v>
      </c>
      <c r="G91">
        <f>'HyARC Physical Property Data'!$I$6</f>
        <v>52.224661236371581</v>
      </c>
      <c r="H91" s="803">
        <v>7.3783194821098821</v>
      </c>
      <c r="I91" s="803">
        <v>7.3783194821098821</v>
      </c>
      <c r="J91" s="803">
        <v>7.3783194821098821</v>
      </c>
      <c r="K91" s="803">
        <v>7.3783194821098821</v>
      </c>
      <c r="L91" s="803">
        <v>8.8676108815331158</v>
      </c>
      <c r="M91" s="803">
        <v>4.0882509003775072</v>
      </c>
      <c r="N91" s="803">
        <v>4.7404242582948717</v>
      </c>
      <c r="O91">
        <f t="shared" ref="O91:AR91" si="230">O108*($C91/mmBTU_to_GJ*$G91/$F91)</f>
        <v>5.655737860285754</v>
      </c>
      <c r="P91">
        <f t="shared" si="230"/>
        <v>4.1875429462406233</v>
      </c>
      <c r="Q91">
        <f t="shared" si="230"/>
        <v>5.101776855163612</v>
      </c>
      <c r="R91">
        <f t="shared" si="230"/>
        <v>5.3291370023953855</v>
      </c>
      <c r="S91">
        <f t="shared" si="230"/>
        <v>5.4842809039627953</v>
      </c>
      <c r="T91">
        <f t="shared" si="230"/>
        <v>5.7166186869466191</v>
      </c>
      <c r="U91">
        <f t="shared" si="230"/>
        <v>6.0244693028238556</v>
      </c>
      <c r="V91">
        <f t="shared" si="230"/>
        <v>6.490891427131448</v>
      </c>
      <c r="W91">
        <f t="shared" si="230"/>
        <v>6.6038403445700586</v>
      </c>
      <c r="X91">
        <f t="shared" si="230"/>
        <v>6.4314251683822734</v>
      </c>
      <c r="Y91">
        <f t="shared" si="230"/>
        <v>6.5896202729491558</v>
      </c>
      <c r="Z91">
        <f t="shared" si="230"/>
        <v>6.6115305308780448</v>
      </c>
      <c r="AA91">
        <f t="shared" si="230"/>
        <v>6.7200414358025036</v>
      </c>
      <c r="AB91">
        <f t="shared" si="230"/>
        <v>6.9144745724995795</v>
      </c>
      <c r="AC91">
        <f t="shared" si="230"/>
        <v>7.0183809145278193</v>
      </c>
      <c r="AD91">
        <f t="shared" si="230"/>
        <v>7.0574158827408624</v>
      </c>
      <c r="AE91">
        <f t="shared" si="230"/>
        <v>7.1387235585943367</v>
      </c>
      <c r="AF91">
        <f t="shared" si="230"/>
        <v>7.2521565824768235</v>
      </c>
      <c r="AG91">
        <f t="shared" si="230"/>
        <v>7.4789127069896324</v>
      </c>
      <c r="AH91">
        <f t="shared" si="230"/>
        <v>7.7602540537211651</v>
      </c>
      <c r="AI91">
        <f t="shared" si="230"/>
        <v>7.8876606546590935</v>
      </c>
      <c r="AJ91">
        <f t="shared" si="230"/>
        <v>8.02124849544348</v>
      </c>
      <c r="AK91">
        <f t="shared" si="230"/>
        <v>8.2390597541033976</v>
      </c>
      <c r="AL91">
        <f t="shared" si="230"/>
        <v>8.4081761223903708</v>
      </c>
      <c r="AM91">
        <f t="shared" si="230"/>
        <v>8.613534964151059</v>
      </c>
      <c r="AN91">
        <f t="shared" si="230"/>
        <v>8.930664656981202</v>
      </c>
      <c r="AO91">
        <f t="shared" si="230"/>
        <v>8.9872951178917102</v>
      </c>
      <c r="AP91">
        <f t="shared" si="230"/>
        <v>9.0273060713436681</v>
      </c>
      <c r="AQ91">
        <f t="shared" si="230"/>
        <v>9.2571600329629291</v>
      </c>
      <c r="AR91">
        <f t="shared" si="230"/>
        <v>9.5415659067244984</v>
      </c>
      <c r="AS91">
        <f t="shared" ref="AS91:BA91" si="231">($BB91-$AR91)/10+AR91</f>
        <v>9.5566281987255213</v>
      </c>
      <c r="AT91">
        <f t="shared" si="231"/>
        <v>9.5716904907265441</v>
      </c>
      <c r="AU91">
        <f t="shared" si="231"/>
        <v>9.5867527827275669</v>
      </c>
      <c r="AV91">
        <f t="shared" si="231"/>
        <v>9.6018150747285897</v>
      </c>
      <c r="AW91">
        <f t="shared" si="231"/>
        <v>9.6168773667296126</v>
      </c>
      <c r="AX91">
        <f t="shared" si="231"/>
        <v>9.6319396587306354</v>
      </c>
      <c r="AY91">
        <f t="shared" si="231"/>
        <v>9.6470019507316582</v>
      </c>
      <c r="AZ91">
        <f t="shared" si="231"/>
        <v>9.6620642427326811</v>
      </c>
      <c r="BA91">
        <f t="shared" si="231"/>
        <v>9.6771265347337039</v>
      </c>
      <c r="BB91" s="741">
        <f>'AEO Data'!$B$30*AM91</f>
        <v>9.6921888267347267</v>
      </c>
      <c r="BC91">
        <f t="shared" si="224"/>
        <v>9.7711639881168519</v>
      </c>
      <c r="BD91">
        <f t="shared" si="224"/>
        <v>9.8501391494989772</v>
      </c>
      <c r="BE91">
        <f t="shared" si="224"/>
        <v>9.9291143108811024</v>
      </c>
      <c r="BF91">
        <f t="shared" si="224"/>
        <v>10.008089472263228</v>
      </c>
      <c r="BG91">
        <f t="shared" si="224"/>
        <v>10.087064633645353</v>
      </c>
      <c r="BH91">
        <f t="shared" si="224"/>
        <v>10.166039795027478</v>
      </c>
      <c r="BI91">
        <f t="shared" si="224"/>
        <v>10.245014956409603</v>
      </c>
      <c r="BJ91">
        <f t="shared" si="224"/>
        <v>10.323990117791729</v>
      </c>
      <c r="BK91">
        <f t="shared" si="224"/>
        <v>10.402965279173854</v>
      </c>
      <c r="BL91">
        <f t="shared" si="224"/>
        <v>10.481940440555979</v>
      </c>
      <c r="BM91">
        <f t="shared" si="224"/>
        <v>10.560915601938104</v>
      </c>
      <c r="BN91">
        <f t="shared" si="224"/>
        <v>10.63989076332023</v>
      </c>
      <c r="BO91">
        <f t="shared" si="224"/>
        <v>10.718865924702355</v>
      </c>
      <c r="BP91">
        <f t="shared" si="224"/>
        <v>10.79784108608448</v>
      </c>
      <c r="BQ91" s="741">
        <f>'AEO Data'!$C$30*BB91</f>
        <v>10.876816247466609</v>
      </c>
      <c r="BR91">
        <f t="shared" si="225"/>
        <v>10.938986708602901</v>
      </c>
      <c r="BS91">
        <f t="shared" si="225"/>
        <v>11.001157169739193</v>
      </c>
      <c r="BT91">
        <f t="shared" si="225"/>
        <v>11.063327630875484</v>
      </c>
      <c r="BU91">
        <f t="shared" si="225"/>
        <v>11.125498092011776</v>
      </c>
      <c r="BV91" s="762">
        <f>'AEO Data'!$D$30*BQ91</f>
        <v>11.187668553148065</v>
      </c>
      <c r="BW91" s="1013">
        <f>+BV91*BW$135/BV$135</f>
        <v>11.224814902370914</v>
      </c>
      <c r="BX91" s="1013">
        <f t="shared" ref="BX91:CZ91" si="232">+BW91*BX$135/BW$135</f>
        <v>11.262084588395711</v>
      </c>
      <c r="BY91" s="1013">
        <f t="shared" si="232"/>
        <v>11.299478020736903</v>
      </c>
      <c r="BZ91" s="1013">
        <f t="shared" si="232"/>
        <v>11.336995610268644</v>
      </c>
      <c r="CA91" s="1013">
        <f t="shared" si="232"/>
        <v>11.37463776922932</v>
      </c>
      <c r="CB91" s="1013">
        <f t="shared" si="232"/>
        <v>11.398910429994142</v>
      </c>
      <c r="CC91" s="1013">
        <f t="shared" si="232"/>
        <v>11.42323488687525</v>
      </c>
      <c r="CD91" s="1013">
        <f t="shared" si="232"/>
        <v>11.447611250401838</v>
      </c>
      <c r="CE91" s="1013">
        <f t="shared" si="232"/>
        <v>11.472039631338966</v>
      </c>
      <c r="CF91" s="1013">
        <f t="shared" si="232"/>
        <v>11.496520140688052</v>
      </c>
      <c r="CG91" s="1013">
        <f t="shared" si="232"/>
        <v>11.504468806784013</v>
      </c>
      <c r="CH91" s="1013">
        <f t="shared" si="232"/>
        <v>11.512422968568401</v>
      </c>
      <c r="CI91" s="1013">
        <f t="shared" si="232"/>
        <v>11.520382629840926</v>
      </c>
      <c r="CJ91" s="1013">
        <f t="shared" si="232"/>
        <v>11.528347794403915</v>
      </c>
      <c r="CK91" s="1013">
        <f t="shared" si="232"/>
        <v>11.536318466062333</v>
      </c>
      <c r="CL91" s="1013">
        <f t="shared" si="232"/>
        <v>11.539020169933924</v>
      </c>
      <c r="CM91" s="1013">
        <f t="shared" si="232"/>
        <v>11.541722506520692</v>
      </c>
      <c r="CN91" s="1013">
        <f t="shared" si="232"/>
        <v>11.544425475970817</v>
      </c>
      <c r="CO91" s="1013">
        <f t="shared" si="232"/>
        <v>11.54712907843251</v>
      </c>
      <c r="CP91" s="1013">
        <f t="shared" si="232"/>
        <v>11.549833314054016</v>
      </c>
      <c r="CQ91" s="1013">
        <f t="shared" si="232"/>
        <v>11.553931842777482</v>
      </c>
      <c r="CR91" s="1013">
        <f t="shared" si="232"/>
        <v>11.558031825888838</v>
      </c>
      <c r="CS91" s="1013">
        <f t="shared" si="232"/>
        <v>11.562133263904183</v>
      </c>
      <c r="CT91" s="1013">
        <f t="shared" si="232"/>
        <v>11.566236157339798</v>
      </c>
      <c r="CU91" s="1013">
        <f t="shared" si="232"/>
        <v>11.570340506712146</v>
      </c>
      <c r="CV91" s="1013">
        <f t="shared" si="232"/>
        <v>11.576657117772855</v>
      </c>
      <c r="CW91" s="1013">
        <f t="shared" si="232"/>
        <v>11.582977177269267</v>
      </c>
      <c r="CX91" s="1013">
        <f t="shared" si="232"/>
        <v>11.589300687083989</v>
      </c>
      <c r="CY91" s="1013">
        <f t="shared" si="232"/>
        <v>11.595627649100658</v>
      </c>
      <c r="CZ91" s="1013">
        <f t="shared" si="232"/>
        <v>11.60195806520394</v>
      </c>
    </row>
    <row r="92" spans="1:104" x14ac:dyDescent="0.25">
      <c r="A92" s="691" t="str">
        <f>'HyARC Physical Property Data'!A74</f>
        <v>Electric Utility Natural Gas</v>
      </c>
      <c r="B92">
        <v>2012</v>
      </c>
      <c r="C92" s="692">
        <f t="shared" si="221"/>
        <v>1.0573833607504113</v>
      </c>
      <c r="D92" s="974" t="str">
        <f>'HyARC Physical Property Data'!H74</f>
        <v>mmBtu</v>
      </c>
      <c r="E92" s="692" t="s">
        <v>1031</v>
      </c>
      <c r="F92">
        <f>'HyARC Physical Property Data'!$E$6</f>
        <v>47.141269049911173</v>
      </c>
      <c r="G92">
        <f>'HyARC Physical Property Data'!$I$6</f>
        <v>52.224661236371581</v>
      </c>
      <c r="H92" s="803">
        <v>7.0668336992239764</v>
      </c>
      <c r="I92" s="803">
        <v>7.0668336992239764</v>
      </c>
      <c r="J92" s="803">
        <v>7.0668336992239764</v>
      </c>
      <c r="K92" s="803">
        <v>7.0668336992239764</v>
      </c>
      <c r="L92" s="803">
        <v>8.8481430201027482</v>
      </c>
      <c r="M92" s="803">
        <v>4.0298473160863999</v>
      </c>
      <c r="N92" s="803">
        <v>4.7209563968645023</v>
      </c>
      <c r="O92">
        <f t="shared" ref="O92:AR92" si="233">O109*($C92/mmBTU_to_GJ*$G92/$F92)</f>
        <v>5.4205498450968195</v>
      </c>
      <c r="P92">
        <f t="shared" si="233"/>
        <v>3.8171937443247086</v>
      </c>
      <c r="Q92">
        <f t="shared" si="233"/>
        <v>4.7973527358134387</v>
      </c>
      <c r="R92">
        <f t="shared" si="233"/>
        <v>4.9625507287783099</v>
      </c>
      <c r="S92">
        <f t="shared" si="233"/>
        <v>4.9171202258938838</v>
      </c>
      <c r="T92">
        <f t="shared" si="233"/>
        <v>4.9685332185021656</v>
      </c>
      <c r="U92">
        <f t="shared" si="233"/>
        <v>5.2081048397471088</v>
      </c>
      <c r="V92">
        <f t="shared" si="233"/>
        <v>5.6206345914253779</v>
      </c>
      <c r="W92">
        <f t="shared" si="233"/>
        <v>5.7508958659119411</v>
      </c>
      <c r="X92">
        <f t="shared" si="233"/>
        <v>5.6343006054419362</v>
      </c>
      <c r="Y92">
        <f t="shared" si="233"/>
        <v>5.8207548685021111</v>
      </c>
      <c r="Z92">
        <f t="shared" si="233"/>
        <v>5.8784978859648298</v>
      </c>
      <c r="AA92">
        <f t="shared" si="233"/>
        <v>6.0180882025189186</v>
      </c>
      <c r="AB92">
        <f t="shared" si="233"/>
        <v>6.2425492627668415</v>
      </c>
      <c r="AC92">
        <f t="shared" si="233"/>
        <v>6.3929997745675973</v>
      </c>
      <c r="AD92">
        <f t="shared" si="233"/>
        <v>6.4554939192627536</v>
      </c>
      <c r="AE92">
        <f t="shared" si="233"/>
        <v>6.5567554412237641</v>
      </c>
      <c r="AF92">
        <f t="shared" si="233"/>
        <v>6.6927371661663972</v>
      </c>
      <c r="AG92">
        <f t="shared" si="233"/>
        <v>6.9326085780990629</v>
      </c>
      <c r="AH92">
        <f t="shared" si="233"/>
        <v>7.2098860955081534</v>
      </c>
      <c r="AI92">
        <f t="shared" si="233"/>
        <v>7.3471713547744324</v>
      </c>
      <c r="AJ92">
        <f t="shared" si="233"/>
        <v>7.468747582004128</v>
      </c>
      <c r="AK92">
        <f t="shared" si="233"/>
        <v>7.6952494396003139</v>
      </c>
      <c r="AL92">
        <f t="shared" si="233"/>
        <v>7.8732995703813753</v>
      </c>
      <c r="AM92">
        <f t="shared" si="233"/>
        <v>8.0908132590253317</v>
      </c>
      <c r="AN92">
        <f t="shared" si="233"/>
        <v>8.4061308836985837</v>
      </c>
      <c r="AO92">
        <f t="shared" si="233"/>
        <v>8.4723502052726456</v>
      </c>
      <c r="AP92">
        <f t="shared" si="233"/>
        <v>8.5254853288315022</v>
      </c>
      <c r="AQ92">
        <f t="shared" si="233"/>
        <v>8.7688220990470462</v>
      </c>
      <c r="AR92">
        <f t="shared" si="233"/>
        <v>9.0589717403181744</v>
      </c>
      <c r="AS92">
        <f t="shared" ref="AS92:BA92" si="234">($BB92-$AR92)/10+AR92</f>
        <v>9.0634753505716894</v>
      </c>
      <c r="AT92">
        <f t="shared" si="234"/>
        <v>9.0679789608252044</v>
      </c>
      <c r="AU92">
        <f t="shared" si="234"/>
        <v>9.0724825710787194</v>
      </c>
      <c r="AV92">
        <f t="shared" si="234"/>
        <v>9.0769861813322343</v>
      </c>
      <c r="AW92">
        <f t="shared" si="234"/>
        <v>9.0814897915857493</v>
      </c>
      <c r="AX92">
        <f t="shared" si="234"/>
        <v>9.0859934018392643</v>
      </c>
      <c r="AY92">
        <f t="shared" si="234"/>
        <v>9.0904970120927793</v>
      </c>
      <c r="AZ92">
        <f t="shared" si="234"/>
        <v>9.0950006223462943</v>
      </c>
      <c r="BA92">
        <f t="shared" si="234"/>
        <v>9.0995042325998092</v>
      </c>
      <c r="BB92" s="741">
        <f>'AEO Data'!$B$30*AM92</f>
        <v>9.1040078428533171</v>
      </c>
      <c r="BC92">
        <f t="shared" si="224"/>
        <v>9.178190310969315</v>
      </c>
      <c r="BD92">
        <f t="shared" si="224"/>
        <v>9.252372779085313</v>
      </c>
      <c r="BE92">
        <f t="shared" si="224"/>
        <v>9.3265552472013109</v>
      </c>
      <c r="BF92">
        <f t="shared" si="224"/>
        <v>9.4007377153173088</v>
      </c>
      <c r="BG92">
        <f t="shared" si="224"/>
        <v>9.4749201834333068</v>
      </c>
      <c r="BH92">
        <f t="shared" si="224"/>
        <v>9.5491026515493047</v>
      </c>
      <c r="BI92">
        <f t="shared" si="224"/>
        <v>9.6232851196653026</v>
      </c>
      <c r="BJ92">
        <f t="shared" si="224"/>
        <v>9.6974675877813006</v>
      </c>
      <c r="BK92">
        <f t="shared" si="224"/>
        <v>9.7716500558972985</v>
      </c>
      <c r="BL92">
        <f t="shared" si="224"/>
        <v>9.8458325240132964</v>
      </c>
      <c r="BM92">
        <f t="shared" si="224"/>
        <v>9.9200149921292944</v>
      </c>
      <c r="BN92">
        <f t="shared" si="224"/>
        <v>9.9941974602452923</v>
      </c>
      <c r="BO92">
        <f t="shared" si="224"/>
        <v>10.06837992836129</v>
      </c>
      <c r="BP92">
        <f t="shared" si="224"/>
        <v>10.142562396477288</v>
      </c>
      <c r="BQ92" s="741">
        <f>'AEO Data'!$C$30*BB92</f>
        <v>10.216744864593281</v>
      </c>
      <c r="BR92">
        <f t="shared" si="225"/>
        <v>10.275142443911728</v>
      </c>
      <c r="BS92">
        <f t="shared" si="225"/>
        <v>10.333540023230174</v>
      </c>
      <c r="BT92">
        <f t="shared" si="225"/>
        <v>10.391937602548621</v>
      </c>
      <c r="BU92">
        <f t="shared" si="225"/>
        <v>10.450335181867068</v>
      </c>
      <c r="BV92" s="762">
        <f>'AEO Data'!$D$30*BQ92</f>
        <v>10.508732761185513</v>
      </c>
      <c r="BW92" s="1013">
        <f>+BV92*BW$136/BV$136</f>
        <v>10.543624843944501</v>
      </c>
      <c r="BX92" s="1013">
        <f t="shared" ref="BX92:CZ92" si="235">+BW92*BX$136/BW$136</f>
        <v>10.578632778677932</v>
      </c>
      <c r="BY92" s="1013">
        <f t="shared" si="235"/>
        <v>10.613756950048424</v>
      </c>
      <c r="BZ92" s="1013">
        <f t="shared" si="235"/>
        <v>10.648997743995791</v>
      </c>
      <c r="CA92" s="1013">
        <f t="shared" si="235"/>
        <v>10.684355547741282</v>
      </c>
      <c r="CB92" s="1013">
        <f t="shared" si="235"/>
        <v>10.707155195779537</v>
      </c>
      <c r="CC92" s="1013">
        <f t="shared" si="235"/>
        <v>10.730003496630621</v>
      </c>
      <c r="CD92" s="1013">
        <f t="shared" si="235"/>
        <v>10.752900554116147</v>
      </c>
      <c r="CE92" s="1013">
        <f t="shared" si="235"/>
        <v>10.775846472279273</v>
      </c>
      <c r="CF92" s="1013">
        <f t="shared" si="235"/>
        <v>10.79884135538518</v>
      </c>
      <c r="CG92" s="1013">
        <f t="shared" si="235"/>
        <v>10.806307648063903</v>
      </c>
      <c r="CH92" s="1013">
        <f t="shared" si="235"/>
        <v>10.813779102919245</v>
      </c>
      <c r="CI92" s="1013">
        <f t="shared" si="235"/>
        <v>10.821255723520322</v>
      </c>
      <c r="CJ92" s="1013">
        <f t="shared" si="235"/>
        <v>10.828737513438721</v>
      </c>
      <c r="CK92" s="1013">
        <f t="shared" si="235"/>
        <v>10.836224476248493</v>
      </c>
      <c r="CL92" s="1013">
        <f t="shared" si="235"/>
        <v>10.838762224292379</v>
      </c>
      <c r="CM92" s="1013">
        <f t="shared" si="235"/>
        <v>10.841300566654439</v>
      </c>
      <c r="CN92" s="1013">
        <f t="shared" si="235"/>
        <v>10.843839503473856</v>
      </c>
      <c r="CO92" s="1013">
        <f t="shared" si="235"/>
        <v>10.846379034889845</v>
      </c>
      <c r="CP92" s="1013">
        <f t="shared" si="235"/>
        <v>10.848919161041659</v>
      </c>
      <c r="CQ92" s="1013">
        <f t="shared" si="235"/>
        <v>10.85276896610733</v>
      </c>
      <c r="CR92" s="1013">
        <f t="shared" si="235"/>
        <v>10.856620137299787</v>
      </c>
      <c r="CS92" s="1013">
        <f t="shared" si="235"/>
        <v>10.860472675103804</v>
      </c>
      <c r="CT92" s="1013">
        <f t="shared" si="235"/>
        <v>10.864326580004334</v>
      </c>
      <c r="CU92" s="1013">
        <f t="shared" si="235"/>
        <v>10.868181852486501</v>
      </c>
      <c r="CV92" s="1013">
        <f t="shared" si="235"/>
        <v>10.874115133158696</v>
      </c>
      <c r="CW92" s="1013">
        <f t="shared" si="235"/>
        <v>10.880051652994538</v>
      </c>
      <c r="CX92" s="1013">
        <f t="shared" si="235"/>
        <v>10.885991413762385</v>
      </c>
      <c r="CY92" s="1013">
        <f t="shared" si="235"/>
        <v>10.891934417231562</v>
      </c>
      <c r="CZ92" s="1013">
        <f t="shared" si="235"/>
        <v>10.897880665172362</v>
      </c>
    </row>
    <row r="93" spans="1:104" x14ac:dyDescent="0.25">
      <c r="A93" s="691" t="str">
        <f>'HyARC Physical Property Data'!A75</f>
        <v>Bio Methane</v>
      </c>
      <c r="B93">
        <v>2007</v>
      </c>
      <c r="C93" s="692">
        <f t="shared" si="221"/>
        <v>1.1413971588333081</v>
      </c>
      <c r="D93" s="974" t="str">
        <f>'HyARC Physical Property Data'!H75</f>
        <v>mmBtu</v>
      </c>
      <c r="E93" s="692" t="s">
        <v>1031</v>
      </c>
      <c r="F93">
        <f>'HyARC Physical Property Data'!$E$6</f>
        <v>47.141269049911173</v>
      </c>
      <c r="G93">
        <f>'HyARC Physical Property Data'!$I$6</f>
        <v>52.224661236371581</v>
      </c>
      <c r="H93" s="803">
        <v>12.42654028436019</v>
      </c>
      <c r="I93" s="803">
        <v>12.42654028436019</v>
      </c>
      <c r="J93" s="803">
        <v>12.42654028436019</v>
      </c>
      <c r="K93" s="803">
        <v>12.42654028436019</v>
      </c>
      <c r="L93" s="803">
        <v>12.42654028436019</v>
      </c>
      <c r="M93" s="803">
        <v>12.42654028436019</v>
      </c>
      <c r="N93" s="803">
        <v>12.42654028436019</v>
      </c>
      <c r="O93">
        <f t="shared" ref="O93:AM93" si="236">13.11*($C$93/mmBTU_to_GJ)</f>
        <v>14.183617774696369</v>
      </c>
      <c r="P93">
        <f t="shared" si="236"/>
        <v>14.183617774696369</v>
      </c>
      <c r="Q93">
        <f t="shared" si="236"/>
        <v>14.183617774696369</v>
      </c>
      <c r="R93">
        <f t="shared" si="236"/>
        <v>14.183617774696369</v>
      </c>
      <c r="S93">
        <f t="shared" si="236"/>
        <v>14.183617774696369</v>
      </c>
      <c r="T93">
        <f t="shared" si="236"/>
        <v>14.183617774696369</v>
      </c>
      <c r="U93">
        <f t="shared" si="236"/>
        <v>14.183617774696369</v>
      </c>
      <c r="V93">
        <f t="shared" si="236"/>
        <v>14.183617774696369</v>
      </c>
      <c r="W93">
        <f t="shared" si="236"/>
        <v>14.183617774696369</v>
      </c>
      <c r="X93">
        <f t="shared" si="236"/>
        <v>14.183617774696369</v>
      </c>
      <c r="Y93">
        <f t="shared" si="236"/>
        <v>14.183617774696369</v>
      </c>
      <c r="Z93">
        <f t="shared" si="236"/>
        <v>14.183617774696369</v>
      </c>
      <c r="AA93">
        <f t="shared" si="236"/>
        <v>14.183617774696369</v>
      </c>
      <c r="AB93">
        <f t="shared" si="236"/>
        <v>14.183617774696369</v>
      </c>
      <c r="AC93">
        <f t="shared" si="236"/>
        <v>14.183617774696369</v>
      </c>
      <c r="AD93">
        <f t="shared" si="236"/>
        <v>14.183617774696369</v>
      </c>
      <c r="AE93">
        <f t="shared" si="236"/>
        <v>14.183617774696369</v>
      </c>
      <c r="AF93">
        <f t="shared" si="236"/>
        <v>14.183617774696369</v>
      </c>
      <c r="AG93">
        <f t="shared" si="236"/>
        <v>14.183617774696369</v>
      </c>
      <c r="AH93">
        <f t="shared" si="236"/>
        <v>14.183617774696369</v>
      </c>
      <c r="AI93">
        <f t="shared" si="236"/>
        <v>14.183617774696369</v>
      </c>
      <c r="AJ93">
        <f t="shared" si="236"/>
        <v>14.183617774696369</v>
      </c>
      <c r="AK93">
        <f t="shared" si="236"/>
        <v>14.183617774696369</v>
      </c>
      <c r="AL93">
        <f t="shared" si="236"/>
        <v>14.183617774696369</v>
      </c>
      <c r="AM93">
        <f t="shared" si="236"/>
        <v>14.183617774696369</v>
      </c>
      <c r="AN93">
        <f t="shared" ref="AN93:BV93" si="237">13.11*($C$93/mmBTU_to_GJ)</f>
        <v>14.183617774696369</v>
      </c>
      <c r="AO93">
        <f t="shared" si="237"/>
        <v>14.183617774696369</v>
      </c>
      <c r="AP93">
        <f t="shared" si="237"/>
        <v>14.183617774696369</v>
      </c>
      <c r="AQ93">
        <f t="shared" si="237"/>
        <v>14.183617774696369</v>
      </c>
      <c r="AR93">
        <f t="shared" si="237"/>
        <v>14.183617774696369</v>
      </c>
      <c r="AS93">
        <f t="shared" si="237"/>
        <v>14.183617774696369</v>
      </c>
      <c r="AT93">
        <f t="shared" si="237"/>
        <v>14.183617774696369</v>
      </c>
      <c r="AU93">
        <f t="shared" si="237"/>
        <v>14.183617774696369</v>
      </c>
      <c r="AV93">
        <f t="shared" si="237"/>
        <v>14.183617774696369</v>
      </c>
      <c r="AW93">
        <f t="shared" si="237"/>
        <v>14.183617774696369</v>
      </c>
      <c r="AX93">
        <f t="shared" si="237"/>
        <v>14.183617774696369</v>
      </c>
      <c r="AY93">
        <f t="shared" si="237"/>
        <v>14.183617774696369</v>
      </c>
      <c r="AZ93">
        <f t="shared" si="237"/>
        <v>14.183617774696369</v>
      </c>
      <c r="BA93">
        <f t="shared" si="237"/>
        <v>14.183617774696369</v>
      </c>
      <c r="BB93">
        <f t="shared" si="237"/>
        <v>14.183617774696369</v>
      </c>
      <c r="BC93">
        <f t="shared" si="237"/>
        <v>14.183617774696369</v>
      </c>
      <c r="BD93">
        <f t="shared" si="237"/>
        <v>14.183617774696369</v>
      </c>
      <c r="BE93">
        <f t="shared" si="237"/>
        <v>14.183617774696369</v>
      </c>
      <c r="BF93">
        <f t="shared" si="237"/>
        <v>14.183617774696369</v>
      </c>
      <c r="BG93">
        <f t="shared" si="237"/>
        <v>14.183617774696369</v>
      </c>
      <c r="BH93">
        <f t="shared" si="237"/>
        <v>14.183617774696369</v>
      </c>
      <c r="BI93">
        <f t="shared" si="237"/>
        <v>14.183617774696369</v>
      </c>
      <c r="BJ93">
        <f t="shared" si="237"/>
        <v>14.183617774696369</v>
      </c>
      <c r="BK93">
        <f t="shared" si="237"/>
        <v>14.183617774696369</v>
      </c>
      <c r="BL93">
        <f t="shared" si="237"/>
        <v>14.183617774696369</v>
      </c>
      <c r="BM93">
        <f t="shared" si="237"/>
        <v>14.183617774696369</v>
      </c>
      <c r="BN93">
        <f t="shared" si="237"/>
        <v>14.183617774696369</v>
      </c>
      <c r="BO93">
        <f t="shared" si="237"/>
        <v>14.183617774696369</v>
      </c>
      <c r="BP93">
        <f t="shared" si="237"/>
        <v>14.183617774696369</v>
      </c>
      <c r="BQ93">
        <f t="shared" si="237"/>
        <v>14.183617774696369</v>
      </c>
      <c r="BR93">
        <f t="shared" si="237"/>
        <v>14.183617774696369</v>
      </c>
      <c r="BS93">
        <f t="shared" si="237"/>
        <v>14.183617774696369</v>
      </c>
      <c r="BT93">
        <f t="shared" si="237"/>
        <v>14.183617774696369</v>
      </c>
      <c r="BU93">
        <f t="shared" si="237"/>
        <v>14.183617774696369</v>
      </c>
      <c r="BV93" s="575">
        <f t="shared" si="237"/>
        <v>14.183617774696369</v>
      </c>
      <c r="BW93" s="1013">
        <f>+BV93*BW$136/BV$136</f>
        <v>14.230711556264829</v>
      </c>
      <c r="BX93" s="1013">
        <f t="shared" ref="BX93:CZ93" si="238">+BW93*BX$136/BW$136</f>
        <v>14.277961703035571</v>
      </c>
      <c r="BY93" s="1013">
        <f t="shared" si="238"/>
        <v>14.325368734187041</v>
      </c>
      <c r="BZ93" s="1013">
        <f t="shared" si="238"/>
        <v>14.372933170621517</v>
      </c>
      <c r="CA93" s="1013">
        <f t="shared" si="238"/>
        <v>14.420655534970821</v>
      </c>
      <c r="CB93" s="1013">
        <f t="shared" si="238"/>
        <v>14.451428179067991</v>
      </c>
      <c r="CC93" s="1013">
        <f t="shared" si="238"/>
        <v>14.482266489779443</v>
      </c>
      <c r="CD93" s="1013">
        <f t="shared" si="238"/>
        <v>14.51317060723302</v>
      </c>
      <c r="CE93" s="1013">
        <f t="shared" si="238"/>
        <v>14.54414067185559</v>
      </c>
      <c r="CF93" s="1013">
        <f t="shared" si="238"/>
        <v>14.575176824373679</v>
      </c>
      <c r="CG93" s="1013">
        <f t="shared" si="238"/>
        <v>14.585254066221541</v>
      </c>
      <c r="CH93" s="1013">
        <f t="shared" si="238"/>
        <v>14.595338275449933</v>
      </c>
      <c r="CI93" s="1013">
        <f t="shared" si="238"/>
        <v>14.605429456876088</v>
      </c>
      <c r="CJ93" s="1013">
        <f t="shared" si="238"/>
        <v>14.615527615320566</v>
      </c>
      <c r="CK93" s="1013">
        <f t="shared" si="238"/>
        <v>14.625632755607262</v>
      </c>
      <c r="CL93" s="1013">
        <f t="shared" si="238"/>
        <v>14.629057949594106</v>
      </c>
      <c r="CM93" s="1013">
        <f t="shared" si="238"/>
        <v>14.632483945731124</v>
      </c>
      <c r="CN93" s="1013">
        <f t="shared" si="238"/>
        <v>14.635910744206171</v>
      </c>
      <c r="CO93" s="1013">
        <f t="shared" si="238"/>
        <v>14.639338345207147</v>
      </c>
      <c r="CP93" s="1013">
        <f t="shared" si="238"/>
        <v>14.642766748922</v>
      </c>
      <c r="CQ93" s="1013">
        <f t="shared" si="238"/>
        <v>14.647962823919764</v>
      </c>
      <c r="CR93" s="1013">
        <f t="shared" si="238"/>
        <v>14.6531607427764</v>
      </c>
      <c r="CS93" s="1013">
        <f t="shared" si="238"/>
        <v>14.658360506146211</v>
      </c>
      <c r="CT93" s="1013">
        <f t="shared" si="238"/>
        <v>14.663562114683737</v>
      </c>
      <c r="CU93" s="1013">
        <f t="shared" si="238"/>
        <v>14.668765569043746</v>
      </c>
      <c r="CV93" s="1013">
        <f t="shared" si="238"/>
        <v>14.676773707333766</v>
      </c>
      <c r="CW93" s="1013">
        <f t="shared" si="238"/>
        <v>14.68478621751715</v>
      </c>
      <c r="CX93" s="1013">
        <f t="shared" si="238"/>
        <v>14.692803101980653</v>
      </c>
      <c r="CY93" s="1013">
        <f t="shared" si="238"/>
        <v>14.700824363112332</v>
      </c>
      <c r="CZ93" s="1013">
        <f t="shared" si="238"/>
        <v>14.708850003301547</v>
      </c>
    </row>
    <row r="94" spans="1:104" x14ac:dyDescent="0.25">
      <c r="A94" s="763" t="str">
        <f>'HyARC Physical Property Data'!A85</f>
        <v>Woody Biomass</v>
      </c>
      <c r="B94">
        <v>2005</v>
      </c>
      <c r="C94" s="692">
        <f t="shared" si="221"/>
        <v>1.208440716126562</v>
      </c>
      <c r="D94" s="976" t="str">
        <f>+'HyARC Physical Property Data'!$H$85</f>
        <v>kg</v>
      </c>
      <c r="E94" s="692" t="s">
        <v>1031</v>
      </c>
      <c r="F94">
        <f>'HyARC Physical Property Data'!$E$45</f>
        <v>19.551069237418005</v>
      </c>
      <c r="G94">
        <f>'HyARC Physical Property Data'!$I$45</f>
        <v>20.588656379262464</v>
      </c>
      <c r="H94" s="803">
        <v>1.3438238843289665</v>
      </c>
      <c r="I94" s="803">
        <v>1.3438238843289665</v>
      </c>
      <c r="J94" s="803">
        <v>1.3438238843289665</v>
      </c>
      <c r="K94" s="803">
        <v>1.3438238843289665</v>
      </c>
      <c r="L94" s="803">
        <v>1.3438238843289665</v>
      </c>
      <c r="M94" s="803">
        <v>1.3438238843289665</v>
      </c>
      <c r="N94" s="803">
        <v>1.3438238843289665</v>
      </c>
      <c r="O94">
        <f>1.27*($C$94)</f>
        <v>1.5347197094807337</v>
      </c>
      <c r="P94">
        <f>1.28*($C$94)</f>
        <v>1.5468041166419995</v>
      </c>
      <c r="Q94">
        <f>1.32*($C$94)</f>
        <v>1.595141745287062</v>
      </c>
      <c r="R94">
        <f>1.32*($C$94)</f>
        <v>1.595141745287062</v>
      </c>
      <c r="S94">
        <f>1.34*($C$94)</f>
        <v>1.6193105596095931</v>
      </c>
      <c r="T94">
        <f>1.34*($C$94)</f>
        <v>1.6193105596095931</v>
      </c>
      <c r="U94">
        <f>1.36*($C$94)</f>
        <v>1.6434793739321245</v>
      </c>
      <c r="V94">
        <f>1.36*($C$94)</f>
        <v>1.6434793739321245</v>
      </c>
      <c r="W94">
        <f>1.38*($C$94)</f>
        <v>1.6676481882546554</v>
      </c>
      <c r="X94">
        <f>1.4*($C$94)</f>
        <v>1.6918170025771868</v>
      </c>
      <c r="Y94">
        <f>1.46*($C$94)</f>
        <v>1.7643234455447805</v>
      </c>
      <c r="Z94">
        <f>1.48*($C$94)</f>
        <v>1.7884922598673119</v>
      </c>
      <c r="AA94">
        <f>1.48*($C$94)</f>
        <v>1.7884922598673119</v>
      </c>
      <c r="AB94">
        <f>1.51*($C$94)</f>
        <v>1.8247454813511086</v>
      </c>
      <c r="AC94">
        <f>1.52*($C$94)</f>
        <v>1.8368298885123742</v>
      </c>
      <c r="AD94">
        <f>1.62*($C$94)</f>
        <v>1.9576739601250306</v>
      </c>
      <c r="AE94">
        <f>1.72*($C$94)</f>
        <v>2.0785180317376866</v>
      </c>
      <c r="AF94">
        <f>1.82*($C$94)</f>
        <v>2.1993621033503428</v>
      </c>
      <c r="AG94">
        <f>1.91*($C$94)</f>
        <v>2.3081217678017332</v>
      </c>
      <c r="AH94">
        <f>2.01*($C$94)</f>
        <v>2.4289658394143894</v>
      </c>
      <c r="AI94">
        <f>2.11*($C$94)</f>
        <v>2.5498099110270456</v>
      </c>
      <c r="AJ94">
        <f>2.2*($C$94)</f>
        <v>2.6585695754784364</v>
      </c>
      <c r="AK94">
        <f>2.3*($C$94)</f>
        <v>2.7794136470910926</v>
      </c>
      <c r="AL94">
        <f>2.4*($C$94)</f>
        <v>2.9002577187037488</v>
      </c>
      <c r="AM94">
        <f>2.5*($C$94)</f>
        <v>3.021101790316405</v>
      </c>
      <c r="AN94">
        <f>2.57*($C$94)</f>
        <v>3.1056926404452643</v>
      </c>
      <c r="AO94">
        <f>2.64*($C$94)</f>
        <v>3.190283490574124</v>
      </c>
      <c r="AP94">
        <f>2.71*($C$94)</f>
        <v>3.2748743407029832</v>
      </c>
      <c r="AQ94">
        <f>2.78*($C$94)</f>
        <v>3.359465190831842</v>
      </c>
      <c r="AR94">
        <f>2.85*($C$94)</f>
        <v>3.4440560409607017</v>
      </c>
      <c r="AS94">
        <f>2.92*($C$94)</f>
        <v>3.528646891089561</v>
      </c>
      <c r="AT94">
        <f>2.99*($C$94)</f>
        <v>3.6132377412184207</v>
      </c>
      <c r="AU94">
        <f>3.07*($C$94)</f>
        <v>3.7099129985085453</v>
      </c>
      <c r="AV94">
        <f>3.14*($C$94)</f>
        <v>3.794503848637405</v>
      </c>
      <c r="AW94">
        <f>3.21*($C$94)</f>
        <v>3.8790946987662642</v>
      </c>
      <c r="AX94">
        <f>3.28*($C$94)</f>
        <v>3.963685548895123</v>
      </c>
      <c r="AY94">
        <f>3.35*($C$94)</f>
        <v>4.0482763990239832</v>
      </c>
      <c r="AZ94">
        <f>3.42*($C$94)</f>
        <v>4.1328672491528424</v>
      </c>
      <c r="BA94">
        <f>3.49*($C$94)</f>
        <v>4.2174580992817017</v>
      </c>
      <c r="BB94">
        <f>3.56*($C$94)</f>
        <v>4.3020489494105609</v>
      </c>
      <c r="BC94">
        <f>3.64*($C$94)</f>
        <v>4.3987242067006855</v>
      </c>
      <c r="BD94">
        <f>3.71*($C$94)</f>
        <v>4.4833150568295448</v>
      </c>
      <c r="BE94">
        <f>3.78*($C$94)</f>
        <v>4.567905906958404</v>
      </c>
      <c r="BF94">
        <f>3.85*($C$94)</f>
        <v>4.6524967570872642</v>
      </c>
      <c r="BG94">
        <f>3.92*($C$94)</f>
        <v>4.7370876072161234</v>
      </c>
      <c r="BH94">
        <f>3.99*($C$94)</f>
        <v>4.8216784573449827</v>
      </c>
      <c r="BI94">
        <f>4.06*($C$94)</f>
        <v>4.906269307473841</v>
      </c>
      <c r="BJ94">
        <f>4.14*($C$94)</f>
        <v>5.0029445647639665</v>
      </c>
      <c r="BK94">
        <f>4.21*($C$94)</f>
        <v>5.0875354148928258</v>
      </c>
      <c r="BL94">
        <f>4.28*($C$94)</f>
        <v>5.1721262650216859</v>
      </c>
      <c r="BM94">
        <f>4.35*($C$94)</f>
        <v>5.2567171151505443</v>
      </c>
      <c r="BN94">
        <f>4.42*($C$94)</f>
        <v>5.3413079652794044</v>
      </c>
      <c r="BO94">
        <f>4.49*($C$94)</f>
        <v>5.4258988154082637</v>
      </c>
      <c r="BP94">
        <f>4.56*($C$94)</f>
        <v>5.5104896655371221</v>
      </c>
      <c r="BQ94">
        <f>4.63*($C$94)</f>
        <v>5.5950805156659822</v>
      </c>
      <c r="BR94">
        <f>4.71*($C$94)</f>
        <v>5.6917557729561068</v>
      </c>
      <c r="BS94">
        <f>4.78*($C$94)</f>
        <v>5.7763466230849669</v>
      </c>
      <c r="BT94">
        <f>4.85*($C$94)</f>
        <v>5.8609374732138253</v>
      </c>
      <c r="BU94">
        <f>4.92*($C$94)</f>
        <v>5.9455283233426854</v>
      </c>
      <c r="BV94" s="575">
        <f>4.99*($C$94)</f>
        <v>6.0301191734715447</v>
      </c>
      <c r="BW94" s="1013">
        <f>+BV94*BW$137/BV$137</f>
        <v>6.0446132076616896</v>
      </c>
      <c r="BX94" s="1013">
        <f t="shared" ref="BX94:CZ94" si="239">+BW94*BX$137/BW$137</f>
        <v>6.0591420798079438</v>
      </c>
      <c r="BY94" s="1013">
        <f t="shared" si="239"/>
        <v>6.0737058736470511</v>
      </c>
      <c r="BZ94" s="1013">
        <f t="shared" si="239"/>
        <v>6.0883046731170198</v>
      </c>
      <c r="CA94" s="1013">
        <f t="shared" si="239"/>
        <v>6.1029385623576156</v>
      </c>
      <c r="CB94" s="1013">
        <f t="shared" si="239"/>
        <v>6.1157485681116217</v>
      </c>
      <c r="CC94" s="1013">
        <f t="shared" si="239"/>
        <v>6.1285854619369617</v>
      </c>
      <c r="CD94" s="1013">
        <f t="shared" si="239"/>
        <v>6.1414493002714252</v>
      </c>
      <c r="CE94" s="1013">
        <f t="shared" si="239"/>
        <v>6.1543401396712598</v>
      </c>
      <c r="CF94" s="1013">
        <f t="shared" si="239"/>
        <v>6.167258036811428</v>
      </c>
      <c r="CG94" s="1013">
        <f t="shared" si="239"/>
        <v>6.183149548139812</v>
      </c>
      <c r="CH94" s="1013">
        <f t="shared" si="239"/>
        <v>6.1990820079952069</v>
      </c>
      <c r="CI94" s="1013">
        <f t="shared" si="239"/>
        <v>6.215055521891923</v>
      </c>
      <c r="CJ94" s="1013">
        <f t="shared" si="239"/>
        <v>6.2310701956161552</v>
      </c>
      <c r="CK94" s="1013">
        <f t="shared" si="239"/>
        <v>6.2471261352266838</v>
      </c>
      <c r="CL94" s="1013">
        <f t="shared" si="239"/>
        <v>6.2604975997429575</v>
      </c>
      <c r="CM94" s="1013">
        <f t="shared" si="239"/>
        <v>6.2738976847896071</v>
      </c>
      <c r="CN94" s="1013">
        <f t="shared" si="239"/>
        <v>6.2873264516265444</v>
      </c>
      <c r="CO94" s="1013">
        <f t="shared" si="239"/>
        <v>6.3007839616448056</v>
      </c>
      <c r="CP94" s="1013">
        <f t="shared" si="239"/>
        <v>6.3142702763668277</v>
      </c>
      <c r="CQ94" s="1013">
        <f t="shared" si="239"/>
        <v>6.326614172551615</v>
      </c>
      <c r="CR94" s="1013">
        <f t="shared" si="239"/>
        <v>6.3389822000716718</v>
      </c>
      <c r="CS94" s="1013">
        <f t="shared" si="239"/>
        <v>6.3513744061018391</v>
      </c>
      <c r="CT94" s="1013">
        <f t="shared" si="239"/>
        <v>6.3637908379091801</v>
      </c>
      <c r="CU94" s="1013">
        <f t="shared" si="239"/>
        <v>6.376231542853164</v>
      </c>
      <c r="CV94" s="1013">
        <f t="shared" si="239"/>
        <v>6.3909193633613004</v>
      </c>
      <c r="CW94" s="1013">
        <f t="shared" si="239"/>
        <v>6.4056410176582252</v>
      </c>
      <c r="CX94" s="1013">
        <f t="shared" si="239"/>
        <v>6.4203965836809767</v>
      </c>
      <c r="CY94" s="1013">
        <f t="shared" si="239"/>
        <v>6.4351861395461265</v>
      </c>
      <c r="CZ94" s="1013">
        <f t="shared" si="239"/>
        <v>6.450009763550189</v>
      </c>
    </row>
    <row r="95" spans="1:104" x14ac:dyDescent="0.25">
      <c r="A95" s="715" t="str">
        <f>'HyARC Physical Property Data'!A80</f>
        <v>Metallurgical Coal</v>
      </c>
      <c r="B95">
        <v>2012</v>
      </c>
      <c r="C95" s="692">
        <f t="shared" si="221"/>
        <v>1.0573833607504113</v>
      </c>
      <c r="D95" s="975" t="str">
        <f>+'HyARC Physical Property Data'!H80</f>
        <v>kg</v>
      </c>
      <c r="E95" s="709" t="s">
        <v>1025</v>
      </c>
      <c r="F95">
        <f>'HyARC Physical Property Data'!$E$44</f>
        <v>28.610197070281195</v>
      </c>
      <c r="G95">
        <f>'HyARC Physical Property Data'!$I$44</f>
        <v>29.865267156269461</v>
      </c>
      <c r="H95" s="804">
        <v>3.3844321322674711</v>
      </c>
      <c r="I95" s="804">
        <v>3.3844321322674711</v>
      </c>
      <c r="J95" s="804">
        <v>3.3844321322674711</v>
      </c>
      <c r="K95" s="804">
        <v>3.3844321322674711</v>
      </c>
      <c r="L95" s="804">
        <v>4.1181843560652975</v>
      </c>
      <c r="M95" s="804">
        <v>4.3291381204071717</v>
      </c>
      <c r="N95" s="804">
        <v>4.4025133427869543</v>
      </c>
      <c r="O95" s="764">
        <f t="shared" ref="O95:AR95" si="240">O111*($C95/mmBTU_to_GJ*$G95/$F95)</f>
        <v>7.4646268248681658</v>
      </c>
      <c r="P95" s="764">
        <f t="shared" si="240"/>
        <v>7.5851395215871422</v>
      </c>
      <c r="Q95" s="764">
        <f t="shared" si="240"/>
        <v>7.7775593409707655</v>
      </c>
      <c r="R95" s="764">
        <f t="shared" si="240"/>
        <v>7.8596002100362519</v>
      </c>
      <c r="S95" s="764">
        <f t="shared" si="240"/>
        <v>8.1180797941829823</v>
      </c>
      <c r="T95" s="764">
        <f t="shared" si="240"/>
        <v>8.3154796499973287</v>
      </c>
      <c r="U95" s="764">
        <f t="shared" si="240"/>
        <v>8.4204203168350222</v>
      </c>
      <c r="V95" s="764">
        <f t="shared" si="240"/>
        <v>8.5695650843522451</v>
      </c>
      <c r="W95" s="764">
        <f t="shared" si="240"/>
        <v>8.6847148258729252</v>
      </c>
      <c r="X95" s="764">
        <f t="shared" si="240"/>
        <v>8.8178648881479358</v>
      </c>
      <c r="Y95" s="764">
        <f t="shared" si="240"/>
        <v>8.9203207679009697</v>
      </c>
      <c r="Z95" s="764">
        <f t="shared" si="240"/>
        <v>9.032455285683552</v>
      </c>
      <c r="AA95" s="764">
        <f t="shared" si="240"/>
        <v>9.1423770351781108</v>
      </c>
      <c r="AB95" s="764">
        <f t="shared" si="240"/>
        <v>9.254374497336233</v>
      </c>
      <c r="AC95" s="764">
        <f t="shared" si="240"/>
        <v>9.3655611342351488</v>
      </c>
      <c r="AD95" s="764">
        <f t="shared" si="240"/>
        <v>9.4622292909766781</v>
      </c>
      <c r="AE95" s="764">
        <f t="shared" si="240"/>
        <v>9.5719166858156743</v>
      </c>
      <c r="AF95" s="764">
        <f t="shared" si="240"/>
        <v>9.6949560186649464</v>
      </c>
      <c r="AG95" s="764">
        <f t="shared" si="240"/>
        <v>9.8138135856290027</v>
      </c>
      <c r="AH95" s="764">
        <f t="shared" si="240"/>
        <v>9.952872733147867</v>
      </c>
      <c r="AI95" s="764">
        <f t="shared" si="240"/>
        <v>10.036208830175799</v>
      </c>
      <c r="AJ95" s="764">
        <f t="shared" si="240"/>
        <v>10.120782612728425</v>
      </c>
      <c r="AK95" s="764">
        <f t="shared" si="240"/>
        <v>10.210359448686875</v>
      </c>
      <c r="AL95" s="764">
        <f t="shared" si="240"/>
        <v>10.292143992347839</v>
      </c>
      <c r="AM95" s="764">
        <f t="shared" si="240"/>
        <v>10.394155225990989</v>
      </c>
      <c r="AN95">
        <f t="shared" si="240"/>
        <v>10.475670889533738</v>
      </c>
      <c r="AO95">
        <f t="shared" si="240"/>
        <v>10.567574532429569</v>
      </c>
      <c r="AP95">
        <f t="shared" si="240"/>
        <v>10.574325829716853</v>
      </c>
      <c r="AQ95">
        <f t="shared" si="240"/>
        <v>10.604382860519015</v>
      </c>
      <c r="AR95">
        <f t="shared" si="240"/>
        <v>10.668415039021042</v>
      </c>
      <c r="AS95">
        <f>($BB95-$AR95)/10+AR95</f>
        <v>10.691118846164347</v>
      </c>
      <c r="AT95">
        <f t="shared" ref="AT95:BA95" si="241">($BB95-$AR95)/10+AS95</f>
        <v>10.713822653307652</v>
      </c>
      <c r="AU95">
        <f t="shared" si="241"/>
        <v>10.736526460450957</v>
      </c>
      <c r="AV95">
        <f t="shared" si="241"/>
        <v>10.759230267594262</v>
      </c>
      <c r="AW95">
        <f t="shared" si="241"/>
        <v>10.781934074737567</v>
      </c>
      <c r="AX95">
        <f t="shared" si="241"/>
        <v>10.804637881880872</v>
      </c>
      <c r="AY95">
        <f t="shared" si="241"/>
        <v>10.827341689024177</v>
      </c>
      <c r="AZ95">
        <f t="shared" si="241"/>
        <v>10.850045496167482</v>
      </c>
      <c r="BA95">
        <f t="shared" si="241"/>
        <v>10.872749303310787</v>
      </c>
      <c r="BB95" s="741">
        <f>('AEO Data'!$B$28*AM95)</f>
        <v>10.895453110454083</v>
      </c>
      <c r="BC95">
        <f t="shared" ref="BC95:BP95" si="242">($BQ95-$BB95)/15+BB95</f>
        <v>10.933690011458628</v>
      </c>
      <c r="BD95">
        <f t="shared" si="242"/>
        <v>10.971926912463173</v>
      </c>
      <c r="BE95">
        <f t="shared" si="242"/>
        <v>11.010163813467718</v>
      </c>
      <c r="BF95">
        <f t="shared" si="242"/>
        <v>11.048400714472264</v>
      </c>
      <c r="BG95">
        <f t="shared" si="242"/>
        <v>11.086637615476809</v>
      </c>
      <c r="BH95">
        <f t="shared" si="242"/>
        <v>11.124874516481354</v>
      </c>
      <c r="BI95">
        <f t="shared" si="242"/>
        <v>11.163111417485899</v>
      </c>
      <c r="BJ95">
        <f t="shared" si="242"/>
        <v>11.201348318490444</v>
      </c>
      <c r="BK95">
        <f t="shared" si="242"/>
        <v>11.239585219494989</v>
      </c>
      <c r="BL95">
        <f t="shared" si="242"/>
        <v>11.277822120499534</v>
      </c>
      <c r="BM95">
        <f t="shared" si="242"/>
        <v>11.316059021504079</v>
      </c>
      <c r="BN95">
        <f t="shared" si="242"/>
        <v>11.354295922508625</v>
      </c>
      <c r="BO95">
        <f t="shared" si="242"/>
        <v>11.39253282351317</v>
      </c>
      <c r="BP95">
        <f t="shared" si="242"/>
        <v>11.430769724517715</v>
      </c>
      <c r="BQ95" s="741">
        <f>('AEO Data'!$C$28*BB95)</f>
        <v>11.469006625522269</v>
      </c>
      <c r="BR95">
        <f t="shared" ref="BR95:BU100" si="243">($BV95-$BQ95)/5+BQ95</f>
        <v>11.505775124501078</v>
      </c>
      <c r="BS95">
        <f t="shared" si="243"/>
        <v>11.542543623479887</v>
      </c>
      <c r="BT95">
        <f t="shared" si="243"/>
        <v>11.579312122458695</v>
      </c>
      <c r="BU95">
        <f t="shared" si="243"/>
        <v>11.616080621437504</v>
      </c>
      <c r="BV95" s="762">
        <f>('AEO Data'!$D$28*BQ95)</f>
        <v>11.65284912041631</v>
      </c>
      <c r="BW95" s="1013">
        <f t="shared" ref="BW95:CZ95" si="244">+BV95*BW$138/BV$138</f>
        <v>11.692246881776873</v>
      </c>
      <c r="BX95" s="1013">
        <f t="shared" si="244"/>
        <v>11.731777845205377</v>
      </c>
      <c r="BY95" s="1013">
        <f t="shared" si="244"/>
        <v>11.771442461052049</v>
      </c>
      <c r="BZ95" s="1013">
        <f t="shared" si="244"/>
        <v>11.811241181189736</v>
      </c>
      <c r="CA95" s="1013">
        <f t="shared" si="244"/>
        <v>11.851174459019044</v>
      </c>
      <c r="CB95" s="1013">
        <f t="shared" si="244"/>
        <v>11.88510623212686</v>
      </c>
      <c r="CC95" s="1013">
        <f t="shared" si="244"/>
        <v>11.919135157228366</v>
      </c>
      <c r="CD95" s="1013">
        <f t="shared" si="244"/>
        <v>11.953261512484969</v>
      </c>
      <c r="CE95" s="1013">
        <f t="shared" si="244"/>
        <v>11.987485576854503</v>
      </c>
      <c r="CF95" s="1013">
        <f t="shared" si="244"/>
        <v>12.021807630093496</v>
      </c>
      <c r="CG95" s="1013">
        <f t="shared" si="244"/>
        <v>12.048012553487283</v>
      </c>
      <c r="CH95" s="1013">
        <f t="shared" si="244"/>
        <v>12.074274597909055</v>
      </c>
      <c r="CI95" s="1013">
        <f t="shared" si="244"/>
        <v>12.100593887870218</v>
      </c>
      <c r="CJ95" s="1013">
        <f t="shared" si="244"/>
        <v>12.126970548153587</v>
      </c>
      <c r="CK95" s="1013">
        <f t="shared" si="244"/>
        <v>12.153404703813971</v>
      </c>
      <c r="CL95" s="1013">
        <f t="shared" si="244"/>
        <v>12.171324857241729</v>
      </c>
      <c r="CM95" s="1013">
        <f t="shared" si="244"/>
        <v>12.189271433874072</v>
      </c>
      <c r="CN95" s="1013">
        <f t="shared" si="244"/>
        <v>12.207244472671922</v>
      </c>
      <c r="CO95" s="1013">
        <f t="shared" si="244"/>
        <v>12.225244012653652</v>
      </c>
      <c r="CP95" s="1013">
        <f t="shared" si="244"/>
        <v>12.243270092895166</v>
      </c>
      <c r="CQ95" s="1013">
        <f t="shared" si="244"/>
        <v>12.249306745274442</v>
      </c>
      <c r="CR95" s="1013">
        <f t="shared" si="244"/>
        <v>12.255346374078453</v>
      </c>
      <c r="CS95" s="1013">
        <f t="shared" si="244"/>
        <v>12.261388980774752</v>
      </c>
      <c r="CT95" s="1013">
        <f t="shared" si="244"/>
        <v>12.267434566831614</v>
      </c>
      <c r="CU95" s="1013">
        <f t="shared" si="244"/>
        <v>12.273483133718042</v>
      </c>
      <c r="CV95" s="1013">
        <f t="shared" si="244"/>
        <v>12.264790038675994</v>
      </c>
      <c r="CW95" s="1013">
        <f t="shared" si="244"/>
        <v>12.256103100802259</v>
      </c>
      <c r="CX95" s="1013">
        <f t="shared" si="244"/>
        <v>12.247422315735818</v>
      </c>
      <c r="CY95" s="1013">
        <f t="shared" si="244"/>
        <v>12.238747679118744</v>
      </c>
      <c r="CZ95" s="1013">
        <f t="shared" si="244"/>
        <v>12.2300791865962</v>
      </c>
    </row>
    <row r="96" spans="1:104" x14ac:dyDescent="0.25">
      <c r="A96" s="715" t="str">
        <f>'HyARC Physical Property Data'!A81</f>
        <v>Other Industrial Coal</v>
      </c>
      <c r="B96">
        <v>2012</v>
      </c>
      <c r="C96" s="692">
        <f t="shared" si="221"/>
        <v>1.0573833607504113</v>
      </c>
      <c r="D96" s="975" t="str">
        <f>+'HyARC Physical Property Data'!H81</f>
        <v>kg</v>
      </c>
      <c r="E96" s="709" t="s">
        <v>1025</v>
      </c>
      <c r="F96">
        <f>'HyARC Physical Property Data'!$E$42</f>
        <v>22.7322030001394</v>
      </c>
      <c r="G96">
        <f>'HyARC Physical Property Data'!$I$42</f>
        <v>23.967615189707661</v>
      </c>
      <c r="H96" s="804">
        <v>1.7045706620386931</v>
      </c>
      <c r="I96" s="804">
        <v>1.7045706620386931</v>
      </c>
      <c r="J96" s="804">
        <v>1.7045706620386931</v>
      </c>
      <c r="K96" s="804">
        <v>1.7045706620386931</v>
      </c>
      <c r="L96" s="804">
        <v>1.9454339077615519</v>
      </c>
      <c r="M96" s="804">
        <v>2.0288096466656182</v>
      </c>
      <c r="N96" s="804">
        <v>1.8805861108361666</v>
      </c>
      <c r="O96" s="764">
        <f t="shared" ref="O96:AR96" si="245">O112*($C96/mmBTU_to_GJ*$G96/$F96)</f>
        <v>3.4949975895838294</v>
      </c>
      <c r="P96" s="764">
        <f t="shared" si="245"/>
        <v>3.4233926279260714</v>
      </c>
      <c r="Q96" s="764">
        <f t="shared" si="245"/>
        <v>3.5031491911574184</v>
      </c>
      <c r="R96" s="764">
        <f t="shared" si="245"/>
        <v>3.4679009642856751</v>
      </c>
      <c r="S96" s="764">
        <f t="shared" si="245"/>
        <v>3.5676645631136981</v>
      </c>
      <c r="T96" s="764">
        <f t="shared" si="245"/>
        <v>3.6321947292652106</v>
      </c>
      <c r="U96" s="764">
        <f t="shared" si="245"/>
        <v>3.657322669869095</v>
      </c>
      <c r="V96" s="764">
        <f t="shared" si="245"/>
        <v>3.7204040616159686</v>
      </c>
      <c r="W96" s="764">
        <f t="shared" si="245"/>
        <v>3.7630990523312531</v>
      </c>
      <c r="X96" s="764">
        <f t="shared" si="245"/>
        <v>3.7970908293363905</v>
      </c>
      <c r="Y96" s="764">
        <f t="shared" si="245"/>
        <v>3.8194247804976293</v>
      </c>
      <c r="Z96" s="764">
        <f t="shared" si="245"/>
        <v>3.8460511617330089</v>
      </c>
      <c r="AA96" s="764">
        <f t="shared" si="245"/>
        <v>3.8731023477172322</v>
      </c>
      <c r="AB96" s="764">
        <f t="shared" si="245"/>
        <v>3.9067337803956139</v>
      </c>
      <c r="AC96" s="764">
        <f t="shared" si="245"/>
        <v>3.938949197244515</v>
      </c>
      <c r="AD96" s="764">
        <f t="shared" si="245"/>
        <v>3.9691747948345282</v>
      </c>
      <c r="AE96" s="764">
        <f t="shared" si="245"/>
        <v>3.9994574557490128</v>
      </c>
      <c r="AF96" s="764">
        <f t="shared" si="245"/>
        <v>4.0328902235199751</v>
      </c>
      <c r="AG96" s="764">
        <f t="shared" si="245"/>
        <v>4.0631242749358352</v>
      </c>
      <c r="AH96" s="764">
        <f t="shared" si="245"/>
        <v>4.1048449622221792</v>
      </c>
      <c r="AI96" s="764">
        <f t="shared" si="245"/>
        <v>4.1376658843474177</v>
      </c>
      <c r="AJ96" s="764">
        <f t="shared" si="245"/>
        <v>4.1685794120157826</v>
      </c>
      <c r="AK96" s="764">
        <f t="shared" si="245"/>
        <v>4.201707842056229</v>
      </c>
      <c r="AL96" s="764">
        <f t="shared" si="245"/>
        <v>4.2273873947966729</v>
      </c>
      <c r="AM96" s="764">
        <f t="shared" si="245"/>
        <v>4.2580071520168321</v>
      </c>
      <c r="AN96">
        <f t="shared" si="245"/>
        <v>4.2903546598946027</v>
      </c>
      <c r="AO96">
        <f t="shared" si="245"/>
        <v>4.3224348155299417</v>
      </c>
      <c r="AP96">
        <f t="shared" si="245"/>
        <v>4.3507255437290757</v>
      </c>
      <c r="AQ96">
        <f t="shared" si="245"/>
        <v>4.3846898458002084</v>
      </c>
      <c r="AR96">
        <f t="shared" si="245"/>
        <v>4.4275856148793746</v>
      </c>
      <c r="AS96">
        <f t="shared" ref="AS96:BA96" si="246">($BB96-$AR96)/10+AR96</f>
        <v>4.4311636364046505</v>
      </c>
      <c r="AT96">
        <f t="shared" si="246"/>
        <v>4.4347416579299264</v>
      </c>
      <c r="AU96">
        <f t="shared" si="246"/>
        <v>4.4383196794552022</v>
      </c>
      <c r="AV96">
        <f t="shared" si="246"/>
        <v>4.4418977009804781</v>
      </c>
      <c r="AW96">
        <f t="shared" si="246"/>
        <v>4.445475722505754</v>
      </c>
      <c r="AX96">
        <f t="shared" si="246"/>
        <v>4.4490537440310298</v>
      </c>
      <c r="AY96">
        <f t="shared" si="246"/>
        <v>4.4526317655563057</v>
      </c>
      <c r="AZ96">
        <f t="shared" si="246"/>
        <v>4.4562097870815816</v>
      </c>
      <c r="BA96">
        <f t="shared" si="246"/>
        <v>4.4597878086068574</v>
      </c>
      <c r="BB96" s="741">
        <f>('AEO Data'!$B$28*AM96)</f>
        <v>4.4633658301321333</v>
      </c>
      <c r="BC96">
        <f t="shared" ref="BC96:BP96" si="247">($BQ96-$BB96)/15+BB96</f>
        <v>4.4790297291608097</v>
      </c>
      <c r="BD96">
        <f t="shared" si="247"/>
        <v>4.494693628189486</v>
      </c>
      <c r="BE96">
        <f t="shared" si="247"/>
        <v>4.5103575272181624</v>
      </c>
      <c r="BF96">
        <f t="shared" si="247"/>
        <v>4.5260214262468388</v>
      </c>
      <c r="BG96">
        <f t="shared" si="247"/>
        <v>4.5416853252755152</v>
      </c>
      <c r="BH96">
        <f t="shared" si="247"/>
        <v>4.5573492243041915</v>
      </c>
      <c r="BI96">
        <f t="shared" si="247"/>
        <v>4.5730131233328679</v>
      </c>
      <c r="BJ96">
        <f t="shared" si="247"/>
        <v>4.5886770223615443</v>
      </c>
      <c r="BK96">
        <f t="shared" si="247"/>
        <v>4.6043409213902207</v>
      </c>
      <c r="BL96">
        <f t="shared" si="247"/>
        <v>4.620004820418897</v>
      </c>
      <c r="BM96">
        <f t="shared" si="247"/>
        <v>4.6356687194475734</v>
      </c>
      <c r="BN96">
        <f t="shared" si="247"/>
        <v>4.6513326184762498</v>
      </c>
      <c r="BO96">
        <f t="shared" si="247"/>
        <v>4.6669965175049262</v>
      </c>
      <c r="BP96">
        <f t="shared" si="247"/>
        <v>4.6826604165336025</v>
      </c>
      <c r="BQ96" s="741">
        <f>('AEO Data'!$C$28*BB96)</f>
        <v>4.6983243155622842</v>
      </c>
      <c r="BR96">
        <f t="shared" si="243"/>
        <v>4.7133866778434639</v>
      </c>
      <c r="BS96">
        <f t="shared" si="243"/>
        <v>4.7284490401246435</v>
      </c>
      <c r="BT96">
        <f t="shared" si="243"/>
        <v>4.7435114024058231</v>
      </c>
      <c r="BU96">
        <f t="shared" si="243"/>
        <v>4.7585737646870028</v>
      </c>
      <c r="BV96" s="762">
        <f>('AEO Data'!$D$28*BQ96)</f>
        <v>4.7736361269681806</v>
      </c>
      <c r="BW96" s="1013">
        <f t="shared" ref="BW96:CZ96" si="248">+BV96*BW$138/BV$138</f>
        <v>4.789775577072529</v>
      </c>
      <c r="BX96" s="1013">
        <f t="shared" si="248"/>
        <v>4.8059695939353695</v>
      </c>
      <c r="BY96" s="1013">
        <f t="shared" si="248"/>
        <v>4.8222183620444703</v>
      </c>
      <c r="BZ96" s="1013">
        <f t="shared" si="248"/>
        <v>4.838522066511346</v>
      </c>
      <c r="CA96" s="1013">
        <f t="shared" si="248"/>
        <v>4.8548808930733625</v>
      </c>
      <c r="CB96" s="1013">
        <f t="shared" si="248"/>
        <v>4.8687811792854072</v>
      </c>
      <c r="CC96" s="1013">
        <f t="shared" si="248"/>
        <v>4.882721264199219</v>
      </c>
      <c r="CD96" s="1013">
        <f t="shared" si="248"/>
        <v>4.8967012617647283</v>
      </c>
      <c r="CE96" s="1013">
        <f t="shared" si="248"/>
        <v>4.9107212862581244</v>
      </c>
      <c r="CF96" s="1013">
        <f t="shared" si="248"/>
        <v>4.9247814522827849</v>
      </c>
      <c r="CG96" s="1013">
        <f t="shared" si="248"/>
        <v>4.9355164036860302</v>
      </c>
      <c r="CH96" s="1013">
        <f t="shared" si="248"/>
        <v>4.9462747549462529</v>
      </c>
      <c r="CI96" s="1013">
        <f t="shared" si="248"/>
        <v>4.9570565570700476</v>
      </c>
      <c r="CJ96" s="1013">
        <f t="shared" si="248"/>
        <v>4.9678618611751908</v>
      </c>
      <c r="CK96" s="1013">
        <f t="shared" si="248"/>
        <v>4.9786907184908857</v>
      </c>
      <c r="CL96" s="1013">
        <f t="shared" si="248"/>
        <v>4.9860317808284806</v>
      </c>
      <c r="CM96" s="1013">
        <f t="shared" si="248"/>
        <v>4.9933836675372394</v>
      </c>
      <c r="CN96" s="1013">
        <f t="shared" si="248"/>
        <v>5.0007463945776598</v>
      </c>
      <c r="CO96" s="1013">
        <f t="shared" si="248"/>
        <v>5.0081199779337728</v>
      </c>
      <c r="CP96" s="1013">
        <f t="shared" si="248"/>
        <v>5.0155044336131782</v>
      </c>
      <c r="CQ96" s="1013">
        <f t="shared" si="248"/>
        <v>5.0179773723413712</v>
      </c>
      <c r="CR96" s="1013">
        <f t="shared" si="248"/>
        <v>5.0204515303738297</v>
      </c>
      <c r="CS96" s="1013">
        <f t="shared" si="248"/>
        <v>5.0229269083117432</v>
      </c>
      <c r="CT96" s="1013">
        <f t="shared" si="248"/>
        <v>5.0254035067565965</v>
      </c>
      <c r="CU96" s="1013">
        <f t="shared" si="248"/>
        <v>5.0278813263101725</v>
      </c>
      <c r="CV96" s="1013">
        <f t="shared" si="248"/>
        <v>5.024320165248267</v>
      </c>
      <c r="CW96" s="1013">
        <f t="shared" si="248"/>
        <v>5.0207615264949217</v>
      </c>
      <c r="CX96" s="1013">
        <f t="shared" si="248"/>
        <v>5.0172054082636297</v>
      </c>
      <c r="CY96" s="1013">
        <f t="shared" si="248"/>
        <v>5.013651808769148</v>
      </c>
      <c r="CZ96" s="1013">
        <f t="shared" si="248"/>
        <v>5.010100726227499</v>
      </c>
    </row>
    <row r="97" spans="1:104" x14ac:dyDescent="0.25">
      <c r="A97" s="715" t="str">
        <f>'HyARC Physical Property Data'!A79</f>
        <v>Electric Utility Steam Coal</v>
      </c>
      <c r="B97">
        <v>2012</v>
      </c>
      <c r="C97" s="692">
        <f t="shared" si="221"/>
        <v>1.0573833607504113</v>
      </c>
      <c r="D97" s="976" t="str">
        <f>+'HyARC Physical Property Data'!$H$79</f>
        <v>kg</v>
      </c>
      <c r="E97" s="709" t="s">
        <v>1025</v>
      </c>
      <c r="F97">
        <f>'HyARC Physical Property Data'!$E$42</f>
        <v>22.7322030001394</v>
      </c>
      <c r="G97">
        <f>'HyARC Physical Property Data'!$I$42</f>
        <v>23.967615189707661</v>
      </c>
      <c r="H97" s="803">
        <v>1.6675147780813302</v>
      </c>
      <c r="I97" s="803">
        <v>1.6675147780813302</v>
      </c>
      <c r="J97" s="803">
        <v>1.6675147780813302</v>
      </c>
      <c r="K97" s="803">
        <v>1.6675147780813302</v>
      </c>
      <c r="L97" s="803">
        <v>1.899114052814848</v>
      </c>
      <c r="M97" s="803">
        <v>1.9917537627082553</v>
      </c>
      <c r="N97" s="803">
        <v>1.8435302268788039</v>
      </c>
      <c r="O97">
        <f t="shared" ref="O97:AR97" si="249">O113*($C97/mmBTU_to_GJ*$G97/$F97)</f>
        <v>2.5597920484602081</v>
      </c>
      <c r="P97">
        <f t="shared" si="249"/>
        <v>2.5255804719830319</v>
      </c>
      <c r="Q97">
        <f t="shared" si="249"/>
        <v>2.508514311053105</v>
      </c>
      <c r="R97">
        <f t="shared" si="249"/>
        <v>2.4620013612393787</v>
      </c>
      <c r="S97">
        <f t="shared" si="249"/>
        <v>2.5403070366096241</v>
      </c>
      <c r="T97">
        <f t="shared" si="249"/>
        <v>2.5596198017585623</v>
      </c>
      <c r="U97">
        <f t="shared" si="249"/>
        <v>2.6274226552413431</v>
      </c>
      <c r="V97">
        <f t="shared" si="249"/>
        <v>2.6949877448721598</v>
      </c>
      <c r="W97">
        <f t="shared" si="249"/>
        <v>2.7359771762226828</v>
      </c>
      <c r="X97">
        <f t="shared" si="249"/>
        <v>2.7594809255355894</v>
      </c>
      <c r="Y97">
        <f t="shared" si="249"/>
        <v>2.7929327144147083</v>
      </c>
      <c r="Z97">
        <f t="shared" si="249"/>
        <v>2.8274782170128665</v>
      </c>
      <c r="AA97">
        <f t="shared" si="249"/>
        <v>2.8557773990378479</v>
      </c>
      <c r="AB97">
        <f t="shared" si="249"/>
        <v>2.8944082129768782</v>
      </c>
      <c r="AC97">
        <f t="shared" si="249"/>
        <v>2.9312151139892806</v>
      </c>
      <c r="AD97">
        <f t="shared" si="249"/>
        <v>2.966511950359648</v>
      </c>
      <c r="AE97">
        <f t="shared" si="249"/>
        <v>2.9977467234102231</v>
      </c>
      <c r="AF97">
        <f t="shared" si="249"/>
        <v>3.0275126442197702</v>
      </c>
      <c r="AG97">
        <f t="shared" si="249"/>
        <v>3.0554092127887573</v>
      </c>
      <c r="AH97">
        <f t="shared" si="249"/>
        <v>3.0915672826673535</v>
      </c>
      <c r="AI97">
        <f t="shared" si="249"/>
        <v>3.1167332654875524</v>
      </c>
      <c r="AJ97">
        <f t="shared" si="249"/>
        <v>3.1431165992298116</v>
      </c>
      <c r="AK97">
        <f t="shared" si="249"/>
        <v>3.1708409210971538</v>
      </c>
      <c r="AL97">
        <f t="shared" si="249"/>
        <v>3.1960671374265175</v>
      </c>
      <c r="AM97">
        <f t="shared" si="249"/>
        <v>3.2230993023025833</v>
      </c>
      <c r="AN97">
        <f t="shared" si="249"/>
        <v>3.2506534909247415</v>
      </c>
      <c r="AO97">
        <f t="shared" si="249"/>
        <v>3.2748293193925355</v>
      </c>
      <c r="AP97">
        <f t="shared" si="249"/>
        <v>3.2978596544579739</v>
      </c>
      <c r="AQ97">
        <f t="shared" si="249"/>
        <v>3.3327063246019542</v>
      </c>
      <c r="AR97">
        <f t="shared" si="249"/>
        <v>3.3706196200721661</v>
      </c>
      <c r="AS97">
        <f t="shared" ref="AS97:BA97" si="250">($BB97-$AR97)/10+AR97</f>
        <v>3.3714122172383907</v>
      </c>
      <c r="AT97">
        <f t="shared" si="250"/>
        <v>3.3722048144046153</v>
      </c>
      <c r="AU97">
        <f t="shared" si="250"/>
        <v>3.3729974115708399</v>
      </c>
      <c r="AV97">
        <f t="shared" si="250"/>
        <v>3.3737900087370645</v>
      </c>
      <c r="AW97">
        <f t="shared" si="250"/>
        <v>3.3745826059032891</v>
      </c>
      <c r="AX97">
        <f t="shared" si="250"/>
        <v>3.3753752030695137</v>
      </c>
      <c r="AY97">
        <f t="shared" si="250"/>
        <v>3.3761678002357383</v>
      </c>
      <c r="AZ97">
        <f t="shared" si="250"/>
        <v>3.3769603974019629</v>
      </c>
      <c r="BA97">
        <f t="shared" si="250"/>
        <v>3.3777529945681875</v>
      </c>
      <c r="BB97" s="741">
        <f>('AEO Data'!$B$28*AM97)</f>
        <v>3.3785455917344129</v>
      </c>
      <c r="BC97">
        <f t="shared" ref="BC97:BP97" si="251">($BQ97-$BB97)/15+BB97</f>
        <v>3.3904023830051258</v>
      </c>
      <c r="BD97">
        <f t="shared" si="251"/>
        <v>3.4022591742758386</v>
      </c>
      <c r="BE97">
        <f t="shared" si="251"/>
        <v>3.4141159655465514</v>
      </c>
      <c r="BF97">
        <f t="shared" si="251"/>
        <v>3.4259727568172642</v>
      </c>
      <c r="BG97">
        <f t="shared" si="251"/>
        <v>3.437829548087977</v>
      </c>
      <c r="BH97">
        <f t="shared" si="251"/>
        <v>3.4496863393586898</v>
      </c>
      <c r="BI97">
        <f t="shared" si="251"/>
        <v>3.4615431306294027</v>
      </c>
      <c r="BJ97">
        <f t="shared" si="251"/>
        <v>3.4733999219001155</v>
      </c>
      <c r="BK97">
        <f t="shared" si="251"/>
        <v>3.4852567131708283</v>
      </c>
      <c r="BL97">
        <f t="shared" si="251"/>
        <v>3.4971135044415411</v>
      </c>
      <c r="BM97">
        <f t="shared" si="251"/>
        <v>3.5089702957122539</v>
      </c>
      <c r="BN97">
        <f t="shared" si="251"/>
        <v>3.5208270869829668</v>
      </c>
      <c r="BO97">
        <f t="shared" si="251"/>
        <v>3.5326838782536796</v>
      </c>
      <c r="BP97">
        <f t="shared" si="251"/>
        <v>3.5445406695243924</v>
      </c>
      <c r="BQ97" s="741">
        <f>('AEO Data'!$C$28*BB97)</f>
        <v>3.5563974607951057</v>
      </c>
      <c r="BR97">
        <f t="shared" si="243"/>
        <v>3.5677989187133954</v>
      </c>
      <c r="BS97">
        <f t="shared" si="243"/>
        <v>3.5792003766316851</v>
      </c>
      <c r="BT97">
        <f t="shared" si="243"/>
        <v>3.5906018345499748</v>
      </c>
      <c r="BU97">
        <f t="shared" si="243"/>
        <v>3.6020032924682646</v>
      </c>
      <c r="BV97" s="762">
        <f>('AEO Data'!$D$28*BQ97)</f>
        <v>3.6134047503865552</v>
      </c>
      <c r="BW97" s="1013">
        <f t="shared" ref="BW97:CZ97" si="252">+BV97*BW$138/BV$138</f>
        <v>3.6256215101320701</v>
      </c>
      <c r="BX97" s="1013">
        <f t="shared" si="252"/>
        <v>3.6378795741955314</v>
      </c>
      <c r="BY97" s="1013">
        <f t="shared" si="252"/>
        <v>3.6501790822249895</v>
      </c>
      <c r="BZ97" s="1013">
        <f t="shared" si="252"/>
        <v>3.6625201743406386</v>
      </c>
      <c r="CA97" s="1013">
        <f t="shared" si="252"/>
        <v>3.6749029911364137</v>
      </c>
      <c r="CB97" s="1013">
        <f t="shared" si="252"/>
        <v>3.6854248153589553</v>
      </c>
      <c r="CC97" s="1013">
        <f t="shared" si="252"/>
        <v>3.6959767652161704</v>
      </c>
      <c r="CD97" s="1013">
        <f t="shared" si="252"/>
        <v>3.7065589269624799</v>
      </c>
      <c r="CE97" s="1013">
        <f t="shared" si="252"/>
        <v>3.7171713870992669</v>
      </c>
      <c r="CF97" s="1013">
        <f t="shared" si="252"/>
        <v>3.7278142323755787</v>
      </c>
      <c r="CG97" s="1013">
        <f t="shared" si="252"/>
        <v>3.7359400558283795</v>
      </c>
      <c r="CH97" s="1013">
        <f t="shared" si="252"/>
        <v>3.7440835918072533</v>
      </c>
      <c r="CI97" s="1013">
        <f t="shared" si="252"/>
        <v>3.7522448789216503</v>
      </c>
      <c r="CJ97" s="1013">
        <f t="shared" si="252"/>
        <v>3.760423955865182</v>
      </c>
      <c r="CK97" s="1013">
        <f t="shared" si="252"/>
        <v>3.768620861415803</v>
      </c>
      <c r="CL97" s="1013">
        <f t="shared" si="252"/>
        <v>3.7741776799118107</v>
      </c>
      <c r="CM97" s="1013">
        <f t="shared" si="252"/>
        <v>3.7797426919175763</v>
      </c>
      <c r="CN97" s="1013">
        <f t="shared" si="252"/>
        <v>3.7853159095144004</v>
      </c>
      <c r="CO97" s="1013">
        <f t="shared" si="252"/>
        <v>3.7908973448013987</v>
      </c>
      <c r="CP97" s="1013">
        <f t="shared" si="252"/>
        <v>3.796487009895527</v>
      </c>
      <c r="CQ97" s="1013">
        <f t="shared" si="252"/>
        <v>3.7983589013238204</v>
      </c>
      <c r="CR97" s="1013">
        <f t="shared" si="252"/>
        <v>3.8002317157047045</v>
      </c>
      <c r="CS97" s="1013">
        <f t="shared" si="252"/>
        <v>3.8021054534932484</v>
      </c>
      <c r="CT97" s="1013">
        <f t="shared" si="252"/>
        <v>3.8039801151447463</v>
      </c>
      <c r="CU97" s="1013">
        <f t="shared" si="252"/>
        <v>3.805855701114718</v>
      </c>
      <c r="CV97" s="1013">
        <f t="shared" si="252"/>
        <v>3.803160079589381</v>
      </c>
      <c r="CW97" s="1013">
        <f t="shared" si="252"/>
        <v>3.8004663673259764</v>
      </c>
      <c r="CX97" s="1013">
        <f t="shared" si="252"/>
        <v>3.7977745629722066</v>
      </c>
      <c r="CY97" s="1013">
        <f t="shared" si="252"/>
        <v>3.7950846651767312</v>
      </c>
      <c r="CZ97" s="1013">
        <f t="shared" si="252"/>
        <v>3.7923966725891693</v>
      </c>
    </row>
    <row r="98" spans="1:104" x14ac:dyDescent="0.25">
      <c r="A98" s="694" t="str">
        <f>'HyARC Physical Property Data'!A76</f>
        <v>Commercial Electricity</v>
      </c>
      <c r="B98">
        <v>2012</v>
      </c>
      <c r="C98" s="692">
        <f t="shared" si="221"/>
        <v>1.0573833607504113</v>
      </c>
      <c r="D98" s="964" t="str">
        <f>'HyARC Physical Property Data'!$H$76</f>
        <v>kWh</v>
      </c>
      <c r="E98" s="692" t="s">
        <v>1044</v>
      </c>
      <c r="F98" s="695"/>
      <c r="G98" s="692"/>
      <c r="H98" s="803">
        <v>26.706046857142852</v>
      </c>
      <c r="I98" s="803">
        <v>26.706046857142852</v>
      </c>
      <c r="J98" s="803">
        <v>26.706046857142852</v>
      </c>
      <c r="K98" s="803">
        <v>26.706046857142852</v>
      </c>
      <c r="L98" s="803">
        <v>28.244819428571425</v>
      </c>
      <c r="M98" s="803">
        <v>26.82655314285714</v>
      </c>
      <c r="N98" s="803">
        <v>25.371207999999996</v>
      </c>
      <c r="O98">
        <f>O114*($C98)</f>
        <v>32.283135281491724</v>
      </c>
      <c r="P98">
        <f t="shared" ref="P98:AR98" si="253">P114*($C98)</f>
        <v>31.249217372283084</v>
      </c>
      <c r="Q98">
        <f t="shared" si="253"/>
        <v>31.153358168947534</v>
      </c>
      <c r="R98">
        <f t="shared" si="253"/>
        <v>31.319492127821917</v>
      </c>
      <c r="S98">
        <f t="shared" si="253"/>
        <v>31.713042813009693</v>
      </c>
      <c r="T98">
        <f t="shared" si="253"/>
        <v>31.867220938224076</v>
      </c>
      <c r="U98">
        <f t="shared" si="253"/>
        <v>32.111549454009307</v>
      </c>
      <c r="V98">
        <f t="shared" si="253"/>
        <v>32.486400314462216</v>
      </c>
      <c r="W98">
        <f t="shared" si="253"/>
        <v>32.794032257288862</v>
      </c>
      <c r="X98">
        <f t="shared" si="253"/>
        <v>32.56691477046656</v>
      </c>
      <c r="Y98">
        <f t="shared" si="253"/>
        <v>32.389706835655034</v>
      </c>
      <c r="Z98">
        <f t="shared" si="253"/>
        <v>32.033284052413286</v>
      </c>
      <c r="AA98">
        <f t="shared" si="253"/>
        <v>31.890145009485142</v>
      </c>
      <c r="AB98">
        <f t="shared" si="253"/>
        <v>32.24751415083476</v>
      </c>
      <c r="AC98">
        <f t="shared" si="253"/>
        <v>32.302516061110914</v>
      </c>
      <c r="AD98">
        <f t="shared" si="253"/>
        <v>32.38566340168353</v>
      </c>
      <c r="AE98">
        <f t="shared" si="253"/>
        <v>32.600838800829514</v>
      </c>
      <c r="AF98">
        <f t="shared" si="253"/>
        <v>32.680488317244759</v>
      </c>
      <c r="AG98">
        <f t="shared" si="253"/>
        <v>32.795928145654685</v>
      </c>
      <c r="AH98">
        <f t="shared" si="253"/>
        <v>33.053412625214378</v>
      </c>
      <c r="AI98">
        <f t="shared" si="253"/>
        <v>33.31428601844528</v>
      </c>
      <c r="AJ98">
        <f t="shared" si="253"/>
        <v>33.35913704845823</v>
      </c>
      <c r="AK98">
        <f t="shared" si="253"/>
        <v>33.34702472206083</v>
      </c>
      <c r="AL98">
        <f t="shared" si="253"/>
        <v>33.547734059448395</v>
      </c>
      <c r="AM98">
        <f t="shared" si="253"/>
        <v>33.819217237321062</v>
      </c>
      <c r="AN98">
        <f t="shared" si="253"/>
        <v>34.102738724755874</v>
      </c>
      <c r="AO98">
        <f t="shared" si="253"/>
        <v>34.318819244058659</v>
      </c>
      <c r="AP98">
        <f t="shared" si="253"/>
        <v>34.39246810990165</v>
      </c>
      <c r="AQ98">
        <f t="shared" si="253"/>
        <v>34.626804352927799</v>
      </c>
      <c r="AR98">
        <f t="shared" si="253"/>
        <v>34.901427959381891</v>
      </c>
      <c r="AS98">
        <f t="shared" ref="AS98:BA98" si="254">($BB98-$AR98)/10+AR98</f>
        <v>34.70890076364649</v>
      </c>
      <c r="AT98">
        <f t="shared" si="254"/>
        <v>34.516373567911089</v>
      </c>
      <c r="AU98">
        <f t="shared" si="254"/>
        <v>34.323846372175687</v>
      </c>
      <c r="AV98">
        <f t="shared" si="254"/>
        <v>34.131319176440286</v>
      </c>
      <c r="AW98">
        <f t="shared" si="254"/>
        <v>33.938791980704885</v>
      </c>
      <c r="AX98">
        <f t="shared" si="254"/>
        <v>33.746264784969483</v>
      </c>
      <c r="AY98">
        <f t="shared" si="254"/>
        <v>33.553737589234082</v>
      </c>
      <c r="AZ98">
        <f t="shared" si="254"/>
        <v>33.361210393498681</v>
      </c>
      <c r="BA98">
        <f t="shared" si="254"/>
        <v>33.168683197763279</v>
      </c>
      <c r="BB98" s="741">
        <f>'AEO Data'!$B$33*AM98</f>
        <v>32.976156002027878</v>
      </c>
      <c r="BC98">
        <f t="shared" ref="BC98:BP98" si="255">($BQ98-$BB98)/15+BB98</f>
        <v>32.995368695731926</v>
      </c>
      <c r="BD98">
        <f t="shared" si="255"/>
        <v>33.014581389435975</v>
      </c>
      <c r="BE98">
        <f t="shared" si="255"/>
        <v>33.033794083140023</v>
      </c>
      <c r="BF98">
        <f t="shared" si="255"/>
        <v>33.053006776844072</v>
      </c>
      <c r="BG98">
        <f t="shared" si="255"/>
        <v>33.07221947054812</v>
      </c>
      <c r="BH98">
        <f t="shared" si="255"/>
        <v>33.091432164252168</v>
      </c>
      <c r="BI98">
        <f t="shared" si="255"/>
        <v>33.110644857956217</v>
      </c>
      <c r="BJ98">
        <f t="shared" si="255"/>
        <v>33.129857551660265</v>
      </c>
      <c r="BK98">
        <f t="shared" si="255"/>
        <v>33.149070245364314</v>
      </c>
      <c r="BL98">
        <f t="shared" si="255"/>
        <v>33.168282939068362</v>
      </c>
      <c r="BM98">
        <f t="shared" si="255"/>
        <v>33.187495632772411</v>
      </c>
      <c r="BN98">
        <f t="shared" si="255"/>
        <v>33.206708326476459</v>
      </c>
      <c r="BO98">
        <f t="shared" si="255"/>
        <v>33.225921020180508</v>
      </c>
      <c r="BP98">
        <f t="shared" si="255"/>
        <v>33.245133713884556</v>
      </c>
      <c r="BQ98" s="741">
        <f>'AEO Data'!$C$33*BB98</f>
        <v>33.264346407588576</v>
      </c>
      <c r="BR98">
        <f t="shared" si="243"/>
        <v>33.241947852661184</v>
      </c>
      <c r="BS98">
        <f t="shared" si="243"/>
        <v>33.219549297733792</v>
      </c>
      <c r="BT98">
        <f t="shared" si="243"/>
        <v>33.1971507428064</v>
      </c>
      <c r="BU98">
        <f t="shared" si="243"/>
        <v>33.174752187879008</v>
      </c>
      <c r="BV98" s="762">
        <f>'AEO Data'!$D$33*BQ98</f>
        <v>33.152353632951616</v>
      </c>
      <c r="BW98" s="1013">
        <f>+BV98*BW$139/BV$139</f>
        <v>33.137756526643614</v>
      </c>
      <c r="BX98" s="1013">
        <f t="shared" ref="BX98:CZ98" si="256">+BW98*BX$139/BW$139</f>
        <v>33.123165847496566</v>
      </c>
      <c r="BY98" s="1013">
        <f t="shared" si="256"/>
        <v>33.108581592680558</v>
      </c>
      <c r="BZ98" s="1013">
        <f t="shared" si="256"/>
        <v>33.094003759366935</v>
      </c>
      <c r="CA98" s="1013">
        <f t="shared" si="256"/>
        <v>33.079432344728289</v>
      </c>
      <c r="CB98" s="1013">
        <f t="shared" si="256"/>
        <v>33.052936236007881</v>
      </c>
      <c r="CC98" s="1013">
        <f t="shared" si="256"/>
        <v>33.026461350256774</v>
      </c>
      <c r="CD98" s="1013">
        <f t="shared" si="256"/>
        <v>33.000007670475696</v>
      </c>
      <c r="CE98" s="1013">
        <f t="shared" si="256"/>
        <v>32.973575179679017</v>
      </c>
      <c r="CF98" s="1013">
        <f t="shared" si="256"/>
        <v>32.947163860894676</v>
      </c>
      <c r="CG98" s="1013">
        <f t="shared" si="256"/>
        <v>32.91078078916545</v>
      </c>
      <c r="CH98" s="1013">
        <f t="shared" si="256"/>
        <v>32.874437894730825</v>
      </c>
      <c r="CI98" s="1013">
        <f t="shared" si="256"/>
        <v>32.838135133223581</v>
      </c>
      <c r="CJ98" s="1013">
        <f t="shared" si="256"/>
        <v>32.801872460325534</v>
      </c>
      <c r="CK98" s="1013">
        <f t="shared" si="256"/>
        <v>32.765649831767405</v>
      </c>
      <c r="CL98" s="1013">
        <f t="shared" si="256"/>
        <v>32.726158314166163</v>
      </c>
      <c r="CM98" s="1013">
        <f t="shared" si="256"/>
        <v>32.686714394582069</v>
      </c>
      <c r="CN98" s="1013">
        <f t="shared" si="256"/>
        <v>32.647318015646562</v>
      </c>
      <c r="CO98" s="1013">
        <f t="shared" si="256"/>
        <v>32.60796912006024</v>
      </c>
      <c r="CP98" s="1013">
        <f t="shared" si="256"/>
        <v>32.568667650592751</v>
      </c>
      <c r="CQ98" s="1013">
        <f t="shared" si="256"/>
        <v>32.523146286411503</v>
      </c>
      <c r="CR98" s="1013">
        <f t="shared" si="256"/>
        <v>32.477688547633022</v>
      </c>
      <c r="CS98" s="1013">
        <f t="shared" si="256"/>
        <v>32.432294345327811</v>
      </c>
      <c r="CT98" s="1013">
        <f t="shared" si="256"/>
        <v>32.386963590690684</v>
      </c>
      <c r="CU98" s="1013">
        <f t="shared" si="256"/>
        <v>32.341696195040562</v>
      </c>
      <c r="CV98" s="1013">
        <f t="shared" si="256"/>
        <v>32.297507157866328</v>
      </c>
      <c r="CW98" s="1013">
        <f t="shared" si="256"/>
        <v>32.25337849696286</v>
      </c>
      <c r="CX98" s="1013">
        <f t="shared" si="256"/>
        <v>32.209310129836972</v>
      </c>
      <c r="CY98" s="1013">
        <f t="shared" si="256"/>
        <v>32.16530197410821</v>
      </c>
      <c r="CZ98" s="1013">
        <f t="shared" si="256"/>
        <v>32.121353947508659</v>
      </c>
    </row>
    <row r="99" spans="1:104" x14ac:dyDescent="0.25">
      <c r="A99" s="694" t="str">
        <f>'HyARC Physical Property Data'!A77</f>
        <v>Industrial Electricity</v>
      </c>
      <c r="B99">
        <v>2012</v>
      </c>
      <c r="C99" s="692">
        <f t="shared" si="221"/>
        <v>1.0573833607504113</v>
      </c>
      <c r="D99" s="964" t="str">
        <f>'HyARC Physical Property Data'!$H$77</f>
        <v>kWh</v>
      </c>
      <c r="E99" s="692" t="s">
        <v>1044</v>
      </c>
      <c r="F99" s="693"/>
      <c r="H99" s="803">
        <v>17.630996571428568</v>
      </c>
      <c r="I99" s="803">
        <v>17.630996571428568</v>
      </c>
      <c r="J99" s="803">
        <v>17.630996571428568</v>
      </c>
      <c r="K99" s="803">
        <v>17.630996571428568</v>
      </c>
      <c r="L99" s="803">
        <v>18.734092571428569</v>
      </c>
      <c r="M99" s="803">
        <v>18.576507428571425</v>
      </c>
      <c r="N99" s="803">
        <v>17.751502857142853</v>
      </c>
      <c r="O99">
        <f t="shared" ref="O99:AR99" si="257">O115*($C99)</f>
        <v>21.515674690350355</v>
      </c>
      <c r="P99">
        <f t="shared" si="257"/>
        <v>20.614325162612442</v>
      </c>
      <c r="Q99">
        <f t="shared" si="257"/>
        <v>21.234320838805083</v>
      </c>
      <c r="R99">
        <f t="shared" si="257"/>
        <v>21.012944943631656</v>
      </c>
      <c r="S99">
        <f t="shared" si="257"/>
        <v>21.260067066255996</v>
      </c>
      <c r="T99">
        <f t="shared" si="257"/>
        <v>21.264334665499984</v>
      </c>
      <c r="U99">
        <f t="shared" si="257"/>
        <v>21.45053776056141</v>
      </c>
      <c r="V99">
        <f t="shared" si="257"/>
        <v>21.773568377270657</v>
      </c>
      <c r="W99">
        <f t="shared" si="257"/>
        <v>22.056475524972875</v>
      </c>
      <c r="X99">
        <f t="shared" si="257"/>
        <v>21.961455884025764</v>
      </c>
      <c r="Y99">
        <f t="shared" si="257"/>
        <v>21.942053956739354</v>
      </c>
      <c r="Z99">
        <f t="shared" si="257"/>
        <v>21.839343966609501</v>
      </c>
      <c r="AA99">
        <f t="shared" si="257"/>
        <v>21.848738817769767</v>
      </c>
      <c r="AB99">
        <f t="shared" si="257"/>
        <v>22.148172867400511</v>
      </c>
      <c r="AC99">
        <f t="shared" si="257"/>
        <v>22.288834461114416</v>
      </c>
      <c r="AD99">
        <f t="shared" si="257"/>
        <v>22.455557382520738</v>
      </c>
      <c r="AE99">
        <f t="shared" si="257"/>
        <v>22.693200063315949</v>
      </c>
      <c r="AF99">
        <f t="shared" si="257"/>
        <v>22.825154105054075</v>
      </c>
      <c r="AG99">
        <f t="shared" si="257"/>
        <v>22.985164756886352</v>
      </c>
      <c r="AH99">
        <f t="shared" si="257"/>
        <v>23.25006678072171</v>
      </c>
      <c r="AI99">
        <f t="shared" si="257"/>
        <v>23.513378499982501</v>
      </c>
      <c r="AJ99">
        <f t="shared" si="257"/>
        <v>23.624497859980398</v>
      </c>
      <c r="AK99">
        <f t="shared" si="257"/>
        <v>23.72471031061216</v>
      </c>
      <c r="AL99">
        <f t="shared" si="257"/>
        <v>23.954574879405691</v>
      </c>
      <c r="AM99">
        <f t="shared" si="257"/>
        <v>24.226613183542757</v>
      </c>
      <c r="AN99">
        <f t="shared" si="257"/>
        <v>24.521924495449934</v>
      </c>
      <c r="AO99">
        <f t="shared" si="257"/>
        <v>24.752620167565013</v>
      </c>
      <c r="AP99">
        <f t="shared" si="257"/>
        <v>24.871397097861468</v>
      </c>
      <c r="AQ99">
        <f t="shared" si="257"/>
        <v>25.127647611039166</v>
      </c>
      <c r="AR99">
        <f t="shared" si="257"/>
        <v>25.43300195010675</v>
      </c>
      <c r="AS99">
        <f t="shared" ref="AS99:BA99" si="258">($BB99-$AR99)/10+AR99</f>
        <v>25.251969841122818</v>
      </c>
      <c r="AT99">
        <f t="shared" si="258"/>
        <v>25.070937732138887</v>
      </c>
      <c r="AU99">
        <f t="shared" si="258"/>
        <v>24.889905623154956</v>
      </c>
      <c r="AV99">
        <f t="shared" si="258"/>
        <v>24.708873514171025</v>
      </c>
      <c r="AW99">
        <f t="shared" si="258"/>
        <v>24.527841405187093</v>
      </c>
      <c r="AX99">
        <f t="shared" si="258"/>
        <v>24.346809296203162</v>
      </c>
      <c r="AY99">
        <f t="shared" si="258"/>
        <v>24.165777187219231</v>
      </c>
      <c r="AZ99">
        <f t="shared" si="258"/>
        <v>23.984745078235299</v>
      </c>
      <c r="BA99">
        <f t="shared" si="258"/>
        <v>23.803712969251368</v>
      </c>
      <c r="BB99" s="741">
        <f>'AEO Data'!$B$33*AM99</f>
        <v>23.622680860267447</v>
      </c>
      <c r="BC99">
        <f t="shared" ref="BC99:BP99" si="259">($BQ99-$BB99)/15+BB99</f>
        <v>23.636443996632064</v>
      </c>
      <c r="BD99">
        <f t="shared" si="259"/>
        <v>23.65020713299668</v>
      </c>
      <c r="BE99">
        <f t="shared" si="259"/>
        <v>23.663970269361297</v>
      </c>
      <c r="BF99">
        <f t="shared" si="259"/>
        <v>23.677733405725913</v>
      </c>
      <c r="BG99">
        <f t="shared" si="259"/>
        <v>23.69149654209053</v>
      </c>
      <c r="BH99">
        <f t="shared" si="259"/>
        <v>23.705259678455146</v>
      </c>
      <c r="BI99">
        <f t="shared" si="259"/>
        <v>23.719022814819763</v>
      </c>
      <c r="BJ99">
        <f t="shared" si="259"/>
        <v>23.732785951184379</v>
      </c>
      <c r="BK99">
        <f t="shared" si="259"/>
        <v>23.746549087548996</v>
      </c>
      <c r="BL99">
        <f t="shared" si="259"/>
        <v>23.760312223913612</v>
      </c>
      <c r="BM99">
        <f t="shared" si="259"/>
        <v>23.774075360278228</v>
      </c>
      <c r="BN99">
        <f t="shared" si="259"/>
        <v>23.787838496642845</v>
      </c>
      <c r="BO99">
        <f t="shared" si="259"/>
        <v>23.801601633007461</v>
      </c>
      <c r="BP99">
        <f t="shared" si="259"/>
        <v>23.815364769372078</v>
      </c>
      <c r="BQ99" s="741">
        <f>'AEO Data'!$C$33*BB99</f>
        <v>23.829127905736687</v>
      </c>
      <c r="BR99">
        <f t="shared" si="243"/>
        <v>23.813082557250695</v>
      </c>
      <c r="BS99">
        <f t="shared" si="243"/>
        <v>23.797037208764703</v>
      </c>
      <c r="BT99">
        <f t="shared" si="243"/>
        <v>23.780991860278711</v>
      </c>
      <c r="BU99">
        <f t="shared" si="243"/>
        <v>23.764946511792719</v>
      </c>
      <c r="BV99" s="762">
        <f>'AEO Data'!$D$33*BQ99</f>
        <v>23.748901163306734</v>
      </c>
      <c r="BW99" s="1013">
        <f>+BV99*BW$140/BV$140</f>
        <v>23.75607712303141</v>
      </c>
      <c r="BX99" s="1013">
        <f t="shared" ref="BX99:CZ99" si="260">+BW99*BX$140/BW$140</f>
        <v>23.763255251041588</v>
      </c>
      <c r="BY99" s="1013">
        <f t="shared" si="260"/>
        <v>23.770435547992431</v>
      </c>
      <c r="BZ99" s="1013">
        <f t="shared" si="260"/>
        <v>23.777618014539303</v>
      </c>
      <c r="CA99" s="1013">
        <f t="shared" si="260"/>
        <v>23.78480265133777</v>
      </c>
      <c r="CB99" s="1013">
        <f t="shared" si="260"/>
        <v>23.782112772933441</v>
      </c>
      <c r="CC99" s="1013">
        <f t="shared" si="260"/>
        <v>23.779423198733689</v>
      </c>
      <c r="CD99" s="1013">
        <f t="shared" si="260"/>
        <v>23.776733928704111</v>
      </c>
      <c r="CE99" s="1013">
        <f t="shared" si="260"/>
        <v>23.774044962810308</v>
      </c>
      <c r="CF99" s="1013">
        <f t="shared" si="260"/>
        <v>23.771356301017885</v>
      </c>
      <c r="CG99" s="1013">
        <f t="shared" si="260"/>
        <v>23.76057340337865</v>
      </c>
      <c r="CH99" s="1013">
        <f t="shared" si="260"/>
        <v>23.749795396957229</v>
      </c>
      <c r="CI99" s="1013">
        <f t="shared" si="260"/>
        <v>23.739022279534925</v>
      </c>
      <c r="CJ99" s="1013">
        <f t="shared" si="260"/>
        <v>23.728254048894051</v>
      </c>
      <c r="CK99" s="1013">
        <f t="shared" si="260"/>
        <v>23.717490702817912</v>
      </c>
      <c r="CL99" s="1013">
        <f t="shared" si="260"/>
        <v>23.704286288042756</v>
      </c>
      <c r="CM99" s="1013">
        <f t="shared" si="260"/>
        <v>23.691089224659521</v>
      </c>
      <c r="CN99" s="1013">
        <f t="shared" si="260"/>
        <v>23.677899508575415</v>
      </c>
      <c r="CO99" s="1013">
        <f t="shared" si="260"/>
        <v>23.664717135699917</v>
      </c>
      <c r="CP99" s="1013">
        <f t="shared" si="260"/>
        <v>23.651542101944788</v>
      </c>
      <c r="CQ99" s="1013">
        <f t="shared" si="260"/>
        <v>23.633491650128491</v>
      </c>
      <c r="CR99" s="1013">
        <f t="shared" si="260"/>
        <v>23.615454974107841</v>
      </c>
      <c r="CS99" s="1013">
        <f t="shared" si="260"/>
        <v>23.597432063369389</v>
      </c>
      <c r="CT99" s="1013">
        <f t="shared" si="260"/>
        <v>23.579422907407711</v>
      </c>
      <c r="CU99" s="1013">
        <f t="shared" si="260"/>
        <v>23.561427495725386</v>
      </c>
      <c r="CV99" s="1013">
        <f t="shared" si="260"/>
        <v>23.544508396580287</v>
      </c>
      <c r="CW99" s="1013">
        <f t="shared" si="260"/>
        <v>23.52760144678038</v>
      </c>
      <c r="CX99" s="1013">
        <f t="shared" si="260"/>
        <v>23.510706637601409</v>
      </c>
      <c r="CY99" s="1013">
        <f t="shared" si="260"/>
        <v>23.493823960325379</v>
      </c>
      <c r="CZ99" s="1013">
        <f t="shared" si="260"/>
        <v>23.476953406240558</v>
      </c>
    </row>
    <row r="100" spans="1:104" ht="13.8" thickBot="1" x14ac:dyDescent="0.3">
      <c r="A100" s="696" t="str">
        <f>'HyARC Physical Property Data'!A78</f>
        <v>Residential Electricity</v>
      </c>
      <c r="B100" s="461">
        <v>2012</v>
      </c>
      <c r="C100" s="697">
        <f t="shared" si="221"/>
        <v>1.0573833607504113</v>
      </c>
      <c r="D100" s="965" t="str">
        <f>'HyARC Physical Property Data'!$H$78</f>
        <v>kWh</v>
      </c>
      <c r="E100" s="697" t="s">
        <v>1044</v>
      </c>
      <c r="F100" s="701"/>
      <c r="G100" s="461"/>
      <c r="H100" s="805">
        <v>29.496230857142855</v>
      </c>
      <c r="I100" s="805">
        <v>29.496230857142855</v>
      </c>
      <c r="J100" s="805">
        <v>29.496230857142855</v>
      </c>
      <c r="K100" s="805">
        <v>29.496230857142855</v>
      </c>
      <c r="L100" s="805">
        <v>30.858878857142852</v>
      </c>
      <c r="M100" s="805">
        <v>29.96898628571428</v>
      </c>
      <c r="N100" s="805">
        <v>28.680495999999998</v>
      </c>
      <c r="O100" s="461">
        <f t="shared" ref="O100:AR100" si="261">O116*($C100)</f>
        <v>36.958599009222638</v>
      </c>
      <c r="P100" s="461">
        <f t="shared" si="261"/>
        <v>36.829914396835953</v>
      </c>
      <c r="Q100" s="461">
        <f t="shared" si="261"/>
        <v>35.967931251618772</v>
      </c>
      <c r="R100" s="461">
        <f t="shared" si="261"/>
        <v>36.384210392145889</v>
      </c>
      <c r="S100" s="461">
        <f t="shared" si="261"/>
        <v>36.946828217650761</v>
      </c>
      <c r="T100" s="461">
        <f t="shared" si="261"/>
        <v>37.180918090353856</v>
      </c>
      <c r="U100" s="461">
        <f t="shared" si="261"/>
        <v>37.557365599681496</v>
      </c>
      <c r="V100" s="461">
        <f t="shared" si="261"/>
        <v>37.974121620104306</v>
      </c>
      <c r="W100" s="461">
        <f t="shared" si="261"/>
        <v>38.254262652934798</v>
      </c>
      <c r="X100" s="461">
        <f t="shared" si="261"/>
        <v>38.221123201025513</v>
      </c>
      <c r="Y100" s="461">
        <f t="shared" si="261"/>
        <v>38.131149393475901</v>
      </c>
      <c r="Z100" s="461">
        <f t="shared" si="261"/>
        <v>37.858692365527979</v>
      </c>
      <c r="AA100" s="461">
        <f t="shared" si="261"/>
        <v>37.743955697052961</v>
      </c>
      <c r="AB100" s="461">
        <f t="shared" si="261"/>
        <v>38.1089157935494</v>
      </c>
      <c r="AC100" s="461">
        <f t="shared" si="261"/>
        <v>38.215330854975328</v>
      </c>
      <c r="AD100" s="461">
        <f t="shared" si="261"/>
        <v>38.326908061968432</v>
      </c>
      <c r="AE100" s="461">
        <f t="shared" si="261"/>
        <v>38.563554687637811</v>
      </c>
      <c r="AF100" s="461">
        <f t="shared" si="261"/>
        <v>38.678694219173288</v>
      </c>
      <c r="AG100" s="461">
        <f t="shared" si="261"/>
        <v>38.832728540250606</v>
      </c>
      <c r="AH100" s="461">
        <f t="shared" si="261"/>
        <v>39.103972749483745</v>
      </c>
      <c r="AI100" s="461">
        <f t="shared" si="261"/>
        <v>39.394125087973819</v>
      </c>
      <c r="AJ100" s="461">
        <f t="shared" si="261"/>
        <v>39.478120450001747</v>
      </c>
      <c r="AK100" s="461">
        <f t="shared" si="261"/>
        <v>39.513366209565646</v>
      </c>
      <c r="AL100" s="461">
        <f t="shared" si="261"/>
        <v>39.723129920671305</v>
      </c>
      <c r="AM100" s="461">
        <f t="shared" si="261"/>
        <v>39.988020313289695</v>
      </c>
      <c r="AN100" s="461">
        <f t="shared" si="261"/>
        <v>40.267543834237514</v>
      </c>
      <c r="AO100" s="461">
        <f t="shared" si="261"/>
        <v>40.49663228364426</v>
      </c>
      <c r="AP100" s="461">
        <f t="shared" si="261"/>
        <v>40.571116482342241</v>
      </c>
      <c r="AQ100" s="461">
        <f t="shared" si="261"/>
        <v>40.796195334045009</v>
      </c>
      <c r="AR100" s="461">
        <f t="shared" si="261"/>
        <v>41.063070435231531</v>
      </c>
      <c r="AS100" s="461">
        <f t="shared" ref="AS100:BA100" si="262">($BB100-$AR100)/10+AR100</f>
        <v>40.855881419218811</v>
      </c>
      <c r="AT100" s="461">
        <f t="shared" si="262"/>
        <v>40.648692403206091</v>
      </c>
      <c r="AU100" s="461">
        <f t="shared" si="262"/>
        <v>40.441503387193372</v>
      </c>
      <c r="AV100" s="461">
        <f t="shared" si="262"/>
        <v>40.234314371180652</v>
      </c>
      <c r="AW100" s="461">
        <f t="shared" si="262"/>
        <v>40.027125355167932</v>
      </c>
      <c r="AX100" s="461">
        <f t="shared" si="262"/>
        <v>39.819936339155213</v>
      </c>
      <c r="AY100" s="461">
        <f t="shared" si="262"/>
        <v>39.612747323142493</v>
      </c>
      <c r="AZ100" s="461">
        <f t="shared" si="262"/>
        <v>39.405558307129773</v>
      </c>
      <c r="BA100" s="461">
        <f t="shared" si="262"/>
        <v>39.198369291117054</v>
      </c>
      <c r="BB100" s="767">
        <f>'AEO Data'!$B$33*AM100</f>
        <v>38.991180275104313</v>
      </c>
      <c r="BC100" s="461">
        <f t="shared" ref="BC100:BP100" si="263">($BQ100-$BB100)/15+BB100</f>
        <v>39.013897465177614</v>
      </c>
      <c r="BD100" s="461">
        <f t="shared" si="263"/>
        <v>39.036614655250915</v>
      </c>
      <c r="BE100" s="461">
        <f t="shared" si="263"/>
        <v>39.059331845324216</v>
      </c>
      <c r="BF100" s="461">
        <f t="shared" si="263"/>
        <v>39.082049035397517</v>
      </c>
      <c r="BG100" s="461">
        <f t="shared" si="263"/>
        <v>39.104766225470819</v>
      </c>
      <c r="BH100" s="461">
        <f t="shared" si="263"/>
        <v>39.12748341554412</v>
      </c>
      <c r="BI100" s="461">
        <f t="shared" si="263"/>
        <v>39.150200605617421</v>
      </c>
      <c r="BJ100" s="461">
        <f t="shared" si="263"/>
        <v>39.172917795690722</v>
      </c>
      <c r="BK100" s="461">
        <f t="shared" si="263"/>
        <v>39.195634985764023</v>
      </c>
      <c r="BL100" s="461">
        <f t="shared" si="263"/>
        <v>39.218352175837325</v>
      </c>
      <c r="BM100" s="461">
        <f t="shared" si="263"/>
        <v>39.241069365910626</v>
      </c>
      <c r="BN100" s="461">
        <f t="shared" si="263"/>
        <v>39.263786555983927</v>
      </c>
      <c r="BO100" s="461">
        <f t="shared" si="263"/>
        <v>39.286503746057228</v>
      </c>
      <c r="BP100" s="461">
        <f t="shared" si="263"/>
        <v>39.309220936130529</v>
      </c>
      <c r="BQ100" s="767">
        <f>'AEO Data'!$C$33*BB100</f>
        <v>39.331938126203802</v>
      </c>
      <c r="BR100" s="461">
        <f t="shared" si="243"/>
        <v>39.305453957065893</v>
      </c>
      <c r="BS100" s="461">
        <f t="shared" si="243"/>
        <v>39.278969787927984</v>
      </c>
      <c r="BT100" s="461">
        <f t="shared" si="243"/>
        <v>39.252485618790075</v>
      </c>
      <c r="BU100" s="461">
        <f t="shared" si="243"/>
        <v>39.226001449652166</v>
      </c>
      <c r="BV100" s="768">
        <f>'AEO Data'!$D$33*BQ100</f>
        <v>39.199517280514264</v>
      </c>
      <c r="BW100" s="1013">
        <f>+BV100*BW$141/BV$141</f>
        <v>39.182257585250959</v>
      </c>
      <c r="BX100" s="1013">
        <f t="shared" ref="BX100:CZ100" si="264">+BW100*BX$141/BW$141</f>
        <v>39.165005489496558</v>
      </c>
      <c r="BY100" s="1013">
        <f t="shared" si="264"/>
        <v>39.147760989904967</v>
      </c>
      <c r="BZ100" s="1013">
        <f t="shared" si="264"/>
        <v>39.130524083131569</v>
      </c>
      <c r="CA100" s="1013">
        <f t="shared" si="264"/>
        <v>39.113294765833224</v>
      </c>
      <c r="CB100" s="1013">
        <f t="shared" si="264"/>
        <v>39.08196562754182</v>
      </c>
      <c r="CC100" s="1013">
        <f t="shared" si="264"/>
        <v>39.050661583400931</v>
      </c>
      <c r="CD100" s="1013">
        <f t="shared" si="264"/>
        <v>39.01938261331054</v>
      </c>
      <c r="CE100" s="1013">
        <f t="shared" si="264"/>
        <v>38.988128697186724</v>
      </c>
      <c r="CF100" s="1013">
        <f t="shared" si="264"/>
        <v>38.956899814961638</v>
      </c>
      <c r="CG100" s="1013">
        <f t="shared" si="264"/>
        <v>38.913880279614062</v>
      </c>
      <c r="CH100" s="1013">
        <f t="shared" si="264"/>
        <v>38.870908250110908</v>
      </c>
      <c r="CI100" s="1013">
        <f t="shared" si="264"/>
        <v>38.827983673992158</v>
      </c>
      <c r="CJ100" s="1013">
        <f t="shared" si="264"/>
        <v>38.785106498855733</v>
      </c>
      <c r="CK100" s="1013">
        <f t="shared" si="264"/>
        <v>38.74227667235742</v>
      </c>
      <c r="CL100" s="1013">
        <f t="shared" si="264"/>
        <v>38.695581694263772</v>
      </c>
      <c r="CM100" s="1013">
        <f t="shared" si="264"/>
        <v>38.64894299631591</v>
      </c>
      <c r="CN100" s="1013">
        <f t="shared" si="264"/>
        <v>38.60236051068096</v>
      </c>
      <c r="CO100" s="1013">
        <f t="shared" si="264"/>
        <v>38.555834169607792</v>
      </c>
      <c r="CP100" s="1013">
        <f t="shared" si="264"/>
        <v>38.509363905426945</v>
      </c>
      <c r="CQ100" s="1013">
        <f t="shared" si="264"/>
        <v>38.455539205026732</v>
      </c>
      <c r="CR100" s="1013">
        <f t="shared" si="264"/>
        <v>38.401789735637358</v>
      </c>
      <c r="CS100" s="1013">
        <f t="shared" si="264"/>
        <v>38.348115392108113</v>
      </c>
      <c r="CT100" s="1013">
        <f t="shared" si="264"/>
        <v>38.294516069435261</v>
      </c>
      <c r="CU100" s="1013">
        <f t="shared" si="264"/>
        <v>38.24099166276185</v>
      </c>
      <c r="CV100" s="1013">
        <f t="shared" si="264"/>
        <v>38.188742312821311</v>
      </c>
      <c r="CW100" s="1013">
        <f t="shared" si="264"/>
        <v>38.136564352100841</v>
      </c>
      <c r="CX100" s="1013">
        <f t="shared" si="264"/>
        <v>38.084457683060059</v>
      </c>
      <c r="CY100" s="1013">
        <f t="shared" si="264"/>
        <v>38.032422208291884</v>
      </c>
      <c r="CZ100" s="1013">
        <f t="shared" si="264"/>
        <v>37.980457830522298</v>
      </c>
    </row>
    <row r="101" spans="1:104" ht="13.8" thickTop="1" x14ac:dyDescent="0.25">
      <c r="D101" s="827"/>
    </row>
    <row r="102" spans="1:104" ht="13.8" thickBot="1" x14ac:dyDescent="0.3">
      <c r="D102" s="827"/>
    </row>
    <row r="103" spans="1:104" s="789" customFormat="1" x14ac:dyDescent="0.25">
      <c r="A103" s="785" t="s">
        <v>1130</v>
      </c>
      <c r="B103" s="786"/>
      <c r="C103" s="787"/>
      <c r="D103" s="968"/>
      <c r="E103" s="787"/>
      <c r="F103" s="786"/>
      <c r="G103" s="786"/>
      <c r="H103" s="786"/>
      <c r="I103" s="786"/>
      <c r="J103" s="786"/>
      <c r="K103" s="786"/>
      <c r="L103" s="786"/>
      <c r="M103" s="786"/>
      <c r="N103" s="786"/>
      <c r="O103" s="786"/>
      <c r="P103" s="786"/>
      <c r="Q103" s="786"/>
      <c r="R103" s="786"/>
      <c r="S103" s="786"/>
      <c r="T103" s="786"/>
      <c r="U103" s="786"/>
      <c r="V103" s="786"/>
      <c r="W103" s="786"/>
      <c r="X103" s="786"/>
      <c r="Y103" s="786"/>
      <c r="Z103" s="786"/>
      <c r="AA103" s="786"/>
      <c r="AB103" s="786"/>
      <c r="AC103" s="786"/>
      <c r="AD103" s="786"/>
      <c r="AE103" s="786"/>
      <c r="AF103" s="786"/>
      <c r="AG103" s="786"/>
      <c r="AH103" s="786"/>
      <c r="AI103" s="786"/>
      <c r="AJ103" s="786"/>
      <c r="AK103" s="786"/>
      <c r="AL103" s="786"/>
      <c r="AM103" s="786"/>
      <c r="AN103" s="786"/>
      <c r="AO103" s="786"/>
      <c r="AP103" s="786"/>
      <c r="AQ103" s="786"/>
      <c r="AR103" s="786"/>
      <c r="AS103" s="786"/>
      <c r="AT103" s="786"/>
      <c r="AU103" s="786"/>
      <c r="AV103" s="786"/>
      <c r="AW103" s="786"/>
      <c r="AX103" s="786"/>
      <c r="AY103" s="786"/>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8"/>
    </row>
    <row r="104" spans="1:104" s="789" customFormat="1" x14ac:dyDescent="0.25">
      <c r="A104" s="790" t="s">
        <v>1084</v>
      </c>
      <c r="C104" s="791"/>
      <c r="D104" s="969"/>
      <c r="E104" s="791"/>
      <c r="BV104" s="792"/>
    </row>
    <row r="105" spans="1:104" s="789" customFormat="1" x14ac:dyDescent="0.25">
      <c r="A105" s="793"/>
      <c r="C105" s="791"/>
      <c r="D105" s="969"/>
      <c r="E105" s="791"/>
      <c r="BV105" s="792"/>
    </row>
    <row r="106" spans="1:104" s="789" customFormat="1" x14ac:dyDescent="0.25">
      <c r="A106" s="793" t="s">
        <v>666</v>
      </c>
      <c r="C106" s="791"/>
      <c r="D106" s="969"/>
      <c r="E106" s="791"/>
      <c r="O106" s="794">
        <v>10.979644</v>
      </c>
      <c r="P106" s="794">
        <v>10.458463</v>
      </c>
      <c r="Q106" s="794">
        <v>10.386789</v>
      </c>
      <c r="R106" s="794">
        <v>11.197535999999999</v>
      </c>
      <c r="S106" s="794">
        <v>10.997512</v>
      </c>
      <c r="T106" s="794">
        <v>10.684602</v>
      </c>
      <c r="U106" s="794">
        <v>11.01057</v>
      </c>
      <c r="V106" s="794">
        <v>11.455973999999999</v>
      </c>
      <c r="W106" s="794">
        <v>11.627091999999999</v>
      </c>
      <c r="X106" s="794">
        <v>11.591965</v>
      </c>
      <c r="Y106" s="794">
        <v>11.804651</v>
      </c>
      <c r="Z106" s="794">
        <v>11.896172</v>
      </c>
      <c r="AA106" s="794">
        <v>12.056948999999999</v>
      </c>
      <c r="AB106" s="794">
        <v>12.305148000000001</v>
      </c>
      <c r="AC106" s="794">
        <v>12.475469</v>
      </c>
      <c r="AD106" s="794">
        <v>12.579926</v>
      </c>
      <c r="AE106" s="794">
        <v>12.716393999999999</v>
      </c>
      <c r="AF106" s="794">
        <v>12.897914999999999</v>
      </c>
      <c r="AG106" s="794">
        <v>13.184208999999999</v>
      </c>
      <c r="AH106" s="794">
        <v>13.502886999999999</v>
      </c>
      <c r="AI106" s="794">
        <v>13.64997</v>
      </c>
      <c r="AJ106" s="794">
        <v>13.712135</v>
      </c>
      <c r="AK106" s="794">
        <v>13.943460999999999</v>
      </c>
      <c r="AL106" s="794">
        <v>14.339456999999999</v>
      </c>
      <c r="AM106" s="794">
        <v>14.605688000000001</v>
      </c>
      <c r="AN106" s="794">
        <v>14.994783</v>
      </c>
      <c r="AO106" s="794">
        <v>15.152347000000001</v>
      </c>
      <c r="AP106" s="794">
        <v>15.279963</v>
      </c>
      <c r="AQ106" s="794">
        <v>15.618371</v>
      </c>
      <c r="AR106" s="794">
        <v>15.977807</v>
      </c>
      <c r="BV106" s="792"/>
    </row>
    <row r="107" spans="1:104" s="789" customFormat="1" x14ac:dyDescent="0.25">
      <c r="A107" s="793" t="s">
        <v>1058</v>
      </c>
      <c r="C107" s="791"/>
      <c r="D107" s="969"/>
      <c r="E107" s="791"/>
      <c r="O107" s="794">
        <v>8.9608349999999994</v>
      </c>
      <c r="P107" s="794">
        <v>8.1128640000000001</v>
      </c>
      <c r="Q107" s="794">
        <v>8.3120530000000006</v>
      </c>
      <c r="R107" s="794">
        <v>9.0860579999999995</v>
      </c>
      <c r="S107" s="794">
        <v>8.9185510000000008</v>
      </c>
      <c r="T107" s="794">
        <v>8.7230709999999991</v>
      </c>
      <c r="U107" s="794">
        <v>9.0072580000000002</v>
      </c>
      <c r="V107" s="794">
        <v>9.4091780000000007</v>
      </c>
      <c r="W107" s="794">
        <v>9.5464699999999993</v>
      </c>
      <c r="X107" s="794">
        <v>9.490774</v>
      </c>
      <c r="Y107" s="794">
        <v>9.6849690000000006</v>
      </c>
      <c r="Z107" s="794">
        <v>9.7584820000000008</v>
      </c>
      <c r="AA107" s="794">
        <v>9.8987529999999992</v>
      </c>
      <c r="AB107" s="794">
        <v>10.127039999999999</v>
      </c>
      <c r="AC107" s="794">
        <v>10.286922000000001</v>
      </c>
      <c r="AD107" s="794">
        <v>10.380953999999999</v>
      </c>
      <c r="AE107" s="794">
        <v>10.496881999999999</v>
      </c>
      <c r="AF107" s="794">
        <v>10.657225</v>
      </c>
      <c r="AG107" s="794">
        <v>10.911016</v>
      </c>
      <c r="AH107" s="794">
        <v>11.192325</v>
      </c>
      <c r="AI107" s="794">
        <v>11.294316</v>
      </c>
      <c r="AJ107" s="794">
        <v>11.292712999999999</v>
      </c>
      <c r="AK107" s="794">
        <v>11.478382999999999</v>
      </c>
      <c r="AL107" s="794">
        <v>11.747921</v>
      </c>
      <c r="AM107" s="794">
        <v>11.953430000000001</v>
      </c>
      <c r="AN107" s="794">
        <v>12.263629999999999</v>
      </c>
      <c r="AO107" s="794">
        <v>12.368285999999999</v>
      </c>
      <c r="AP107" s="794">
        <v>12.459205000000001</v>
      </c>
      <c r="AQ107" s="794">
        <v>12.755896</v>
      </c>
      <c r="AR107" s="794">
        <v>13.077387</v>
      </c>
      <c r="BV107" s="792"/>
    </row>
    <row r="108" spans="1:104" s="789" customFormat="1" x14ac:dyDescent="0.25">
      <c r="A108" s="793" t="s">
        <v>280</v>
      </c>
      <c r="C108" s="791"/>
      <c r="D108" s="969"/>
      <c r="E108" s="791"/>
      <c r="O108" s="794">
        <v>5.093718</v>
      </c>
      <c r="P108" s="794">
        <v>3.77142</v>
      </c>
      <c r="Q108" s="794">
        <v>4.594805</v>
      </c>
      <c r="R108" s="794">
        <v>4.7995720000000004</v>
      </c>
      <c r="S108" s="794">
        <v>4.9392990000000001</v>
      </c>
      <c r="T108" s="794">
        <v>5.148549</v>
      </c>
      <c r="U108" s="794">
        <v>5.425808</v>
      </c>
      <c r="V108" s="794">
        <v>5.8458810000000003</v>
      </c>
      <c r="W108" s="794">
        <v>5.9476060000000004</v>
      </c>
      <c r="X108" s="794">
        <v>5.7923239999999998</v>
      </c>
      <c r="Y108" s="794">
        <v>5.9347989999999999</v>
      </c>
      <c r="Z108" s="794">
        <v>5.9545320000000004</v>
      </c>
      <c r="AA108" s="794">
        <v>6.0522600000000004</v>
      </c>
      <c r="AB108" s="794">
        <v>6.2273719999999999</v>
      </c>
      <c r="AC108" s="794">
        <v>6.3209530000000003</v>
      </c>
      <c r="AD108" s="794">
        <v>6.356109</v>
      </c>
      <c r="AE108" s="794">
        <v>6.4293370000000003</v>
      </c>
      <c r="AF108" s="794">
        <v>6.531498</v>
      </c>
      <c r="AG108" s="794">
        <v>6.7357209999999998</v>
      </c>
      <c r="AH108" s="794">
        <v>6.9891050000000003</v>
      </c>
      <c r="AI108" s="794">
        <v>7.1038509999999997</v>
      </c>
      <c r="AJ108" s="794">
        <v>7.224164</v>
      </c>
      <c r="AK108" s="794">
        <v>7.420331</v>
      </c>
      <c r="AL108" s="794">
        <v>7.5726420000000001</v>
      </c>
      <c r="AM108" s="794">
        <v>7.7575940000000001</v>
      </c>
      <c r="AN108" s="794">
        <v>8.0432100000000002</v>
      </c>
      <c r="AO108" s="794">
        <v>8.0942129999999999</v>
      </c>
      <c r="AP108" s="794">
        <v>8.1302479999999999</v>
      </c>
      <c r="AQ108" s="794">
        <v>8.3372609999999998</v>
      </c>
      <c r="AR108" s="794">
        <v>8.5934050000000006</v>
      </c>
      <c r="BV108" s="792"/>
    </row>
    <row r="109" spans="1:104" s="789" customFormat="1" x14ac:dyDescent="0.25">
      <c r="A109" s="793" t="str">
        <f>'HyARC Physical Property Data'!$A$74</f>
        <v>Electric Utility Natural Gas</v>
      </c>
      <c r="C109" s="791"/>
      <c r="D109" s="969"/>
      <c r="E109" s="791"/>
      <c r="O109" s="794">
        <v>4.881901</v>
      </c>
      <c r="P109" s="794">
        <v>3.4378730000000002</v>
      </c>
      <c r="Q109" s="794">
        <v>4.3206319999999998</v>
      </c>
      <c r="R109" s="794">
        <v>4.4694140000000004</v>
      </c>
      <c r="S109" s="794">
        <v>4.4284980000000003</v>
      </c>
      <c r="T109" s="794">
        <v>4.4748020000000004</v>
      </c>
      <c r="U109" s="794">
        <v>4.6905669999999997</v>
      </c>
      <c r="V109" s="794">
        <v>5.0621029999999996</v>
      </c>
      <c r="W109" s="794">
        <v>5.1794200000000004</v>
      </c>
      <c r="X109" s="794">
        <v>5.0744109999999996</v>
      </c>
      <c r="Y109" s="794">
        <v>5.242337</v>
      </c>
      <c r="Z109" s="794">
        <v>5.2943420000000003</v>
      </c>
      <c r="AA109" s="794">
        <v>5.4200609999999996</v>
      </c>
      <c r="AB109" s="794">
        <v>5.622217</v>
      </c>
      <c r="AC109" s="794">
        <v>5.7577170000000004</v>
      </c>
      <c r="AD109" s="794">
        <v>5.8140010000000002</v>
      </c>
      <c r="AE109" s="794">
        <v>5.9051999999999998</v>
      </c>
      <c r="AF109" s="794">
        <v>6.0276690000000004</v>
      </c>
      <c r="AG109" s="794">
        <v>6.2437040000000001</v>
      </c>
      <c r="AH109" s="794">
        <v>6.4934279999999998</v>
      </c>
      <c r="AI109" s="794">
        <v>6.6170710000000001</v>
      </c>
      <c r="AJ109" s="794">
        <v>6.726566</v>
      </c>
      <c r="AK109" s="794">
        <v>6.9305599999999998</v>
      </c>
      <c r="AL109" s="794">
        <v>7.0909170000000001</v>
      </c>
      <c r="AM109" s="794">
        <v>7.286816</v>
      </c>
      <c r="AN109" s="794">
        <v>7.5708000000000002</v>
      </c>
      <c r="AO109" s="794">
        <v>7.630439</v>
      </c>
      <c r="AP109" s="794">
        <v>7.6782940000000002</v>
      </c>
      <c r="AQ109" s="794">
        <v>7.8974500000000001</v>
      </c>
      <c r="AR109" s="794">
        <v>8.1587669999999992</v>
      </c>
      <c r="BV109" s="792"/>
    </row>
    <row r="110" spans="1:104" s="789" customFormat="1" x14ac:dyDescent="0.25">
      <c r="A110" s="789" t="s">
        <v>1054</v>
      </c>
      <c r="C110" s="791"/>
      <c r="D110" s="969"/>
      <c r="E110" s="791"/>
      <c r="O110" s="794"/>
      <c r="P110" s="794"/>
      <c r="Q110" s="794"/>
      <c r="R110" s="794"/>
      <c r="S110" s="794"/>
      <c r="T110" s="794"/>
      <c r="U110" s="794"/>
      <c r="V110" s="794"/>
      <c r="W110" s="794"/>
      <c r="X110" s="794"/>
      <c r="Y110" s="794"/>
      <c r="Z110" s="794"/>
      <c r="AA110" s="794"/>
      <c r="AB110" s="794"/>
      <c r="AC110" s="794"/>
      <c r="AD110" s="794"/>
      <c r="AE110" s="794"/>
      <c r="AF110" s="794"/>
      <c r="AG110" s="794"/>
      <c r="AH110" s="794"/>
      <c r="AI110" s="794"/>
      <c r="AJ110" s="794"/>
      <c r="AK110" s="794"/>
      <c r="AL110" s="794"/>
      <c r="AM110" s="794"/>
      <c r="AN110" s="794"/>
      <c r="AO110" s="794"/>
      <c r="AP110" s="794"/>
      <c r="AQ110" s="794"/>
      <c r="AR110" s="794"/>
      <c r="BV110" s="792"/>
    </row>
    <row r="111" spans="1:104" s="789" customFormat="1" x14ac:dyDescent="0.25">
      <c r="A111" s="807" t="s">
        <v>701</v>
      </c>
      <c r="C111" s="791"/>
      <c r="D111" s="969"/>
      <c r="E111" s="791"/>
      <c r="O111" s="794">
        <v>7.1348120000000002</v>
      </c>
      <c r="P111" s="794">
        <v>7.25</v>
      </c>
      <c r="Q111" s="794">
        <v>7.4339180000000002</v>
      </c>
      <c r="R111" s="794">
        <v>7.5123340000000001</v>
      </c>
      <c r="S111" s="794">
        <v>7.7593930000000002</v>
      </c>
      <c r="T111" s="794">
        <v>7.9480709999999997</v>
      </c>
      <c r="U111" s="794">
        <v>8.0483750000000001</v>
      </c>
      <c r="V111" s="794">
        <v>8.1909299999999998</v>
      </c>
      <c r="W111" s="794">
        <v>8.3009920000000008</v>
      </c>
      <c r="X111" s="794">
        <v>8.4282590000000006</v>
      </c>
      <c r="Y111" s="794">
        <v>8.5261879999999994</v>
      </c>
      <c r="Z111" s="794">
        <v>8.6333680000000008</v>
      </c>
      <c r="AA111" s="794">
        <v>8.7384330000000006</v>
      </c>
      <c r="AB111" s="794">
        <v>8.8454820000000005</v>
      </c>
      <c r="AC111" s="794">
        <v>8.9517559999999996</v>
      </c>
      <c r="AD111" s="794">
        <v>9.0441529999999997</v>
      </c>
      <c r="AE111" s="794">
        <v>9.1489940000000001</v>
      </c>
      <c r="AF111" s="794">
        <v>9.2665970000000009</v>
      </c>
      <c r="AG111" s="794">
        <v>9.3802029999999998</v>
      </c>
      <c r="AH111" s="794">
        <v>9.5131180000000004</v>
      </c>
      <c r="AI111" s="794">
        <v>9.5927720000000001</v>
      </c>
      <c r="AJ111" s="794">
        <v>9.6736090000000008</v>
      </c>
      <c r="AK111" s="794">
        <v>9.7592280000000002</v>
      </c>
      <c r="AL111" s="794">
        <v>9.8373989999999996</v>
      </c>
      <c r="AM111" s="794">
        <v>9.9349030000000003</v>
      </c>
      <c r="AN111" s="794">
        <v>10.012817</v>
      </c>
      <c r="AO111" s="794">
        <v>10.10066</v>
      </c>
      <c r="AP111" s="794">
        <v>10.107113</v>
      </c>
      <c r="AQ111" s="794">
        <v>10.135842</v>
      </c>
      <c r="AR111" s="794">
        <v>10.197044999999999</v>
      </c>
      <c r="BV111" s="792"/>
    </row>
    <row r="112" spans="1:104" s="789" customFormat="1" x14ac:dyDescent="0.25">
      <c r="A112" s="807" t="s">
        <v>702</v>
      </c>
      <c r="C112" s="791"/>
      <c r="D112" s="969"/>
      <c r="E112" s="791"/>
      <c r="O112" s="794">
        <v>3.3073760000000001</v>
      </c>
      <c r="P112" s="794">
        <v>3.2396150000000001</v>
      </c>
      <c r="Q112" s="794">
        <v>3.3150900000000001</v>
      </c>
      <c r="R112" s="794">
        <v>3.2817340000000002</v>
      </c>
      <c r="S112" s="794">
        <v>3.3761420000000002</v>
      </c>
      <c r="T112" s="794">
        <v>3.437208</v>
      </c>
      <c r="U112" s="794">
        <v>3.4609869999999998</v>
      </c>
      <c r="V112" s="794">
        <v>3.5206819999999999</v>
      </c>
      <c r="W112" s="794">
        <v>3.5610849999999998</v>
      </c>
      <c r="X112" s="794">
        <v>3.5932520000000001</v>
      </c>
      <c r="Y112" s="794">
        <v>3.6143869999999998</v>
      </c>
      <c r="Z112" s="794">
        <v>3.6395840000000002</v>
      </c>
      <c r="AA112" s="794">
        <v>3.6651829999999999</v>
      </c>
      <c r="AB112" s="794">
        <v>3.697009</v>
      </c>
      <c r="AC112" s="794">
        <v>3.7274949999999998</v>
      </c>
      <c r="AD112" s="794">
        <v>3.7560980000000002</v>
      </c>
      <c r="AE112" s="794">
        <v>3.7847550000000001</v>
      </c>
      <c r="AF112" s="794">
        <v>3.8163930000000001</v>
      </c>
      <c r="AG112" s="794">
        <v>3.8450039999999999</v>
      </c>
      <c r="AH112" s="794">
        <v>3.8844850000000002</v>
      </c>
      <c r="AI112" s="794">
        <v>3.9155440000000001</v>
      </c>
      <c r="AJ112" s="794">
        <v>3.944798</v>
      </c>
      <c r="AK112" s="794">
        <v>3.9761479999999998</v>
      </c>
      <c r="AL112" s="794">
        <v>4.0004489999999997</v>
      </c>
      <c r="AM112" s="794">
        <v>4.0294249999999998</v>
      </c>
      <c r="AN112" s="794">
        <v>4.0600360000000002</v>
      </c>
      <c r="AO112" s="794">
        <v>4.0903939999999999</v>
      </c>
      <c r="AP112" s="794">
        <v>4.1171660000000001</v>
      </c>
      <c r="AQ112" s="794">
        <v>4.1493070000000003</v>
      </c>
      <c r="AR112" s="794">
        <v>4.1898999999999997</v>
      </c>
      <c r="BV112" s="792"/>
    </row>
    <row r="113" spans="1:74" s="789" customFormat="1" x14ac:dyDescent="0.25">
      <c r="A113" s="793" t="s">
        <v>1060</v>
      </c>
      <c r="C113" s="791"/>
      <c r="D113" s="969"/>
      <c r="E113" s="791"/>
      <c r="O113" s="794">
        <v>2.4223750000000002</v>
      </c>
      <c r="P113" s="794">
        <v>2.39</v>
      </c>
      <c r="Q113" s="794">
        <v>2.37385</v>
      </c>
      <c r="R113" s="794">
        <v>2.329834</v>
      </c>
      <c r="S113" s="794">
        <v>2.4039359999999999</v>
      </c>
      <c r="T113" s="794">
        <v>2.422212</v>
      </c>
      <c r="U113" s="794">
        <v>2.4863749999999998</v>
      </c>
      <c r="V113" s="794">
        <v>2.5503130000000001</v>
      </c>
      <c r="W113" s="794">
        <v>2.589102</v>
      </c>
      <c r="X113" s="794">
        <v>2.6113439999999999</v>
      </c>
      <c r="Y113" s="794">
        <v>2.6429999999999998</v>
      </c>
      <c r="Z113" s="794">
        <v>2.675691</v>
      </c>
      <c r="AA113" s="794">
        <v>2.7024710000000001</v>
      </c>
      <c r="AB113" s="794">
        <v>2.7390279999999998</v>
      </c>
      <c r="AC113" s="794">
        <v>2.7738589999999999</v>
      </c>
      <c r="AD113" s="794">
        <v>2.807261</v>
      </c>
      <c r="AE113" s="794">
        <v>2.8368190000000002</v>
      </c>
      <c r="AF113" s="794">
        <v>2.8649870000000002</v>
      </c>
      <c r="AG113" s="794">
        <v>2.8913859999999998</v>
      </c>
      <c r="AH113" s="794">
        <v>2.9256030000000002</v>
      </c>
      <c r="AI113" s="794">
        <v>2.9494180000000001</v>
      </c>
      <c r="AJ113" s="794">
        <v>2.9743849999999998</v>
      </c>
      <c r="AK113" s="794">
        <v>3.0006210000000002</v>
      </c>
      <c r="AL113" s="794">
        <v>3.0244930000000001</v>
      </c>
      <c r="AM113" s="794">
        <v>3.050074</v>
      </c>
      <c r="AN113" s="794">
        <v>3.076149</v>
      </c>
      <c r="AO113" s="794">
        <v>3.099027</v>
      </c>
      <c r="AP113" s="794">
        <v>3.1208209999999998</v>
      </c>
      <c r="AQ113" s="794">
        <v>3.153797</v>
      </c>
      <c r="AR113" s="794">
        <v>3.1896749999999998</v>
      </c>
      <c r="BV113" s="792"/>
    </row>
    <row r="114" spans="1:74" s="789" customFormat="1" x14ac:dyDescent="0.25">
      <c r="A114" s="793" t="s">
        <v>668</v>
      </c>
      <c r="C114" s="791"/>
      <c r="D114" s="969"/>
      <c r="E114" s="791"/>
      <c r="O114" s="794">
        <v>30.531154999999998</v>
      </c>
      <c r="P114" s="794">
        <v>29.553346999999999</v>
      </c>
      <c r="Q114" s="794">
        <v>29.462689999999998</v>
      </c>
      <c r="R114" s="794">
        <v>29.619807999999999</v>
      </c>
      <c r="S114" s="794">
        <v>29.992000999999998</v>
      </c>
      <c r="T114" s="794">
        <v>30.137812</v>
      </c>
      <c r="U114" s="794">
        <v>30.368880999999998</v>
      </c>
      <c r="V114" s="794">
        <v>30.723389000000001</v>
      </c>
      <c r="W114" s="794">
        <v>31.014326000000001</v>
      </c>
      <c r="X114" s="794">
        <v>30.799534000000001</v>
      </c>
      <c r="Y114" s="794">
        <v>30.631943</v>
      </c>
      <c r="Z114" s="794">
        <v>30.294862999999999</v>
      </c>
      <c r="AA114" s="794">
        <v>30.159492</v>
      </c>
      <c r="AB114" s="794">
        <v>30.497467</v>
      </c>
      <c r="AC114" s="794">
        <v>30.549484</v>
      </c>
      <c r="AD114" s="794">
        <v>30.628119000000002</v>
      </c>
      <c r="AE114" s="794">
        <v>30.831617000000001</v>
      </c>
      <c r="AF114" s="794">
        <v>30.906943999999999</v>
      </c>
      <c r="AG114" s="794">
        <v>31.016119</v>
      </c>
      <c r="AH114" s="794">
        <v>31.259630000000001</v>
      </c>
      <c r="AI114" s="794">
        <v>31.506346000000001</v>
      </c>
      <c r="AJ114" s="794">
        <v>31.548763000000001</v>
      </c>
      <c r="AK114" s="794">
        <v>31.537307999999999</v>
      </c>
      <c r="AL114" s="794">
        <v>31.727125000000001</v>
      </c>
      <c r="AM114" s="794">
        <v>31.983875000000001</v>
      </c>
      <c r="AN114" s="794">
        <v>32.252009999999999</v>
      </c>
      <c r="AO114" s="794">
        <v>32.456364000000001</v>
      </c>
      <c r="AP114" s="794">
        <v>32.526015999999998</v>
      </c>
      <c r="AQ114" s="794">
        <v>32.747635000000002</v>
      </c>
      <c r="AR114" s="794">
        <v>33.007354999999997</v>
      </c>
      <c r="BV114" s="792"/>
    </row>
    <row r="115" spans="1:74" s="789" customFormat="1" x14ac:dyDescent="0.25">
      <c r="A115" s="793" t="s">
        <v>683</v>
      </c>
      <c r="C115" s="791"/>
      <c r="D115" s="969"/>
      <c r="E115" s="791"/>
      <c r="O115" s="794">
        <v>20.348036</v>
      </c>
      <c r="P115" s="794">
        <v>19.495602000000002</v>
      </c>
      <c r="Q115" s="794">
        <v>20.081951</v>
      </c>
      <c r="R115" s="794">
        <v>19.872589000000001</v>
      </c>
      <c r="S115" s="794">
        <v>20.106300000000001</v>
      </c>
      <c r="T115" s="794">
        <v>20.110336</v>
      </c>
      <c r="U115" s="794">
        <v>20.286434</v>
      </c>
      <c r="V115" s="794">
        <v>20.591933999999998</v>
      </c>
      <c r="W115" s="794">
        <v>20.859487999999999</v>
      </c>
      <c r="X115" s="794">
        <v>20.769625000000001</v>
      </c>
      <c r="Y115" s="794">
        <v>20.751276000000001</v>
      </c>
      <c r="Z115" s="794">
        <v>20.654140000000002</v>
      </c>
      <c r="AA115" s="794">
        <v>20.663025000000001</v>
      </c>
      <c r="AB115" s="794">
        <v>20.946209</v>
      </c>
      <c r="AC115" s="794">
        <v>21.079236999999999</v>
      </c>
      <c r="AD115" s="794">
        <v>21.236912</v>
      </c>
      <c r="AE115" s="794">
        <v>21.461658</v>
      </c>
      <c r="AF115" s="794">
        <v>21.586451</v>
      </c>
      <c r="AG115" s="794">
        <v>21.737777999999999</v>
      </c>
      <c r="AH115" s="794">
        <v>21.988303999999999</v>
      </c>
      <c r="AI115" s="794">
        <v>22.237325999999999</v>
      </c>
      <c r="AJ115" s="794">
        <v>22.342414999999999</v>
      </c>
      <c r="AK115" s="794">
        <v>22.437189</v>
      </c>
      <c r="AL115" s="794">
        <v>22.654578999999998</v>
      </c>
      <c r="AM115" s="794">
        <v>22.911854000000002</v>
      </c>
      <c r="AN115" s="794">
        <v>23.191139</v>
      </c>
      <c r="AO115" s="794">
        <v>23.409314999999999</v>
      </c>
      <c r="AP115" s="794">
        <v>23.521646</v>
      </c>
      <c r="AQ115" s="794">
        <v>23.76399</v>
      </c>
      <c r="AR115" s="794">
        <v>24.052772999999998</v>
      </c>
      <c r="BV115" s="792"/>
    </row>
    <row r="116" spans="1:74" s="789" customFormat="1" ht="13.8" thickBot="1" x14ac:dyDescent="0.3">
      <c r="A116" s="796" t="s">
        <v>669</v>
      </c>
      <c r="B116" s="797"/>
      <c r="C116" s="798"/>
      <c r="D116" s="798"/>
      <c r="E116" s="798"/>
      <c r="F116" s="797"/>
      <c r="G116" s="797"/>
      <c r="H116" s="797"/>
      <c r="I116" s="797"/>
      <c r="J116" s="797"/>
      <c r="K116" s="797"/>
      <c r="L116" s="797"/>
      <c r="M116" s="797"/>
      <c r="N116" s="797"/>
      <c r="O116" s="799">
        <v>34.952885000000002</v>
      </c>
      <c r="P116" s="799">
        <v>34.831184</v>
      </c>
      <c r="Q116" s="799">
        <v>34.015979999999999</v>
      </c>
      <c r="R116" s="799">
        <v>34.409668000000003</v>
      </c>
      <c r="S116" s="799">
        <v>34.941752999999999</v>
      </c>
      <c r="T116" s="799">
        <v>35.163139000000001</v>
      </c>
      <c r="U116" s="799">
        <v>35.519157</v>
      </c>
      <c r="V116" s="799">
        <v>35.913296000000003</v>
      </c>
      <c r="W116" s="799">
        <v>36.178234000000003</v>
      </c>
      <c r="X116" s="799">
        <v>36.146892999999999</v>
      </c>
      <c r="Y116" s="799">
        <v>36.061802</v>
      </c>
      <c r="Z116" s="799">
        <v>35.804130999999998</v>
      </c>
      <c r="AA116" s="799">
        <v>35.695621000000003</v>
      </c>
      <c r="AB116" s="799">
        <v>36.040774999999996</v>
      </c>
      <c r="AC116" s="799">
        <v>36.141415000000002</v>
      </c>
      <c r="AD116" s="799">
        <v>36.246937000000003</v>
      </c>
      <c r="AE116" s="799">
        <v>36.470740999999997</v>
      </c>
      <c r="AF116" s="799">
        <v>36.579631999999997</v>
      </c>
      <c r="AG116" s="799">
        <v>36.725307000000001</v>
      </c>
      <c r="AH116" s="799">
        <v>36.981831</v>
      </c>
      <c r="AI116" s="799">
        <v>37.256236999999999</v>
      </c>
      <c r="AJ116" s="799">
        <v>37.335673999999997</v>
      </c>
      <c r="AK116" s="799">
        <v>37.369007000000003</v>
      </c>
      <c r="AL116" s="799">
        <v>37.567386999999997</v>
      </c>
      <c r="AM116" s="799">
        <v>37.817901999999997</v>
      </c>
      <c r="AN116" s="799">
        <v>38.082256000000001</v>
      </c>
      <c r="AO116" s="799">
        <v>38.298912000000001</v>
      </c>
      <c r="AP116" s="799">
        <v>38.369354000000001</v>
      </c>
      <c r="AQ116" s="799">
        <v>38.582217999999997</v>
      </c>
      <c r="AR116" s="799">
        <v>38.834609999999998</v>
      </c>
      <c r="AS116" s="797"/>
      <c r="AT116" s="797"/>
      <c r="AU116" s="797"/>
      <c r="AV116" s="797"/>
      <c r="AW116" s="797"/>
      <c r="AX116" s="797"/>
      <c r="AY116" s="797"/>
      <c r="AZ116" s="797"/>
      <c r="BA116" s="797"/>
      <c r="BB116" s="797"/>
      <c r="BC116" s="797"/>
      <c r="BD116" s="797"/>
      <c r="BE116" s="797"/>
      <c r="BF116" s="797"/>
      <c r="BG116" s="797"/>
      <c r="BH116" s="797"/>
      <c r="BI116" s="797"/>
      <c r="BJ116" s="797"/>
      <c r="BK116" s="797"/>
      <c r="BL116" s="797"/>
      <c r="BM116" s="797"/>
      <c r="BN116" s="797"/>
      <c r="BO116" s="797"/>
      <c r="BP116" s="797"/>
      <c r="BQ116" s="797"/>
      <c r="BR116" s="797"/>
      <c r="BS116" s="797"/>
      <c r="BT116" s="797"/>
      <c r="BU116" s="797"/>
      <c r="BV116" s="800"/>
    </row>
    <row r="129" spans="1:104" ht="13.8" thickBot="1" x14ac:dyDescent="0.3"/>
    <row r="130" spans="1:104" x14ac:dyDescent="0.25">
      <c r="A130" s="996" t="s">
        <v>1187</v>
      </c>
      <c r="B130" s="997" t="s">
        <v>1186</v>
      </c>
      <c r="C130" s="997"/>
      <c r="D130" s="998"/>
      <c r="E130" s="997"/>
      <c r="F130" s="758"/>
      <c r="G130" s="758"/>
      <c r="H130" s="758"/>
      <c r="I130" s="758"/>
      <c r="J130" s="758"/>
      <c r="K130" s="758"/>
      <c r="L130" s="758"/>
      <c r="M130" s="758"/>
      <c r="N130" s="758"/>
      <c r="O130" s="758"/>
      <c r="P130" s="758"/>
      <c r="Q130" s="758"/>
      <c r="R130" s="758"/>
      <c r="S130" s="758"/>
      <c r="T130" s="758"/>
      <c r="U130" s="758"/>
      <c r="V130" s="758"/>
      <c r="W130" s="758"/>
      <c r="X130" s="758"/>
      <c r="Y130" s="758"/>
      <c r="Z130" s="758"/>
      <c r="AA130" s="758"/>
      <c r="AB130" s="758"/>
      <c r="AC130" s="758"/>
      <c r="AD130" s="758"/>
      <c r="AE130" s="758"/>
      <c r="AF130" s="758"/>
      <c r="AG130" s="758"/>
      <c r="AH130" s="758"/>
      <c r="AI130" s="758"/>
      <c r="AJ130" s="758"/>
      <c r="AK130" s="758"/>
      <c r="AL130" s="758"/>
      <c r="AM130" s="758"/>
      <c r="AN130" s="758"/>
      <c r="AO130" s="758"/>
      <c r="AP130" s="758"/>
      <c r="AQ130" s="758"/>
      <c r="AR130" s="758"/>
      <c r="AS130" s="758"/>
      <c r="AT130" s="758"/>
      <c r="AU130" s="758"/>
      <c r="AV130" s="758"/>
      <c r="AW130" s="758"/>
      <c r="AX130" s="758"/>
      <c r="AY130" s="758"/>
      <c r="AZ130" s="758"/>
      <c r="BA130" s="758"/>
      <c r="BB130" s="999" t="s">
        <v>1188</v>
      </c>
      <c r="BC130" s="1000"/>
      <c r="BD130" s="1000"/>
      <c r="BE130" s="1000"/>
      <c r="BF130" s="1000"/>
      <c r="BG130" s="1000"/>
      <c r="BH130" s="1000"/>
      <c r="BI130" s="1000"/>
      <c r="BJ130" s="1000"/>
      <c r="BK130" s="1000"/>
      <c r="BL130" s="1000"/>
      <c r="BM130" s="1000"/>
      <c r="BN130" s="1000"/>
      <c r="BO130" s="1000"/>
      <c r="BP130" s="1000"/>
      <c r="BQ130" s="1000"/>
      <c r="BR130" s="1000"/>
      <c r="BS130" s="1000"/>
      <c r="BT130" s="1000"/>
      <c r="BU130" s="1000"/>
      <c r="BV130" s="1000"/>
      <c r="BW130" s="1000"/>
      <c r="BX130" s="1000"/>
      <c r="BY130" s="1000"/>
      <c r="BZ130" s="1000"/>
      <c r="CA130" s="1000"/>
      <c r="CB130" s="1000"/>
      <c r="CC130" s="1000"/>
      <c r="CD130" s="1000"/>
      <c r="CE130" s="1000"/>
      <c r="CF130" s="1000"/>
      <c r="CG130" s="1000"/>
      <c r="CH130" s="1000"/>
      <c r="CI130" s="1000"/>
      <c r="CJ130" s="1000"/>
      <c r="CK130" s="1000"/>
      <c r="CL130" s="1000"/>
      <c r="CM130" s="1000"/>
      <c r="CN130" s="1000"/>
      <c r="CO130" s="1000"/>
      <c r="CP130" s="1000"/>
      <c r="CQ130" s="1000"/>
      <c r="CR130" s="1000"/>
      <c r="CS130" s="1000"/>
      <c r="CT130" s="1000"/>
      <c r="CU130" s="1000"/>
      <c r="CV130" s="1000"/>
      <c r="CW130" s="1000"/>
      <c r="CX130" s="1000"/>
      <c r="CY130" s="1000"/>
      <c r="CZ130" s="1001"/>
    </row>
    <row r="131" spans="1:104" ht="40.200000000000003" thickBot="1" x14ac:dyDescent="0.3">
      <c r="A131" s="473" t="s">
        <v>1057</v>
      </c>
      <c r="B131" s="853" t="s">
        <v>663</v>
      </c>
      <c r="C131" s="853" t="s">
        <v>664</v>
      </c>
      <c r="D131" s="972" t="s">
        <v>675</v>
      </c>
      <c r="E131" s="853" t="s">
        <v>676</v>
      </c>
      <c r="F131" s="474" t="s">
        <v>665</v>
      </c>
      <c r="G131" s="474" t="s">
        <v>677</v>
      </c>
      <c r="H131" s="1">
        <v>2004</v>
      </c>
      <c r="I131" s="1">
        <f>+H131+1</f>
        <v>2005</v>
      </c>
      <c r="J131" s="1">
        <f t="shared" ref="J131:BU131" si="265">+I131+1</f>
        <v>2006</v>
      </c>
      <c r="K131" s="1">
        <f t="shared" si="265"/>
        <v>2007</v>
      </c>
      <c r="L131" s="1">
        <f t="shared" si="265"/>
        <v>2008</v>
      </c>
      <c r="M131" s="1">
        <f t="shared" si="265"/>
        <v>2009</v>
      </c>
      <c r="N131" s="1">
        <f t="shared" si="265"/>
        <v>2010</v>
      </c>
      <c r="O131" s="1">
        <f t="shared" si="265"/>
        <v>2011</v>
      </c>
      <c r="P131" s="1">
        <f t="shared" si="265"/>
        <v>2012</v>
      </c>
      <c r="Q131" s="1">
        <f t="shared" si="265"/>
        <v>2013</v>
      </c>
      <c r="R131" s="1">
        <f t="shared" si="265"/>
        <v>2014</v>
      </c>
      <c r="S131" s="1">
        <f t="shared" si="265"/>
        <v>2015</v>
      </c>
      <c r="T131" s="1">
        <f t="shared" si="265"/>
        <v>2016</v>
      </c>
      <c r="U131" s="1">
        <f t="shared" si="265"/>
        <v>2017</v>
      </c>
      <c r="V131" s="1">
        <f t="shared" si="265"/>
        <v>2018</v>
      </c>
      <c r="W131" s="1">
        <f t="shared" si="265"/>
        <v>2019</v>
      </c>
      <c r="X131" s="1">
        <f t="shared" si="265"/>
        <v>2020</v>
      </c>
      <c r="Y131" s="1">
        <f t="shared" si="265"/>
        <v>2021</v>
      </c>
      <c r="Z131" s="1">
        <f t="shared" si="265"/>
        <v>2022</v>
      </c>
      <c r="AA131" s="1">
        <f t="shared" si="265"/>
        <v>2023</v>
      </c>
      <c r="AB131" s="1">
        <f t="shared" si="265"/>
        <v>2024</v>
      </c>
      <c r="AC131" s="1">
        <f t="shared" si="265"/>
        <v>2025</v>
      </c>
      <c r="AD131" s="1">
        <f t="shared" si="265"/>
        <v>2026</v>
      </c>
      <c r="AE131" s="1">
        <f t="shared" si="265"/>
        <v>2027</v>
      </c>
      <c r="AF131" s="1">
        <f t="shared" si="265"/>
        <v>2028</v>
      </c>
      <c r="AG131" s="1">
        <f t="shared" si="265"/>
        <v>2029</v>
      </c>
      <c r="AH131" s="1">
        <f t="shared" si="265"/>
        <v>2030</v>
      </c>
      <c r="AI131" s="1">
        <f t="shared" si="265"/>
        <v>2031</v>
      </c>
      <c r="AJ131" s="1">
        <f t="shared" si="265"/>
        <v>2032</v>
      </c>
      <c r="AK131" s="1">
        <f t="shared" si="265"/>
        <v>2033</v>
      </c>
      <c r="AL131" s="1">
        <f t="shared" si="265"/>
        <v>2034</v>
      </c>
      <c r="AM131" s="1">
        <f t="shared" si="265"/>
        <v>2035</v>
      </c>
      <c r="AN131" s="1">
        <f t="shared" si="265"/>
        <v>2036</v>
      </c>
      <c r="AO131" s="1">
        <f t="shared" si="265"/>
        <v>2037</v>
      </c>
      <c r="AP131" s="1">
        <f t="shared" si="265"/>
        <v>2038</v>
      </c>
      <c r="AQ131" s="1">
        <f t="shared" si="265"/>
        <v>2039</v>
      </c>
      <c r="AR131" s="1">
        <f t="shared" si="265"/>
        <v>2040</v>
      </c>
      <c r="AS131" s="1">
        <f t="shared" si="265"/>
        <v>2041</v>
      </c>
      <c r="AT131" s="1">
        <f t="shared" si="265"/>
        <v>2042</v>
      </c>
      <c r="AU131" s="1">
        <f t="shared" si="265"/>
        <v>2043</v>
      </c>
      <c r="AV131" s="1">
        <f t="shared" si="265"/>
        <v>2044</v>
      </c>
      <c r="AW131" s="1">
        <f t="shared" si="265"/>
        <v>2045</v>
      </c>
      <c r="AX131" s="1">
        <f t="shared" si="265"/>
        <v>2046</v>
      </c>
      <c r="AY131" s="1">
        <f t="shared" si="265"/>
        <v>2047</v>
      </c>
      <c r="AZ131" s="1">
        <f t="shared" si="265"/>
        <v>2048</v>
      </c>
      <c r="BA131" s="1">
        <f t="shared" si="265"/>
        <v>2049</v>
      </c>
      <c r="BB131" s="1">
        <f t="shared" si="265"/>
        <v>2050</v>
      </c>
      <c r="BC131" s="1">
        <f t="shared" si="265"/>
        <v>2051</v>
      </c>
      <c r="BD131" s="1">
        <f t="shared" si="265"/>
        <v>2052</v>
      </c>
      <c r="BE131" s="1">
        <f t="shared" si="265"/>
        <v>2053</v>
      </c>
      <c r="BF131" s="1">
        <f t="shared" si="265"/>
        <v>2054</v>
      </c>
      <c r="BG131" s="1">
        <f t="shared" si="265"/>
        <v>2055</v>
      </c>
      <c r="BH131" s="1">
        <f t="shared" si="265"/>
        <v>2056</v>
      </c>
      <c r="BI131" s="1">
        <f t="shared" si="265"/>
        <v>2057</v>
      </c>
      <c r="BJ131" s="1">
        <f t="shared" si="265"/>
        <v>2058</v>
      </c>
      <c r="BK131" s="1">
        <f t="shared" si="265"/>
        <v>2059</v>
      </c>
      <c r="BL131" s="1">
        <f t="shared" si="265"/>
        <v>2060</v>
      </c>
      <c r="BM131" s="1">
        <f t="shared" si="265"/>
        <v>2061</v>
      </c>
      <c r="BN131" s="1">
        <f t="shared" si="265"/>
        <v>2062</v>
      </c>
      <c r="BO131" s="1">
        <f t="shared" si="265"/>
        <v>2063</v>
      </c>
      <c r="BP131" s="1">
        <f t="shared" si="265"/>
        <v>2064</v>
      </c>
      <c r="BQ131" s="1">
        <f t="shared" si="265"/>
        <v>2065</v>
      </c>
      <c r="BR131" s="1">
        <f t="shared" si="265"/>
        <v>2066</v>
      </c>
      <c r="BS131" s="1">
        <f t="shared" si="265"/>
        <v>2067</v>
      </c>
      <c r="BT131" s="1">
        <f t="shared" si="265"/>
        <v>2068</v>
      </c>
      <c r="BU131" s="1">
        <f t="shared" si="265"/>
        <v>2069</v>
      </c>
      <c r="BV131" s="1">
        <f t="shared" ref="BV131:CZ131" si="266">+BU131+1</f>
        <v>2070</v>
      </c>
      <c r="BW131" s="1">
        <f t="shared" si="266"/>
        <v>2071</v>
      </c>
      <c r="BX131" s="1">
        <f t="shared" si="266"/>
        <v>2072</v>
      </c>
      <c r="BY131" s="1">
        <f t="shared" si="266"/>
        <v>2073</v>
      </c>
      <c r="BZ131" s="1">
        <f t="shared" si="266"/>
        <v>2074</v>
      </c>
      <c r="CA131" s="1">
        <f t="shared" si="266"/>
        <v>2075</v>
      </c>
      <c r="CB131" s="1">
        <f t="shared" si="266"/>
        <v>2076</v>
      </c>
      <c r="CC131" s="1">
        <f t="shared" si="266"/>
        <v>2077</v>
      </c>
      <c r="CD131" s="1">
        <f t="shared" si="266"/>
        <v>2078</v>
      </c>
      <c r="CE131" s="1">
        <f t="shared" si="266"/>
        <v>2079</v>
      </c>
      <c r="CF131" s="1">
        <f t="shared" si="266"/>
        <v>2080</v>
      </c>
      <c r="CG131" s="1">
        <f t="shared" si="266"/>
        <v>2081</v>
      </c>
      <c r="CH131" s="1">
        <f t="shared" si="266"/>
        <v>2082</v>
      </c>
      <c r="CI131" s="1">
        <f t="shared" si="266"/>
        <v>2083</v>
      </c>
      <c r="CJ131" s="1">
        <f t="shared" si="266"/>
        <v>2084</v>
      </c>
      <c r="CK131" s="1">
        <f t="shared" si="266"/>
        <v>2085</v>
      </c>
      <c r="CL131" s="1">
        <f t="shared" si="266"/>
        <v>2086</v>
      </c>
      <c r="CM131" s="1">
        <f t="shared" si="266"/>
        <v>2087</v>
      </c>
      <c r="CN131" s="1">
        <f t="shared" si="266"/>
        <v>2088</v>
      </c>
      <c r="CO131" s="1">
        <f t="shared" si="266"/>
        <v>2089</v>
      </c>
      <c r="CP131" s="1">
        <f t="shared" si="266"/>
        <v>2090</v>
      </c>
      <c r="CQ131" s="1">
        <f t="shared" si="266"/>
        <v>2091</v>
      </c>
      <c r="CR131" s="1">
        <f t="shared" si="266"/>
        <v>2092</v>
      </c>
      <c r="CS131" s="1">
        <f t="shared" si="266"/>
        <v>2093</v>
      </c>
      <c r="CT131" s="1">
        <f t="shared" si="266"/>
        <v>2094</v>
      </c>
      <c r="CU131" s="1">
        <f t="shared" si="266"/>
        <v>2095</v>
      </c>
      <c r="CV131" s="1">
        <f t="shared" si="266"/>
        <v>2096</v>
      </c>
      <c r="CW131" s="1">
        <f t="shared" si="266"/>
        <v>2097</v>
      </c>
      <c r="CX131" s="1">
        <f t="shared" si="266"/>
        <v>2098</v>
      </c>
      <c r="CY131" s="1">
        <f t="shared" si="266"/>
        <v>2099</v>
      </c>
      <c r="CZ131" s="1002">
        <f t="shared" si="266"/>
        <v>2100</v>
      </c>
    </row>
    <row r="132" spans="1:104" ht="13.8" thickBot="1" x14ac:dyDescent="0.3">
      <c r="A132" s="1003" t="s">
        <v>1063</v>
      </c>
      <c r="B132" s="689"/>
      <c r="C132" s="689"/>
      <c r="D132" s="973"/>
      <c r="E132" s="689"/>
      <c r="F132" s="689"/>
      <c r="G132" s="689"/>
      <c r="H132" s="758"/>
      <c r="I132" s="758"/>
      <c r="J132" s="758"/>
      <c r="K132" s="758"/>
      <c r="L132" s="758"/>
      <c r="M132" s="758"/>
      <c r="N132" s="758"/>
      <c r="O132" s="758"/>
      <c r="P132" s="758"/>
      <c r="Q132" s="758"/>
      <c r="R132" s="758"/>
      <c r="S132" s="758"/>
      <c r="T132" s="758"/>
      <c r="U132" s="758"/>
      <c r="V132" s="758"/>
      <c r="W132" s="758"/>
      <c r="X132" s="758"/>
      <c r="Y132" s="758"/>
      <c r="Z132" s="758"/>
      <c r="AA132" s="758"/>
      <c r="AB132" s="758"/>
      <c r="AC132" s="758"/>
      <c r="AD132" s="758"/>
      <c r="AE132" s="758"/>
      <c r="AF132" s="758"/>
      <c r="AG132" s="758"/>
      <c r="AH132" s="758"/>
      <c r="AI132" s="758"/>
      <c r="AJ132" s="758"/>
      <c r="AK132" s="758"/>
      <c r="AL132" s="758"/>
      <c r="AM132" s="758"/>
      <c r="AN132" s="758"/>
      <c r="AO132" s="758"/>
      <c r="AP132" s="758"/>
      <c r="AQ132" s="758"/>
      <c r="AR132" s="758"/>
      <c r="AS132" s="758"/>
      <c r="AT132" s="758"/>
      <c r="AU132" s="758"/>
      <c r="AV132" s="758"/>
      <c r="AW132" s="758"/>
      <c r="AX132" s="758"/>
      <c r="AY132" s="758"/>
      <c r="AZ132" s="758"/>
      <c r="BA132" s="758"/>
      <c r="BB132" s="758"/>
      <c r="BC132" s="758"/>
      <c r="BD132" s="758"/>
      <c r="BE132" s="758"/>
      <c r="BF132" s="758"/>
      <c r="BG132" s="758"/>
      <c r="BH132" s="758"/>
      <c r="BI132" s="758"/>
      <c r="BJ132" s="758"/>
      <c r="BK132" s="758"/>
      <c r="BL132" s="758"/>
      <c r="BM132" s="758"/>
      <c r="BN132" s="758"/>
      <c r="BO132" s="758"/>
      <c r="BP132" s="758"/>
      <c r="BQ132" s="758"/>
      <c r="BR132" s="758"/>
      <c r="BS132" s="758"/>
      <c r="BT132" s="758"/>
      <c r="BU132" s="758"/>
      <c r="BV132" s="758"/>
      <c r="BW132" s="758"/>
      <c r="BX132" s="758"/>
      <c r="BY132" s="758"/>
      <c r="BZ132" s="758"/>
      <c r="CA132" s="758"/>
      <c r="CB132" s="758"/>
      <c r="CC132" s="758"/>
      <c r="CD132" s="758"/>
      <c r="CE132" s="758"/>
      <c r="CF132" s="758"/>
      <c r="CG132" s="758"/>
      <c r="CH132" s="758"/>
      <c r="CI132" s="758"/>
      <c r="CJ132" s="758"/>
      <c r="CK132" s="758"/>
      <c r="CL132" s="758"/>
      <c r="CM132" s="758"/>
      <c r="CN132" s="758"/>
      <c r="CO132" s="758"/>
      <c r="CP132" s="758"/>
      <c r="CQ132" s="758"/>
      <c r="CR132" s="758"/>
      <c r="CS132" s="758"/>
      <c r="CT132" s="758"/>
      <c r="CU132" s="758"/>
      <c r="CV132" s="758"/>
      <c r="CW132" s="758"/>
      <c r="CX132" s="758"/>
      <c r="CY132" s="758"/>
      <c r="CZ132" s="1004"/>
    </row>
    <row r="133" spans="1:104" x14ac:dyDescent="0.25">
      <c r="A133" s="1005" t="s">
        <v>666</v>
      </c>
      <c r="B133">
        <v>2016</v>
      </c>
      <c r="C133" s="692">
        <f t="shared" ref="C133:C141" si="267">VLOOKUP(ref_year,DeflatorTable,2,FALSE)/VLOOKUP(B133,DeflatorTable,2,FALSE)</f>
        <v>1</v>
      </c>
      <c r="D133" s="974" t="s">
        <v>843</v>
      </c>
      <c r="E133" s="692" t="s">
        <v>1031</v>
      </c>
      <c r="F133">
        <v>47.141269049911173</v>
      </c>
      <c r="G133">
        <v>52.224661236371581</v>
      </c>
      <c r="H133" s="802">
        <v>13.604875014867702</v>
      </c>
      <c r="I133" s="802">
        <v>15.571757228276402</v>
      </c>
      <c r="J133" s="802">
        <v>16.331995797204218</v>
      </c>
      <c r="K133" s="802">
        <v>15.155672177020728</v>
      </c>
      <c r="L133" s="802">
        <v>15.783516201764996</v>
      </c>
      <c r="M133" s="802">
        <v>13.69149010361817</v>
      </c>
      <c r="N133" s="802">
        <v>12.691188457250465</v>
      </c>
      <c r="O133" s="758">
        <v>12.04142243701838</v>
      </c>
      <c r="P133" s="758">
        <v>11.415954621928984</v>
      </c>
      <c r="Q133" s="758">
        <v>10.886628367710442</v>
      </c>
      <c r="R133" s="758">
        <v>11.368469484946878</v>
      </c>
      <c r="S133" s="758">
        <v>9.7183315387998359</v>
      </c>
      <c r="T133" s="758">
        <v>9.390001099467705</v>
      </c>
      <c r="U133" s="758">
        <v>10.023002570479671</v>
      </c>
      <c r="V133" s="758">
        <v>10.033707215541167</v>
      </c>
      <c r="W133" s="758">
        <v>10.158951752324048</v>
      </c>
      <c r="X133" s="758">
        <v>10.289627280447673</v>
      </c>
      <c r="Y133" s="758">
        <v>10.38663350570965</v>
      </c>
      <c r="Z133" s="758">
        <v>10.458822090960101</v>
      </c>
      <c r="AA133" s="758">
        <v>10.541361785535555</v>
      </c>
      <c r="AB133" s="758">
        <v>10.671303703310535</v>
      </c>
      <c r="AC133" s="758">
        <v>10.821196220864106</v>
      </c>
      <c r="AD133" s="758">
        <v>10.961130973142659</v>
      </c>
      <c r="AE133" s="758">
        <v>11.387951919139837</v>
      </c>
      <c r="AF133" s="758">
        <v>11.524366479125279</v>
      </c>
      <c r="AG133" s="758">
        <v>11.653679994237272</v>
      </c>
      <c r="AH133" s="758">
        <v>11.727599293307653</v>
      </c>
      <c r="AI133" s="758">
        <v>11.827238554162054</v>
      </c>
      <c r="AJ133" s="758">
        <v>11.877874728924342</v>
      </c>
      <c r="AK133" s="758">
        <v>11.891573527850655</v>
      </c>
      <c r="AL133" s="758">
        <v>11.9827791131466</v>
      </c>
      <c r="AM133" s="758">
        <v>12.163475682807357</v>
      </c>
      <c r="AN133" s="758">
        <v>12.259449735369497</v>
      </c>
      <c r="AO133" s="758">
        <v>12.356256919064013</v>
      </c>
      <c r="AP133" s="758">
        <v>12.41256198723101</v>
      </c>
      <c r="AQ133" s="758">
        <v>12.490714236969412</v>
      </c>
      <c r="AR133" s="758">
        <v>12.496378391289182</v>
      </c>
      <c r="AS133" s="758">
        <v>12.55376491863939</v>
      </c>
      <c r="AT133" s="758">
        <v>12.651412816002184</v>
      </c>
      <c r="AU133" s="758">
        <v>12.770777096192051</v>
      </c>
      <c r="AV133" s="758">
        <v>12.886454368298935</v>
      </c>
      <c r="AW133" s="758">
        <v>13.010888521557151</v>
      </c>
      <c r="AX133" s="758">
        <v>13.118997475015544</v>
      </c>
      <c r="AY133" s="758">
        <v>13.217679440712152</v>
      </c>
      <c r="AZ133" s="758">
        <v>13.363983523149482</v>
      </c>
      <c r="BA133" s="758">
        <v>13.453606254075613</v>
      </c>
      <c r="BB133" s="758">
        <v>13.593337225701765</v>
      </c>
      <c r="BC133" s="758">
        <v>13.668907227280409</v>
      </c>
      <c r="BD133" s="758">
        <v>13.744897348292845</v>
      </c>
      <c r="BE133" s="758">
        <v>13.821309924326409</v>
      </c>
      <c r="BF133" s="758">
        <v>13.898147303952761</v>
      </c>
      <c r="BG133" s="758">
        <v>13.975411848800078</v>
      </c>
      <c r="BH133" s="758">
        <v>14.050424531225174</v>
      </c>
      <c r="BI133" s="758">
        <v>14.12583984239463</v>
      </c>
      <c r="BJ133" s="758">
        <v>14.201659943408417</v>
      </c>
      <c r="BK133" s="758">
        <v>14.277887006966159</v>
      </c>
      <c r="BL133" s="758">
        <v>14.354523217429389</v>
      </c>
      <c r="BM133" s="758">
        <v>14.422221698840277</v>
      </c>
      <c r="BN133" s="758">
        <v>14.490239458315362</v>
      </c>
      <c r="BO133" s="758">
        <v>14.558578001626712</v>
      </c>
      <c r="BP133" s="758">
        <v>14.627238841647882</v>
      </c>
      <c r="BQ133" s="758">
        <v>14.696223498387408</v>
      </c>
      <c r="BR133" s="758">
        <v>14.75529333521281</v>
      </c>
      <c r="BS133" s="758">
        <v>14.814600596681556</v>
      </c>
      <c r="BT133" s="758">
        <v>14.874146237095607</v>
      </c>
      <c r="BU133" s="758">
        <v>14.933931214592636</v>
      </c>
      <c r="BV133" s="758">
        <v>14.993956491161448</v>
      </c>
      <c r="BW133" s="758">
        <v>15.043740835540882</v>
      </c>
      <c r="BX133" s="758">
        <v>15.093690478582264</v>
      </c>
      <c r="BY133" s="758">
        <v>15.143805969125756</v>
      </c>
      <c r="BZ133" s="758">
        <v>15.19408785783383</v>
      </c>
      <c r="CA133" s="758">
        <v>15.244536697197322</v>
      </c>
      <c r="CB133" s="758">
        <v>15.277067444573643</v>
      </c>
      <c r="CC133" s="758">
        <v>15.309667610230484</v>
      </c>
      <c r="CD133" s="758">
        <v>15.342337342301477</v>
      </c>
      <c r="CE133" s="758">
        <v>15.375076789236356</v>
      </c>
      <c r="CF133" s="758">
        <v>15.407886099801638</v>
      </c>
      <c r="CG133" s="758">
        <v>15.41853907481957</v>
      </c>
      <c r="CH133" s="758">
        <v>15.42919941527855</v>
      </c>
      <c r="CI133" s="758">
        <v>15.439867126271025</v>
      </c>
      <c r="CJ133" s="758">
        <v>15.450542212892964</v>
      </c>
      <c r="CK133" s="758">
        <v>15.461224680243861</v>
      </c>
      <c r="CL133" s="758">
        <v>15.464845562477739</v>
      </c>
      <c r="CM133" s="758">
        <v>15.468467292690251</v>
      </c>
      <c r="CN133" s="758">
        <v>15.472089871079984</v>
      </c>
      <c r="CO133" s="758">
        <v>15.475713297845573</v>
      </c>
      <c r="CP133" s="758">
        <v>15.479337573185701</v>
      </c>
      <c r="CQ133" s="758">
        <v>15.484830510437597</v>
      </c>
      <c r="CR133" s="758">
        <v>15.490325396891745</v>
      </c>
      <c r="CS133" s="758">
        <v>15.49582223323983</v>
      </c>
      <c r="CT133" s="758">
        <v>15.501321020173785</v>
      </c>
      <c r="CU133" s="758">
        <v>15.506821758385787</v>
      </c>
      <c r="CV133" s="758">
        <v>15.515287417782641</v>
      </c>
      <c r="CW133" s="758">
        <v>15.523757698847955</v>
      </c>
      <c r="CX133" s="758">
        <v>15.532232604104841</v>
      </c>
      <c r="CY133" s="758">
        <v>15.540712136077792</v>
      </c>
      <c r="CZ133" s="1004">
        <v>15.549196297292674</v>
      </c>
    </row>
    <row r="134" spans="1:104" x14ac:dyDescent="0.25">
      <c r="A134" s="1005" t="s">
        <v>1058</v>
      </c>
      <c r="B134">
        <v>2016</v>
      </c>
      <c r="C134" s="692">
        <f t="shared" si="267"/>
        <v>1</v>
      </c>
      <c r="D134" s="974" t="s">
        <v>843</v>
      </c>
      <c r="E134" s="692" t="s">
        <v>1031</v>
      </c>
      <c r="F134">
        <v>47.141269049911173</v>
      </c>
      <c r="G134">
        <v>52.224661236371581</v>
      </c>
      <c r="H134" s="803">
        <v>11.934322920018829</v>
      </c>
      <c r="I134" s="803">
        <v>13.90423046997279</v>
      </c>
      <c r="J134" s="803">
        <v>14.274140536522257</v>
      </c>
      <c r="K134" s="803">
        <v>13.139550648884942</v>
      </c>
      <c r="L134" s="803">
        <v>13.897221248926272</v>
      </c>
      <c r="M134" s="803">
        <v>11.345666428533674</v>
      </c>
      <c r="N134" s="803">
        <v>10.551848524158197</v>
      </c>
      <c r="O134">
        <v>9.7270239269114924</v>
      </c>
      <c r="P134">
        <v>8.6825570363966911</v>
      </c>
      <c r="Q134">
        <v>8.5236392646415098</v>
      </c>
      <c r="R134">
        <v>9.2232797097563566</v>
      </c>
      <c r="S134">
        <v>7.6085885488542795</v>
      </c>
      <c r="T134">
        <v>6.813801352724405</v>
      </c>
      <c r="U134">
        <v>7.4731047451509687</v>
      </c>
      <c r="V134">
        <v>7.9843107853990691</v>
      </c>
      <c r="W134">
        <v>8.5650780622071245</v>
      </c>
      <c r="X134">
        <v>9.1477570858798014</v>
      </c>
      <c r="Y134">
        <v>9.2514909161219876</v>
      </c>
      <c r="Z134">
        <v>9.3094669856386769</v>
      </c>
      <c r="AA134">
        <v>9.3761326413005577</v>
      </c>
      <c r="AB134">
        <v>9.4891655040111615</v>
      </c>
      <c r="AC134">
        <v>9.6143446414218783</v>
      </c>
      <c r="AD134">
        <v>9.7258827967425425</v>
      </c>
      <c r="AE134">
        <v>10.087086372666475</v>
      </c>
      <c r="AF134">
        <v>10.198695614261233</v>
      </c>
      <c r="AG134">
        <v>10.304737378868989</v>
      </c>
      <c r="AH134">
        <v>10.357640731866367</v>
      </c>
      <c r="AI134">
        <v>10.427655972763532</v>
      </c>
      <c r="AJ134">
        <v>10.453569289213085</v>
      </c>
      <c r="AK134">
        <v>10.441948105124277</v>
      </c>
      <c r="AL134">
        <v>10.506270757192036</v>
      </c>
      <c r="AM134">
        <v>10.658282593530579</v>
      </c>
      <c r="AN134">
        <v>10.722901912315555</v>
      </c>
      <c r="AO134">
        <v>10.786351624937444</v>
      </c>
      <c r="AP134">
        <v>10.817805879498341</v>
      </c>
      <c r="AQ134">
        <v>10.86596540847121</v>
      </c>
      <c r="AR134">
        <v>10.838793391061706</v>
      </c>
      <c r="AS134">
        <v>10.868085675073171</v>
      </c>
      <c r="AT134">
        <v>10.937640276914211</v>
      </c>
      <c r="AU134">
        <v>11.027299024885883</v>
      </c>
      <c r="AV134">
        <v>11.114692490256441</v>
      </c>
      <c r="AW134">
        <v>11.212257927541287</v>
      </c>
      <c r="AX134">
        <v>11.293368314098968</v>
      </c>
      <c r="AY134">
        <v>11.35816487466068</v>
      </c>
      <c r="AZ134">
        <v>11.46581792814789</v>
      </c>
      <c r="BA134">
        <v>11.521194135666732</v>
      </c>
      <c r="BB134">
        <v>11.628119265707223</v>
      </c>
      <c r="BC134">
        <v>11.692763949840026</v>
      </c>
      <c r="BD134">
        <v>11.757768015837698</v>
      </c>
      <c r="BE134">
        <v>11.823133461626696</v>
      </c>
      <c r="BF134">
        <v>11.888862296240635</v>
      </c>
      <c r="BG134">
        <v>11.954956539882032</v>
      </c>
      <c r="BH134">
        <v>12.019124477688386</v>
      </c>
      <c r="BI134">
        <v>12.083636835336717</v>
      </c>
      <c r="BJ134">
        <v>12.148495461492134</v>
      </c>
      <c r="BK134">
        <v>12.213702214742405</v>
      </c>
      <c r="BL134">
        <v>12.279258963651227</v>
      </c>
      <c r="BM134">
        <v>12.337170130194249</v>
      </c>
      <c r="BN134">
        <v>12.395354416085945</v>
      </c>
      <c r="BO134">
        <v>12.453813109405683</v>
      </c>
      <c r="BP134">
        <v>12.512547504307637</v>
      </c>
      <c r="BQ134">
        <v>12.571558901049444</v>
      </c>
      <c r="BR134">
        <v>12.622088884688262</v>
      </c>
      <c r="BS134">
        <v>12.672821967979766</v>
      </c>
      <c r="BT134">
        <v>12.723758967260437</v>
      </c>
      <c r="BU134">
        <v>12.774900702147928</v>
      </c>
      <c r="BV134">
        <v>12.826247995554251</v>
      </c>
      <c r="BW134">
        <v>12.868834910334423</v>
      </c>
      <c r="BX134">
        <v>12.911563226193937</v>
      </c>
      <c r="BY134">
        <v>12.954433412625956</v>
      </c>
      <c r="BZ134">
        <v>12.997445940682496</v>
      </c>
      <c r="CA134">
        <v>13.040601282979605</v>
      </c>
      <c r="CB134">
        <v>13.06842899033459</v>
      </c>
      <c r="CC134">
        <v>13.096316080020177</v>
      </c>
      <c r="CD134">
        <v>13.124262678753999</v>
      </c>
      <c r="CE134">
        <v>13.152268913524093</v>
      </c>
      <c r="CF134">
        <v>13.180334911589481</v>
      </c>
      <c r="CG134">
        <v>13.189447763127433</v>
      </c>
      <c r="CH134">
        <v>13.198566915268799</v>
      </c>
      <c r="CI134">
        <v>13.207692372369801</v>
      </c>
      <c r="CJ134">
        <v>13.216824138789674</v>
      </c>
      <c r="CK134">
        <v>13.225962218890665</v>
      </c>
      <c r="CL134">
        <v>13.22905962240266</v>
      </c>
      <c r="CM134">
        <v>13.232157751299196</v>
      </c>
      <c r="CN134">
        <v>13.23525660575015</v>
      </c>
      <c r="CO134">
        <v>13.23835618592544</v>
      </c>
      <c r="CP134">
        <v>13.241456491995026</v>
      </c>
      <c r="CQ134">
        <v>13.246155303510076</v>
      </c>
      <c r="CR134">
        <v>13.250855782427021</v>
      </c>
      <c r="CS134">
        <v>13.255557929337549</v>
      </c>
      <c r="CT134">
        <v>13.260261744833558</v>
      </c>
      <c r="CU134">
        <v>13.264967229507157</v>
      </c>
      <c r="CV134">
        <v>13.272208990341527</v>
      </c>
      <c r="CW134">
        <v>13.279454704679821</v>
      </c>
      <c r="CX134">
        <v>13.286704374680379</v>
      </c>
      <c r="CY134">
        <v>13.293958002502723</v>
      </c>
      <c r="CZ134" s="405">
        <v>13.30121559030755</v>
      </c>
    </row>
    <row r="135" spans="1:104" x14ac:dyDescent="0.25">
      <c r="A135" s="1005" t="s">
        <v>280</v>
      </c>
      <c r="B135">
        <v>2016</v>
      </c>
      <c r="C135" s="692">
        <f t="shared" si="267"/>
        <v>1</v>
      </c>
      <c r="D135" s="974" t="s">
        <v>843</v>
      </c>
      <c r="E135" s="692" t="s">
        <v>1031</v>
      </c>
      <c r="F135">
        <v>47.141269049911173</v>
      </c>
      <c r="G135">
        <v>52.224661236371581</v>
      </c>
      <c r="H135" s="803">
        <v>8.2641705904266125</v>
      </c>
      <c r="I135" s="803">
        <v>10.495609596381577</v>
      </c>
      <c r="J135" s="803">
        <v>9.3614571685358463</v>
      </c>
      <c r="K135" s="803">
        <v>8.8987432965993278</v>
      </c>
      <c r="L135" s="803">
        <v>10.965509816201024</v>
      </c>
      <c r="M135" s="803">
        <v>6.0111731674040234</v>
      </c>
      <c r="N135" s="803">
        <v>6.1171751211856922</v>
      </c>
      <c r="O135">
        <v>5.6004077154944953</v>
      </c>
      <c r="P135">
        <v>4.1590520124961925</v>
      </c>
      <c r="Q135">
        <v>4.894763142071362</v>
      </c>
      <c r="R135">
        <v>5.8241384234641265</v>
      </c>
      <c r="S135">
        <v>3.5390282601113117</v>
      </c>
      <c r="T135">
        <v>3.3168400539876552</v>
      </c>
      <c r="U135">
        <v>3.8686572087168831</v>
      </c>
      <c r="V135">
        <v>4.230424735748624</v>
      </c>
      <c r="W135">
        <v>4.6374903322667231</v>
      </c>
      <c r="X135">
        <v>5.0398775041324821</v>
      </c>
      <c r="Y135">
        <v>5.0452222441273262</v>
      </c>
      <c r="Z135">
        <v>4.9894479534735598</v>
      </c>
      <c r="AA135">
        <v>5.0008757828968315</v>
      </c>
      <c r="AB135">
        <v>5.0866427943161305</v>
      </c>
      <c r="AC135">
        <v>5.1985543895300337</v>
      </c>
      <c r="AD135">
        <v>5.3142743134013735</v>
      </c>
      <c r="AE135">
        <v>5.4069765017212355</v>
      </c>
      <c r="AF135">
        <v>5.498883471588238</v>
      </c>
      <c r="AG135">
        <v>5.5761078084954727</v>
      </c>
      <c r="AH135">
        <v>5.5953977798334869</v>
      </c>
      <c r="AI135">
        <v>5.6194116710392619</v>
      </c>
      <c r="AJ135">
        <v>5.6053299540498323</v>
      </c>
      <c r="AK135">
        <v>5.5496627667157004</v>
      </c>
      <c r="AL135">
        <v>5.5482476759527453</v>
      </c>
      <c r="AM135">
        <v>5.6344516310034729</v>
      </c>
      <c r="AN135">
        <v>5.6381945602887429</v>
      </c>
      <c r="AO135">
        <v>5.6485162872871211</v>
      </c>
      <c r="AP135">
        <v>5.6430123140383071</v>
      </c>
      <c r="AQ135">
        <v>5.6644386648670784</v>
      </c>
      <c r="AR135">
        <v>5.6215300420072483</v>
      </c>
      <c r="AS135">
        <v>5.6260767200982693</v>
      </c>
      <c r="AT135">
        <v>5.6802473044084865</v>
      </c>
      <c r="AU135">
        <v>5.7631623345111542</v>
      </c>
      <c r="AV135">
        <v>5.819991545472468</v>
      </c>
      <c r="AW135">
        <v>5.8947240715184783</v>
      </c>
      <c r="AX135">
        <v>5.9518546882819487</v>
      </c>
      <c r="AY135">
        <v>6.0145186606208574</v>
      </c>
      <c r="AZ135">
        <v>6.1247620979360331</v>
      </c>
      <c r="BA135">
        <v>6.1606322318436177</v>
      </c>
      <c r="BB135">
        <v>6.238633778680942</v>
      </c>
      <c r="BC135">
        <v>6.2733164733478626</v>
      </c>
      <c r="BD135">
        <v>6.3081919809530058</v>
      </c>
      <c r="BE135">
        <v>6.3432613734093088</v>
      </c>
      <c r="BF135">
        <v>6.3785257285888406</v>
      </c>
      <c r="BG135">
        <v>6.4139861303559274</v>
      </c>
      <c r="BH135">
        <v>6.4484130445592944</v>
      </c>
      <c r="BI135">
        <v>6.4830247443854354</v>
      </c>
      <c r="BJ135">
        <v>6.5178222216666768</v>
      </c>
      <c r="BK135">
        <v>6.5528064735589808</v>
      </c>
      <c r="BL135">
        <v>6.5879785025705191</v>
      </c>
      <c r="BM135">
        <v>6.6190485794679574</v>
      </c>
      <c r="BN135">
        <v>6.6502651883672899</v>
      </c>
      <c r="BO135">
        <v>6.6816290203394662</v>
      </c>
      <c r="BP135">
        <v>6.7131407697146503</v>
      </c>
      <c r="BQ135">
        <v>6.7448011340975915</v>
      </c>
      <c r="BR135">
        <v>6.7719111125525773</v>
      </c>
      <c r="BS135">
        <v>6.7991300565526132</v>
      </c>
      <c r="BT135">
        <v>6.8264584040725946</v>
      </c>
      <c r="BU135">
        <v>6.8538965948478108</v>
      </c>
      <c r="BV135">
        <v>6.8814450703810159</v>
      </c>
      <c r="BW135">
        <v>6.904293491437457</v>
      </c>
      <c r="BX135">
        <v>6.9272177759701634</v>
      </c>
      <c r="BY135">
        <v>6.9502181758681845</v>
      </c>
      <c r="BZ135">
        <v>6.9732949438569127</v>
      </c>
      <c r="CA135">
        <v>6.996448333500866</v>
      </c>
      <c r="CB135">
        <v>7.0113782521851409</v>
      </c>
      <c r="CC135">
        <v>7.0263400302445289</v>
      </c>
      <c r="CD135">
        <v>7.0413337356646508</v>
      </c>
      <c r="CE135">
        <v>7.0563594365762032</v>
      </c>
      <c r="CF135">
        <v>7.0714172012552687</v>
      </c>
      <c r="CG135">
        <v>7.0763063619291211</v>
      </c>
      <c r="CH135">
        <v>7.0811989029567863</v>
      </c>
      <c r="CI135">
        <v>7.0860948266754322</v>
      </c>
      <c r="CJ135">
        <v>7.090994135423843</v>
      </c>
      <c r="CK135">
        <v>7.0958968315424205</v>
      </c>
      <c r="CL135">
        <v>7.0975586278944007</v>
      </c>
      <c r="CM135">
        <v>7.0992208134244059</v>
      </c>
      <c r="CN135">
        <v>7.1008833882235782</v>
      </c>
      <c r="CO135">
        <v>7.1025463523830812</v>
      </c>
      <c r="CP135">
        <v>7.1042097059940996</v>
      </c>
      <c r="CQ135">
        <v>7.1067306780935082</v>
      </c>
      <c r="CR135">
        <v>7.1092525447752264</v>
      </c>
      <c r="CS135">
        <v>7.1117753063567024</v>
      </c>
      <c r="CT135">
        <v>7.1142989631554965</v>
      </c>
      <c r="CU135">
        <v>7.1168235154892816</v>
      </c>
      <c r="CV135">
        <v>7.1207088122192239</v>
      </c>
      <c r="CW135">
        <v>7.1245962300542702</v>
      </c>
      <c r="CX135">
        <v>7.1284857701523974</v>
      </c>
      <c r="CY135">
        <v>7.1323774336722154</v>
      </c>
      <c r="CZ135" s="405">
        <v>7.1362712217729669</v>
      </c>
    </row>
    <row r="136" spans="1:104" x14ac:dyDescent="0.25">
      <c r="A136" s="1005" t="s">
        <v>1059</v>
      </c>
      <c r="B136">
        <v>2016</v>
      </c>
      <c r="C136" s="692">
        <f t="shared" si="267"/>
        <v>1</v>
      </c>
      <c r="D136" s="974" t="s">
        <v>843</v>
      </c>
      <c r="E136" s="692" t="s">
        <v>1031</v>
      </c>
      <c r="F136">
        <v>47.141269049911173</v>
      </c>
      <c r="G136">
        <v>52.224661236371581</v>
      </c>
      <c r="H136" s="803">
        <v>8.4160389626855991</v>
      </c>
      <c r="I136" s="803">
        <v>10.630483084185546</v>
      </c>
      <c r="J136" s="803">
        <v>10.241695834954719</v>
      </c>
      <c r="K136" s="803">
        <v>9.4549147526367854</v>
      </c>
      <c r="L136" s="803">
        <v>10.431438353650302</v>
      </c>
      <c r="M136" s="803">
        <v>7.3081429877632402</v>
      </c>
      <c r="N136" s="803">
        <v>6.8860004096407268</v>
      </c>
      <c r="O136">
        <v>6.1462564207083838</v>
      </c>
      <c r="P136">
        <v>5.0701845410069568</v>
      </c>
      <c r="Q136">
        <v>5.147940545971605</v>
      </c>
      <c r="R136">
        <v>5.9174075441245835</v>
      </c>
      <c r="S136">
        <v>4.3672641892083037</v>
      </c>
      <c r="T136">
        <v>3.755553639162041</v>
      </c>
      <c r="U136">
        <v>3.3468214009493336</v>
      </c>
      <c r="V136">
        <v>3.6078009129373227</v>
      </c>
      <c r="W136">
        <v>3.9595869792693468</v>
      </c>
      <c r="X136">
        <v>4.2992239274502966</v>
      </c>
      <c r="Y136">
        <v>4.3362295461094007</v>
      </c>
      <c r="Z136">
        <v>4.2972619462853157</v>
      </c>
      <c r="AA136">
        <v>4.3209431537283329</v>
      </c>
      <c r="AB136">
        <v>4.4388231525151278</v>
      </c>
      <c r="AC136">
        <v>4.5598555906037213</v>
      </c>
      <c r="AD136">
        <v>4.6705511366221319</v>
      </c>
      <c r="AE136">
        <v>4.7905826799714895</v>
      </c>
      <c r="AF136">
        <v>4.8909868291351355</v>
      </c>
      <c r="AG136">
        <v>4.9795195705251665</v>
      </c>
      <c r="AH136">
        <v>5.0140428564929254</v>
      </c>
      <c r="AI136">
        <v>5.034241784322349</v>
      </c>
      <c r="AJ136">
        <v>5.0303794300966009</v>
      </c>
      <c r="AK136">
        <v>4.9817061843162831</v>
      </c>
      <c r="AL136">
        <v>5.005816752854825</v>
      </c>
      <c r="AM136">
        <v>5.1117353012541518</v>
      </c>
      <c r="AN136">
        <v>5.1218001698488047</v>
      </c>
      <c r="AO136">
        <v>5.1563490468752367</v>
      </c>
      <c r="AP136">
        <v>5.1654177598155924</v>
      </c>
      <c r="AQ136">
        <v>5.1952502995101684</v>
      </c>
      <c r="AR136">
        <v>5.1548078964528896</v>
      </c>
      <c r="AS136">
        <v>5.1691436283950809</v>
      </c>
      <c r="AT136">
        <v>5.2239208155775625</v>
      </c>
      <c r="AU136">
        <v>5.3036701369405987</v>
      </c>
      <c r="AV136">
        <v>5.3698761013633396</v>
      </c>
      <c r="AW136">
        <v>5.4477553798092231</v>
      </c>
      <c r="AX136">
        <v>5.5105548899774046</v>
      </c>
      <c r="AY136">
        <v>5.5735610242489493</v>
      </c>
      <c r="AZ136">
        <v>5.6745566112130543</v>
      </c>
      <c r="BA136">
        <v>5.7069198222653581</v>
      </c>
      <c r="BB136">
        <v>5.8107835034348891</v>
      </c>
      <c r="BC136">
        <v>5.8430876323795795</v>
      </c>
      <c r="BD136">
        <v>5.8755713510037442</v>
      </c>
      <c r="BE136">
        <v>5.9082356577077126</v>
      </c>
      <c r="BF136">
        <v>5.9410815564422617</v>
      </c>
      <c r="BG136">
        <v>5.974110056739474</v>
      </c>
      <c r="BH136">
        <v>6.006175946840397</v>
      </c>
      <c r="BI136">
        <v>6.0384139498247791</v>
      </c>
      <c r="BJ136">
        <v>6.0708249895043265</v>
      </c>
      <c r="BK136">
        <v>6.1034099946492821</v>
      </c>
      <c r="BL136">
        <v>6.1361698990150408</v>
      </c>
      <c r="BM136">
        <v>6.1651091662794615</v>
      </c>
      <c r="BN136">
        <v>6.1941849162690321</v>
      </c>
      <c r="BO136">
        <v>6.2233977926605295</v>
      </c>
      <c r="BP136">
        <v>6.2527484421664239</v>
      </c>
      <c r="BQ136">
        <v>6.2822375145491964</v>
      </c>
      <c r="BR136">
        <v>6.3074882699506478</v>
      </c>
      <c r="BS136">
        <v>6.3328405179567433</v>
      </c>
      <c r="BT136">
        <v>6.3582946665057261</v>
      </c>
      <c r="BU136">
        <v>6.3838511251755019</v>
      </c>
      <c r="BV136">
        <v>6.4095103051902287</v>
      </c>
      <c r="BW136">
        <v>6.4307917640583545</v>
      </c>
      <c r="BX136">
        <v>6.4521438836275307</v>
      </c>
      <c r="BY136">
        <v>6.473566898512062</v>
      </c>
      <c r="BZ136">
        <v>6.4950610441052419</v>
      </c>
      <c r="CA136">
        <v>6.5166265565819383</v>
      </c>
      <c r="CB136">
        <v>6.5305325700258869</v>
      </c>
      <c r="CC136">
        <v>6.5444682579046409</v>
      </c>
      <c r="CD136">
        <v>6.5584336835413142</v>
      </c>
      <c r="CE136">
        <v>6.5724289103941489</v>
      </c>
      <c r="CF136">
        <v>6.5864540020568016</v>
      </c>
      <c r="CG136">
        <v>6.5910078603528843</v>
      </c>
      <c r="CH136">
        <v>6.5955648671755291</v>
      </c>
      <c r="CI136">
        <v>6.6001250247016205</v>
      </c>
      <c r="CJ136">
        <v>6.6046883351095476</v>
      </c>
      <c r="CK136">
        <v>6.6092548005792047</v>
      </c>
      <c r="CL136">
        <v>6.6108026296665843</v>
      </c>
      <c r="CM136">
        <v>6.6123508212418631</v>
      </c>
      <c r="CN136">
        <v>6.6138993753899316</v>
      </c>
      <c r="CO136">
        <v>6.6154482921957012</v>
      </c>
      <c r="CP136">
        <v>6.6169975717441041</v>
      </c>
      <c r="CQ136">
        <v>6.6193456536491393</v>
      </c>
      <c r="CR136">
        <v>6.6216945687853457</v>
      </c>
      <c r="CS136">
        <v>6.6240443174483996</v>
      </c>
      <c r="CT136">
        <v>6.6263948999340831</v>
      </c>
      <c r="CU136">
        <v>6.6287463165382841</v>
      </c>
      <c r="CV136">
        <v>6.6323651566473876</v>
      </c>
      <c r="CW136">
        <v>6.6359859723945851</v>
      </c>
      <c r="CX136">
        <v>6.6396087648584388</v>
      </c>
      <c r="CY136">
        <v>6.6432335351180996</v>
      </c>
      <c r="CZ136" s="405">
        <v>6.6468602842533091</v>
      </c>
    </row>
    <row r="137" spans="1:104" x14ac:dyDescent="0.25">
      <c r="A137" s="763" t="s">
        <v>1054</v>
      </c>
      <c r="B137">
        <v>2016</v>
      </c>
      <c r="C137" s="692">
        <f t="shared" si="267"/>
        <v>1</v>
      </c>
      <c r="D137" s="976" t="s">
        <v>265</v>
      </c>
      <c r="E137" s="692" t="s">
        <v>1031</v>
      </c>
      <c r="F137">
        <v>19.551069237418005</v>
      </c>
      <c r="G137">
        <v>20.588656379262464</v>
      </c>
      <c r="H137" s="803">
        <v>5.0967849132778742</v>
      </c>
      <c r="I137" s="803">
        <v>5.0967849132778742</v>
      </c>
      <c r="J137" s="803">
        <v>5.0967849132778742</v>
      </c>
      <c r="K137" s="803">
        <v>5.0967849132778742</v>
      </c>
      <c r="L137" s="803">
        <v>5.0967849132778742</v>
      </c>
      <c r="M137" s="803">
        <v>5.0967849132778742</v>
      </c>
      <c r="N137" s="803">
        <v>5.0967849132778742</v>
      </c>
      <c r="O137">
        <v>5.0967849132778742</v>
      </c>
      <c r="P137">
        <v>5.0967849132778742</v>
      </c>
      <c r="Q137">
        <v>5.0967849132778742</v>
      </c>
      <c r="R137">
        <v>5.0967849132778742</v>
      </c>
      <c r="S137">
        <v>5.0967849132778742</v>
      </c>
      <c r="T137">
        <v>5.0967849132778742</v>
      </c>
      <c r="U137">
        <v>5.0967849132778742</v>
      </c>
      <c r="V137">
        <v>5.0967849132778742</v>
      </c>
      <c r="W137">
        <v>5.0967849132778742</v>
      </c>
      <c r="X137">
        <v>5.0967849132778742</v>
      </c>
      <c r="Y137">
        <v>5.0967849132778742</v>
      </c>
      <c r="Z137">
        <v>5.0967849132778742</v>
      </c>
      <c r="AA137">
        <v>5.0967849132778742</v>
      </c>
      <c r="AB137">
        <v>5.0967849132778742</v>
      </c>
      <c r="AC137">
        <v>5.0967849132778742</v>
      </c>
      <c r="AD137">
        <v>5.0967849132778742</v>
      </c>
      <c r="AE137">
        <v>5.0967849132778742</v>
      </c>
      <c r="AF137">
        <v>5.0967849132778742</v>
      </c>
      <c r="AG137">
        <v>5.0967849132778742</v>
      </c>
      <c r="AH137">
        <v>5.0967849132778742</v>
      </c>
      <c r="AI137">
        <v>5.0967849132778742</v>
      </c>
      <c r="AJ137">
        <v>5.0967849132778742</v>
      </c>
      <c r="AK137">
        <v>5.0967849132778742</v>
      </c>
      <c r="AL137">
        <v>5.0967849132778742</v>
      </c>
      <c r="AM137">
        <v>5.0967849132778742</v>
      </c>
      <c r="AN137">
        <v>5.0967849132778742</v>
      </c>
      <c r="AO137">
        <v>5.0967849132778742</v>
      </c>
      <c r="AP137">
        <v>5.0967849132778742</v>
      </c>
      <c r="AQ137">
        <v>5.0967849132778742</v>
      </c>
      <c r="AR137">
        <v>5.0967849132778742</v>
      </c>
      <c r="AS137">
        <v>5.0967849132778742</v>
      </c>
      <c r="AT137">
        <v>5.0967849132778742</v>
      </c>
      <c r="AU137">
        <v>5.0967849132778742</v>
      </c>
      <c r="AV137">
        <v>5.0967849132778742</v>
      </c>
      <c r="AW137">
        <v>5.0967849132778742</v>
      </c>
      <c r="AX137">
        <v>5.0967849132778742</v>
      </c>
      <c r="AY137">
        <v>5.0967849132778742</v>
      </c>
      <c r="AZ137">
        <v>5.0967849132778742</v>
      </c>
      <c r="BA137">
        <v>5.0967849132778742</v>
      </c>
      <c r="BB137">
        <v>5.0967849132778742</v>
      </c>
      <c r="BC137">
        <v>5.1179587571540939</v>
      </c>
      <c r="BD137">
        <v>5.1392205646528959</v>
      </c>
      <c r="BE137">
        <v>5.1605707012062227</v>
      </c>
      <c r="BF137">
        <v>5.1820095337641501</v>
      </c>
      <c r="BG137">
        <v>5.2035374308011946</v>
      </c>
      <c r="BH137">
        <v>5.2223240063357927</v>
      </c>
      <c r="BI137">
        <v>5.2411784079262249</v>
      </c>
      <c r="BJ137">
        <v>5.2601008804480855</v>
      </c>
      <c r="BK137">
        <v>5.2790916696610548</v>
      </c>
      <c r="BL137">
        <v>5.2981510222120916</v>
      </c>
      <c r="BM137">
        <v>5.3113630812048802</v>
      </c>
      <c r="BN137">
        <v>5.3246080872582748</v>
      </c>
      <c r="BO137">
        <v>5.3378861225327325</v>
      </c>
      <c r="BP137">
        <v>5.3511972693935945</v>
      </c>
      <c r="BQ137">
        <v>5.3645416104115968</v>
      </c>
      <c r="BR137">
        <v>5.3779717491778074</v>
      </c>
      <c r="BS137">
        <v>5.3914355103185612</v>
      </c>
      <c r="BT137">
        <v>5.4049329780075288</v>
      </c>
      <c r="BU137">
        <v>5.4184642366291094</v>
      </c>
      <c r="BV137">
        <v>5.4320293707789578</v>
      </c>
      <c r="BW137">
        <v>5.4450858323773135</v>
      </c>
      <c r="BX137">
        <v>5.458173676572823</v>
      </c>
      <c r="BY137">
        <v>5.471292978796904</v>
      </c>
      <c r="BZ137">
        <v>5.4844438146622805</v>
      </c>
      <c r="CA137">
        <v>5.4976262599634209</v>
      </c>
      <c r="CB137">
        <v>5.509165721372697</v>
      </c>
      <c r="CC137">
        <v>5.5207294039936956</v>
      </c>
      <c r="CD137">
        <v>5.5323173586664938</v>
      </c>
      <c r="CE137">
        <v>5.5439296363378796</v>
      </c>
      <c r="CF137">
        <v>5.5555662880615797</v>
      </c>
      <c r="CG137">
        <v>5.5698816197819898</v>
      </c>
      <c r="CH137">
        <v>5.5842338386011479</v>
      </c>
      <c r="CI137">
        <v>5.598623039568059</v>
      </c>
      <c r="CJ137">
        <v>5.6130493179766479</v>
      </c>
      <c r="CK137">
        <v>5.6275127693663878</v>
      </c>
      <c r="CL137">
        <v>5.6395580019552014</v>
      </c>
      <c r="CM137">
        <v>5.6516290163830023</v>
      </c>
      <c r="CN137">
        <v>5.6637258678337163</v>
      </c>
      <c r="CO137">
        <v>5.6758486116093856</v>
      </c>
      <c r="CP137">
        <v>5.6879973031304223</v>
      </c>
      <c r="CQ137">
        <v>5.6991168854631553</v>
      </c>
      <c r="CR137">
        <v>5.7102582056949531</v>
      </c>
      <c r="CS137">
        <v>5.7214213063216786</v>
      </c>
      <c r="CT137">
        <v>5.732606229922272</v>
      </c>
      <c r="CU137">
        <v>5.7438130191589121</v>
      </c>
      <c r="CV137">
        <v>5.7570440466225028</v>
      </c>
      <c r="CW137">
        <v>5.7703055521130002</v>
      </c>
      <c r="CX137">
        <v>5.7835976058373566</v>
      </c>
      <c r="CY137">
        <v>5.796920278164249</v>
      </c>
      <c r="CZ137" s="405">
        <v>5.8102736396244499</v>
      </c>
    </row>
    <row r="138" spans="1:104" x14ac:dyDescent="0.25">
      <c r="A138" s="1006" t="s">
        <v>1060</v>
      </c>
      <c r="B138">
        <v>2016</v>
      </c>
      <c r="C138" s="692">
        <f t="shared" si="267"/>
        <v>1</v>
      </c>
      <c r="D138" s="976" t="s">
        <v>265</v>
      </c>
      <c r="E138" s="709" t="s">
        <v>1025</v>
      </c>
      <c r="F138">
        <v>22.7322030001394</v>
      </c>
      <c r="G138">
        <v>23.967615189707661</v>
      </c>
      <c r="H138" s="803" t="e">
        <v>#N/A</v>
      </c>
      <c r="I138" s="803" t="e">
        <v>#N/A</v>
      </c>
      <c r="J138" s="803" t="e">
        <v>#N/A</v>
      </c>
      <c r="K138" s="803" t="e">
        <v>#N/A</v>
      </c>
      <c r="L138" s="803">
        <v>2.2148742453355847</v>
      </c>
      <c r="M138" s="803">
        <v>2.3408877437334223</v>
      </c>
      <c r="N138" s="803">
        <v>2.3629142410275352</v>
      </c>
      <c r="O138">
        <v>2.4181318326423913</v>
      </c>
      <c r="P138">
        <v>2.3501923436687169</v>
      </c>
      <c r="Q138">
        <v>2.2749877363600257</v>
      </c>
      <c r="R138">
        <v>2.2671813119268305</v>
      </c>
      <c r="S138">
        <v>2.0920368648072634</v>
      </c>
      <c r="T138">
        <v>1.9706687398025258</v>
      </c>
      <c r="U138">
        <v>2.067600203211962</v>
      </c>
      <c r="V138">
        <v>2.1142782942327232</v>
      </c>
      <c r="W138">
        <v>2.1573963846468813</v>
      </c>
      <c r="X138">
        <v>2.1900363582596567</v>
      </c>
      <c r="Y138">
        <v>2.1929897559939948</v>
      </c>
      <c r="Z138">
        <v>2.2028650611910647</v>
      </c>
      <c r="AA138">
        <v>2.2090827406317772</v>
      </c>
      <c r="AB138">
        <v>2.2092997907220093</v>
      </c>
      <c r="AC138">
        <v>2.2079918032786887</v>
      </c>
      <c r="AD138">
        <v>2.2065492258230841</v>
      </c>
      <c r="AE138">
        <v>2.1995552842692714</v>
      </c>
      <c r="AF138">
        <v>2.1903510334996437</v>
      </c>
      <c r="AG138">
        <v>2.1795345460335755</v>
      </c>
      <c r="AH138">
        <v>2.1771697426487315</v>
      </c>
      <c r="AI138">
        <v>2.177831318906295</v>
      </c>
      <c r="AJ138">
        <v>2.1809505846135182</v>
      </c>
      <c r="AK138">
        <v>2.1861806387528246</v>
      </c>
      <c r="AL138">
        <v>2.1973402359685172</v>
      </c>
      <c r="AM138">
        <v>2.2020565733003745</v>
      </c>
      <c r="AN138">
        <v>2.2177912831167257</v>
      </c>
      <c r="AO138">
        <v>2.2206593773221517</v>
      </c>
      <c r="AP138">
        <v>2.2289385587115755</v>
      </c>
      <c r="AQ138">
        <v>2.2351116907538557</v>
      </c>
      <c r="AR138">
        <v>2.2481536525075447</v>
      </c>
      <c r="AS138">
        <v>2.2492673374683427</v>
      </c>
      <c r="AT138">
        <v>2.2496910116619402</v>
      </c>
      <c r="AU138">
        <v>2.2544263053335558</v>
      </c>
      <c r="AV138">
        <v>2.2540196918457411</v>
      </c>
      <c r="AW138">
        <v>2.2546357728878843</v>
      </c>
      <c r="AX138">
        <v>2.2490256441364247</v>
      </c>
      <c r="AY138">
        <v>2.2531477002168603</v>
      </c>
      <c r="AZ138">
        <v>2.2540841434009193</v>
      </c>
      <c r="BA138">
        <v>2.2596705767276806</v>
      </c>
      <c r="BB138">
        <v>2.2620458060993922</v>
      </c>
      <c r="BC138">
        <v>2.2703711301923084</v>
      </c>
      <c r="BD138">
        <v>2.2787270951418623</v>
      </c>
      <c r="BE138">
        <v>2.2871138137198912</v>
      </c>
      <c r="BF138">
        <v>2.2955313991132824</v>
      </c>
      <c r="BG138">
        <v>2.3039799649255008</v>
      </c>
      <c r="BH138">
        <v>2.3125787529279784</v>
      </c>
      <c r="BI138">
        <v>2.3212096328567045</v>
      </c>
      <c r="BJ138">
        <v>2.3298727244834101</v>
      </c>
      <c r="BK138">
        <v>2.338568148026833</v>
      </c>
      <c r="BL138">
        <v>2.3472960241543843</v>
      </c>
      <c r="BM138">
        <v>2.3559838582312191</v>
      </c>
      <c r="BN138">
        <v>2.3647038478010849</v>
      </c>
      <c r="BO138">
        <v>2.3734561118781943</v>
      </c>
      <c r="BP138">
        <v>2.3822407699172565</v>
      </c>
      <c r="BQ138">
        <v>2.3910579418151077</v>
      </c>
      <c r="BR138">
        <v>2.3997099382358895</v>
      </c>
      <c r="BS138">
        <v>2.4083932417365861</v>
      </c>
      <c r="BT138">
        <v>2.4171079656012542</v>
      </c>
      <c r="BU138">
        <v>2.4258542235238663</v>
      </c>
      <c r="BV138">
        <v>2.434632129609795</v>
      </c>
      <c r="BW138">
        <v>2.4428635118796533</v>
      </c>
      <c r="BX138">
        <v>2.4511227240845761</v>
      </c>
      <c r="BY138">
        <v>2.4594098603163279</v>
      </c>
      <c r="BZ138">
        <v>2.467725014984794</v>
      </c>
      <c r="CA138">
        <v>2.476068282819055</v>
      </c>
      <c r="CB138">
        <v>2.4831576550549128</v>
      </c>
      <c r="CC138">
        <v>2.4902673252765117</v>
      </c>
      <c r="CD138">
        <v>2.4973973516001715</v>
      </c>
      <c r="CE138">
        <v>2.5045477923086086</v>
      </c>
      <c r="CF138">
        <v>2.5117187058514112</v>
      </c>
      <c r="CG138">
        <v>2.5171937058097216</v>
      </c>
      <c r="CH138">
        <v>2.5226806400759916</v>
      </c>
      <c r="CI138">
        <v>2.5281795346644143</v>
      </c>
      <c r="CJ138">
        <v>2.5336904156458884</v>
      </c>
      <c r="CK138">
        <v>2.539213309148141</v>
      </c>
      <c r="CL138">
        <v>2.5429573704375228</v>
      </c>
      <c r="CM138">
        <v>2.5467069523323964</v>
      </c>
      <c r="CN138">
        <v>2.5504620629728754</v>
      </c>
      <c r="CO138">
        <v>2.554222710511076</v>
      </c>
      <c r="CP138">
        <v>2.5579889031111347</v>
      </c>
      <c r="CQ138">
        <v>2.5592501421168059</v>
      </c>
      <c r="CR138">
        <v>2.5605120029875006</v>
      </c>
      <c r="CS138">
        <v>2.5617744860298348</v>
      </c>
      <c r="CT138">
        <v>2.5630375915505756</v>
      </c>
      <c r="CU138">
        <v>2.564301319856642</v>
      </c>
      <c r="CV138">
        <v>2.5624850697467836</v>
      </c>
      <c r="CW138">
        <v>2.5606701060553489</v>
      </c>
      <c r="CX138">
        <v>2.5588564278711901</v>
      </c>
      <c r="CY138">
        <v>2.5570440342838041</v>
      </c>
      <c r="CZ138" s="405">
        <v>2.555232924383334</v>
      </c>
    </row>
    <row r="139" spans="1:104" x14ac:dyDescent="0.25">
      <c r="A139" s="763" t="s">
        <v>668</v>
      </c>
      <c r="B139">
        <v>2016</v>
      </c>
      <c r="C139" s="692">
        <f t="shared" si="267"/>
        <v>1</v>
      </c>
      <c r="D139" s="964" t="s">
        <v>293</v>
      </c>
      <c r="E139" s="692" t="s">
        <v>1044</v>
      </c>
      <c r="F139" s="695"/>
      <c r="G139" s="692"/>
      <c r="H139" s="803">
        <v>28.373013628420669</v>
      </c>
      <c r="I139" s="803">
        <v>29.17093293229123</v>
      </c>
      <c r="J139" s="803">
        <v>30.878569780545078</v>
      </c>
      <c r="K139" s="803">
        <v>30.682595180991225</v>
      </c>
      <c r="L139" s="803">
        <v>31.992353762541459</v>
      </c>
      <c r="M139" s="803">
        <v>31.4429334181984</v>
      </c>
      <c r="N139" s="803">
        <v>31.156600892671783</v>
      </c>
      <c r="O139">
        <v>30.676058322376605</v>
      </c>
      <c r="P139">
        <v>29.679126186318804</v>
      </c>
      <c r="Q139">
        <v>29.700131988890092</v>
      </c>
      <c r="R139">
        <v>30.54196479432273</v>
      </c>
      <c r="S139">
        <v>29.932211922183079</v>
      </c>
      <c r="T139">
        <v>28.972214109999999</v>
      </c>
      <c r="U139">
        <v>29.128232055928784</v>
      </c>
      <c r="V139">
        <v>28.995688380521983</v>
      </c>
      <c r="W139">
        <v>29.39475155821113</v>
      </c>
      <c r="X139">
        <v>29.885964346916182</v>
      </c>
      <c r="Y139">
        <v>30.089071101439163</v>
      </c>
      <c r="Z139">
        <v>31.081689502737298</v>
      </c>
      <c r="AA139">
        <v>31.400245105473072</v>
      </c>
      <c r="AB139">
        <v>31.337976372818122</v>
      </c>
      <c r="AC139">
        <v>31.854564117923594</v>
      </c>
      <c r="AD139">
        <v>32.189964324168578</v>
      </c>
      <c r="AE139">
        <v>32.274661250208517</v>
      </c>
      <c r="AF139">
        <v>32.347049824843424</v>
      </c>
      <c r="AG139">
        <v>32.398275541772193</v>
      </c>
      <c r="AH139">
        <v>32.473329377777105</v>
      </c>
      <c r="AI139">
        <v>32.424485524938959</v>
      </c>
      <c r="AJ139">
        <v>32.33705604252286</v>
      </c>
      <c r="AK139">
        <v>32.213589610409308</v>
      </c>
      <c r="AL139">
        <v>32.123147965605618</v>
      </c>
      <c r="AM139">
        <v>32.189031672252469</v>
      </c>
      <c r="AN139">
        <v>32.20134665837643</v>
      </c>
      <c r="AO139">
        <v>32.137342472816606</v>
      </c>
      <c r="AP139">
        <v>32.106067355666433</v>
      </c>
      <c r="AQ139">
        <v>32.055398007309563</v>
      </c>
      <c r="AR139">
        <v>31.985796962436115</v>
      </c>
      <c r="AS139">
        <v>31.883579639374592</v>
      </c>
      <c r="AT139">
        <v>31.88043762605966</v>
      </c>
      <c r="AU139">
        <v>31.921825950470875</v>
      </c>
      <c r="AV139">
        <v>31.967798865652629</v>
      </c>
      <c r="AW139">
        <v>32.011030694105337</v>
      </c>
      <c r="AX139">
        <v>32.04019407500644</v>
      </c>
      <c r="AY139">
        <v>32.084258086774547</v>
      </c>
      <c r="AZ139">
        <v>32.12290532445671</v>
      </c>
      <c r="BA139">
        <v>32.1438833578502</v>
      </c>
      <c r="BB139">
        <v>32.210559439498944</v>
      </c>
      <c r="BC139">
        <v>32.212518425109167</v>
      </c>
      <c r="BD139">
        <v>32.214477529861206</v>
      </c>
      <c r="BE139">
        <v>32.216436753762309</v>
      </c>
      <c r="BF139">
        <v>32.218396096819724</v>
      </c>
      <c r="BG139">
        <v>32.220355559040698</v>
      </c>
      <c r="BH139">
        <v>32.225068562587758</v>
      </c>
      <c r="BI139">
        <v>32.229782255525173</v>
      </c>
      <c r="BJ139">
        <v>32.234496637953782</v>
      </c>
      <c r="BK139">
        <v>32.239211709974448</v>
      </c>
      <c r="BL139">
        <v>32.243927471688032</v>
      </c>
      <c r="BM139">
        <v>32.234738373564198</v>
      </c>
      <c r="BN139">
        <v>32.225551894213289</v>
      </c>
      <c r="BO139">
        <v>32.216368032888994</v>
      </c>
      <c r="BP139">
        <v>32.207186788845206</v>
      </c>
      <c r="BQ139">
        <v>32.198008161336034</v>
      </c>
      <c r="BR139">
        <v>32.188328675270981</v>
      </c>
      <c r="BS139">
        <v>32.178652099089362</v>
      </c>
      <c r="BT139">
        <v>32.168978431916393</v>
      </c>
      <c r="BU139">
        <v>32.15930767287756</v>
      </c>
      <c r="BV139">
        <v>32.14963982109861</v>
      </c>
      <c r="BW139">
        <v>32.135484213462775</v>
      </c>
      <c r="BX139">
        <v>32.121334838594358</v>
      </c>
      <c r="BY139">
        <v>32.107191693749044</v>
      </c>
      <c r="BZ139">
        <v>32.093054776183735</v>
      </c>
      <c r="CA139">
        <v>32.078924083156537</v>
      </c>
      <c r="CB139">
        <v>32.05322936592912</v>
      </c>
      <c r="CC139">
        <v>32.027555229768936</v>
      </c>
      <c r="CD139">
        <v>32.001901658190874</v>
      </c>
      <c r="CE139">
        <v>31.976268634723027</v>
      </c>
      <c r="CF139">
        <v>31.950656142906677</v>
      </c>
      <c r="CG139">
        <v>31.915373500092528</v>
      </c>
      <c r="CH139">
        <v>31.880129819385399</v>
      </c>
      <c r="CI139">
        <v>31.844925057760001</v>
      </c>
      <c r="CJ139">
        <v>31.809759172238564</v>
      </c>
      <c r="CK139">
        <v>31.774632119890772</v>
      </c>
      <c r="CL139">
        <v>31.736335048107414</v>
      </c>
      <c r="CM139">
        <v>31.698084134709202</v>
      </c>
      <c r="CN139">
        <v>31.659879324062725</v>
      </c>
      <c r="CO139">
        <v>31.621720560601634</v>
      </c>
      <c r="CP139">
        <v>31.583607788826551</v>
      </c>
      <c r="CQ139">
        <v>31.539463246970023</v>
      </c>
      <c r="CR139">
        <v>31.495380406125889</v>
      </c>
      <c r="CS139">
        <v>31.451359180054389</v>
      </c>
      <c r="CT139">
        <v>31.407399482636293</v>
      </c>
      <c r="CU139">
        <v>31.363501227872742</v>
      </c>
      <c r="CV139">
        <v>31.320648715953933</v>
      </c>
      <c r="CW139">
        <v>31.277854754187555</v>
      </c>
      <c r="CX139">
        <v>31.235119262575491</v>
      </c>
      <c r="CY139">
        <v>31.192442161228929</v>
      </c>
      <c r="CZ139" s="405">
        <v>31.1498233703682</v>
      </c>
    </row>
    <row r="140" spans="1:104" x14ac:dyDescent="0.25">
      <c r="A140" s="763" t="s">
        <v>683</v>
      </c>
      <c r="B140">
        <v>2016</v>
      </c>
      <c r="C140" s="692">
        <f t="shared" si="267"/>
        <v>1</v>
      </c>
      <c r="D140" s="964" t="s">
        <v>293</v>
      </c>
      <c r="E140" s="692" t="s">
        <v>1044</v>
      </c>
      <c r="F140" s="693"/>
      <c r="H140" s="803">
        <v>18.232352698801531</v>
      </c>
      <c r="I140" s="803">
        <v>19.279059481202857</v>
      </c>
      <c r="J140" s="803">
        <v>20.106975671052609</v>
      </c>
      <c r="K140" s="803">
        <v>20.31728323383771</v>
      </c>
      <c r="L140" s="803">
        <v>21.702415417864383</v>
      </c>
      <c r="M140" s="803">
        <v>21.137326303769196</v>
      </c>
      <c r="N140" s="803">
        <v>20.699724047437488</v>
      </c>
      <c r="O140">
        <v>20.430734156114106</v>
      </c>
      <c r="P140">
        <v>19.619402543384187</v>
      </c>
      <c r="Q140">
        <v>19.94482547791937</v>
      </c>
      <c r="R140">
        <v>20.190684361237558</v>
      </c>
      <c r="S140">
        <v>19.439058682545589</v>
      </c>
      <c r="T140">
        <v>18.777772519999996</v>
      </c>
      <c r="U140">
        <v>19.537493744407882</v>
      </c>
      <c r="V140">
        <v>19.094688812726531</v>
      </c>
      <c r="W140">
        <v>19.340880484069093</v>
      </c>
      <c r="X140">
        <v>19.700726786066333</v>
      </c>
      <c r="Y140">
        <v>19.809231927025674</v>
      </c>
      <c r="Z140">
        <v>20.448628319255093</v>
      </c>
      <c r="AA140">
        <v>20.513438149254636</v>
      </c>
      <c r="AB140">
        <v>20.459361398826221</v>
      </c>
      <c r="AC140">
        <v>20.950622526197662</v>
      </c>
      <c r="AD140">
        <v>21.163384692376518</v>
      </c>
      <c r="AE140">
        <v>21.285322295688569</v>
      </c>
      <c r="AF140">
        <v>21.423623959296947</v>
      </c>
      <c r="AG140">
        <v>21.53228264660833</v>
      </c>
      <c r="AH140">
        <v>21.607771530610695</v>
      </c>
      <c r="AI140">
        <v>21.635145433038627</v>
      </c>
      <c r="AJ140">
        <v>21.585785019942069</v>
      </c>
      <c r="AK140">
        <v>21.508628925857963</v>
      </c>
      <c r="AL140">
        <v>21.446118499871098</v>
      </c>
      <c r="AM140">
        <v>21.521952389257063</v>
      </c>
      <c r="AN140">
        <v>21.600204159779199</v>
      </c>
      <c r="AO140">
        <v>21.583872325260458</v>
      </c>
      <c r="AP140">
        <v>21.588666383585327</v>
      </c>
      <c r="AQ140">
        <v>21.605374501448264</v>
      </c>
      <c r="AR140">
        <v>21.554715579078266</v>
      </c>
      <c r="AS140">
        <v>21.491324631109631</v>
      </c>
      <c r="AT140">
        <v>21.516251270074765</v>
      </c>
      <c r="AU140">
        <v>21.58191413536343</v>
      </c>
      <c r="AV140">
        <v>21.663232093841465</v>
      </c>
      <c r="AW140">
        <v>21.742367229796333</v>
      </c>
      <c r="AX140">
        <v>21.822824570449338</v>
      </c>
      <c r="AY140">
        <v>21.895024529503647</v>
      </c>
      <c r="AZ140">
        <v>21.976239175929997</v>
      </c>
      <c r="BA140">
        <v>22.046603213478718</v>
      </c>
      <c r="BB140">
        <v>22.114819497732821</v>
      </c>
      <c r="BC140">
        <v>22.13487665280584</v>
      </c>
      <c r="BD140">
        <v>22.15495199882406</v>
      </c>
      <c r="BE140">
        <v>22.175045552285859</v>
      </c>
      <c r="BF140">
        <v>22.195157329704575</v>
      </c>
      <c r="BG140">
        <v>22.215287347608523</v>
      </c>
      <c r="BH140">
        <v>22.237407284551185</v>
      </c>
      <c r="BI140">
        <v>22.259549246489641</v>
      </c>
      <c r="BJ140">
        <v>22.281713255354351</v>
      </c>
      <c r="BK140">
        <v>22.303899333097611</v>
      </c>
      <c r="BL140">
        <v>22.326107501693581</v>
      </c>
      <c r="BM140">
        <v>22.336823207612067</v>
      </c>
      <c r="BN140">
        <v>22.347544056673097</v>
      </c>
      <c r="BO140">
        <v>22.358270051345187</v>
      </c>
      <c r="BP140">
        <v>22.369001194098043</v>
      </c>
      <c r="BQ140">
        <v>22.379737487402554</v>
      </c>
      <c r="BR140">
        <v>22.390100389733625</v>
      </c>
      <c r="BS140">
        <v>22.400468090590362</v>
      </c>
      <c r="BT140">
        <v>22.410840592194713</v>
      </c>
      <c r="BU140">
        <v>22.421217896769658</v>
      </c>
      <c r="BV140">
        <v>22.431600006539206</v>
      </c>
      <c r="BW140">
        <v>22.438377931004013</v>
      </c>
      <c r="BX140">
        <v>22.44515790348412</v>
      </c>
      <c r="BY140">
        <v>22.451939924598356</v>
      </c>
      <c r="BZ140">
        <v>22.458723994965737</v>
      </c>
      <c r="CA140">
        <v>22.465510115205461</v>
      </c>
      <c r="CB140">
        <v>22.462969438648798</v>
      </c>
      <c r="CC140">
        <v>22.46042904942313</v>
      </c>
      <c r="CD140">
        <v>22.45788894749596</v>
      </c>
      <c r="CE140">
        <v>22.455349132834797</v>
      </c>
      <c r="CF140">
        <v>22.452809605407158</v>
      </c>
      <c r="CG140">
        <v>22.442624812220661</v>
      </c>
      <c r="CH140">
        <v>22.432444638946507</v>
      </c>
      <c r="CI140">
        <v>22.422269083489063</v>
      </c>
      <c r="CJ140">
        <v>22.412098143753649</v>
      </c>
      <c r="CK140">
        <v>22.401931817646531</v>
      </c>
      <c r="CL140">
        <v>22.389459823741635</v>
      </c>
      <c r="CM140">
        <v>22.376994773462549</v>
      </c>
      <c r="CN140">
        <v>22.364536662943497</v>
      </c>
      <c r="CO140">
        <v>22.352085488320853</v>
      </c>
      <c r="CP140">
        <v>22.339641245733144</v>
      </c>
      <c r="CQ140">
        <v>22.322592014179389</v>
      </c>
      <c r="CR140">
        <v>22.305555794307125</v>
      </c>
      <c r="CS140">
        <v>22.288532576186064</v>
      </c>
      <c r="CT140">
        <v>22.271522349893491</v>
      </c>
      <c r="CU140">
        <v>22.254525105514261</v>
      </c>
      <c r="CV140">
        <v>22.238544472899552</v>
      </c>
      <c r="CW140">
        <v>22.222575315731635</v>
      </c>
      <c r="CX140">
        <v>22.206617625770171</v>
      </c>
      <c r="CY140">
        <v>22.190671394780733</v>
      </c>
      <c r="CZ140" s="405">
        <v>22.174736614534808</v>
      </c>
    </row>
    <row r="141" spans="1:104" ht="13.8" thickBot="1" x14ac:dyDescent="0.3">
      <c r="A141" s="1007" t="s">
        <v>669</v>
      </c>
      <c r="B141" s="400">
        <v>2016</v>
      </c>
      <c r="C141" s="1008">
        <f t="shared" si="267"/>
        <v>1</v>
      </c>
      <c r="D141" s="1009" t="s">
        <v>293</v>
      </c>
      <c r="E141" s="1008" t="s">
        <v>1044</v>
      </c>
      <c r="F141" s="1010"/>
      <c r="G141" s="400"/>
      <c r="H141" s="1011">
        <v>31.081820315099751</v>
      </c>
      <c r="I141" s="1011">
        <v>31.795307521355493</v>
      </c>
      <c r="J141" s="1011">
        <v>33.946842042036877</v>
      </c>
      <c r="K141" s="1011">
        <v>33.862138723062856</v>
      </c>
      <c r="L141" s="1011">
        <v>35.110516897292094</v>
      </c>
      <c r="M141" s="1011">
        <v>35.620882248372396</v>
      </c>
      <c r="N141" s="1011">
        <v>35.284315436843215</v>
      </c>
      <c r="O141" s="400">
        <v>35.109707376782602</v>
      </c>
      <c r="P141" s="400">
        <v>34.944303180720262</v>
      </c>
      <c r="Q141" s="400">
        <v>35.113313940081568</v>
      </c>
      <c r="R141" s="400">
        <v>35.603854676435802</v>
      </c>
      <c r="S141" s="400">
        <v>35.586699324775935</v>
      </c>
      <c r="T141" s="400">
        <v>34.861101349999998</v>
      </c>
      <c r="U141" s="400">
        <v>34.664653819323334</v>
      </c>
      <c r="V141" s="400">
        <v>34.410290069910978</v>
      </c>
      <c r="W141" s="400">
        <v>34.908531869398402</v>
      </c>
      <c r="X141" s="400">
        <v>35.616671532127199</v>
      </c>
      <c r="Y141" s="400">
        <v>35.947520321196222</v>
      </c>
      <c r="Z141" s="400">
        <v>36.987705865849776</v>
      </c>
      <c r="AA141" s="400">
        <v>37.546039262370911</v>
      </c>
      <c r="AB141" s="400">
        <v>37.510823122184988</v>
      </c>
      <c r="AC141" s="400">
        <v>38.008797637281816</v>
      </c>
      <c r="AD141" s="400">
        <v>38.419808048103611</v>
      </c>
      <c r="AE141" s="400">
        <v>38.480927078752217</v>
      </c>
      <c r="AF141" s="400">
        <v>38.529894147798792</v>
      </c>
      <c r="AG141" s="400">
        <v>38.610432052895767</v>
      </c>
      <c r="AH141" s="400">
        <v>38.669048846696292</v>
      </c>
      <c r="AI141" s="400">
        <v>38.631731396248163</v>
      </c>
      <c r="AJ141" s="400">
        <v>38.567872226687491</v>
      </c>
      <c r="AK141" s="400">
        <v>38.465126969563705</v>
      </c>
      <c r="AL141" s="400">
        <v>38.413723063041203</v>
      </c>
      <c r="AM141" s="400">
        <v>38.515467425425761</v>
      </c>
      <c r="AN141" s="400">
        <v>38.527084818246614</v>
      </c>
      <c r="AO141" s="400">
        <v>38.521472793861179</v>
      </c>
      <c r="AP141" s="400">
        <v>38.546973809920992</v>
      </c>
      <c r="AQ141" s="400">
        <v>38.560691565187064</v>
      </c>
      <c r="AR141" s="400">
        <v>38.568356561168315</v>
      </c>
      <c r="AS141" s="400">
        <v>38.569368829711408</v>
      </c>
      <c r="AT141" s="400">
        <v>38.651143635977618</v>
      </c>
      <c r="AU141" s="400">
        <v>38.781520601750053</v>
      </c>
      <c r="AV141" s="400">
        <v>38.929117506558889</v>
      </c>
      <c r="AW141" s="400">
        <v>39.08758776785308</v>
      </c>
      <c r="AX141" s="400">
        <v>39.228047610742941</v>
      </c>
      <c r="AY141" s="400">
        <v>39.393119417357944</v>
      </c>
      <c r="AZ141" s="400">
        <v>39.595269824540118</v>
      </c>
      <c r="BA141" s="400">
        <v>39.769550621009692</v>
      </c>
      <c r="BB141" s="400">
        <v>39.980674011616443</v>
      </c>
      <c r="BC141" s="400">
        <v>39.983105560972888</v>
      </c>
      <c r="BD141" s="400">
        <v>39.985537258211586</v>
      </c>
      <c r="BE141" s="400">
        <v>39.987969103341534</v>
      </c>
      <c r="BF141" s="400">
        <v>39.990401096371727</v>
      </c>
      <c r="BG141" s="400">
        <v>39.99283323731116</v>
      </c>
      <c r="BH141" s="400">
        <v>39.998683153044055</v>
      </c>
      <c r="BI141" s="400">
        <v>40.00453392446812</v>
      </c>
      <c r="BJ141" s="400">
        <v>40.010385551708517</v>
      </c>
      <c r="BK141" s="400">
        <v>40.016238034890421</v>
      </c>
      <c r="BL141" s="400">
        <v>40.022091374139045</v>
      </c>
      <c r="BM141" s="400">
        <v>40.01068560090993</v>
      </c>
      <c r="BN141" s="400">
        <v>39.999283078177193</v>
      </c>
      <c r="BO141" s="400">
        <v>39.987883805014484</v>
      </c>
      <c r="BP141" s="400">
        <v>39.976487780495717</v>
      </c>
      <c r="BQ141" s="400">
        <v>39.965095003695069</v>
      </c>
      <c r="BR141" s="400">
        <v>39.953080546830584</v>
      </c>
      <c r="BS141" s="400">
        <v>39.941069701797218</v>
      </c>
      <c r="BT141" s="400">
        <v>39.929062467509169</v>
      </c>
      <c r="BU141" s="400">
        <v>39.917058842880955</v>
      </c>
      <c r="BV141" s="400">
        <v>39.905058826827435</v>
      </c>
      <c r="BW141" s="400">
        <v>39.887488478960996</v>
      </c>
      <c r="BX141" s="400">
        <v>39.869925867384971</v>
      </c>
      <c r="BY141" s="400">
        <v>39.852370988693046</v>
      </c>
      <c r="BZ141" s="400">
        <v>39.8348238394804</v>
      </c>
      <c r="CA141" s="400">
        <v>39.817284416343718</v>
      </c>
      <c r="CB141" s="400">
        <v>39.785391393336162</v>
      </c>
      <c r="CC141" s="400">
        <v>39.75352391614198</v>
      </c>
      <c r="CD141" s="400">
        <v>39.721681964299371</v>
      </c>
      <c r="CE141" s="400">
        <v>39.689865517362925</v>
      </c>
      <c r="CF141" s="400">
        <v>39.658074554903607</v>
      </c>
      <c r="CG141" s="400">
        <v>39.614280722534119</v>
      </c>
      <c r="CH141" s="400">
        <v>39.57053525105394</v>
      </c>
      <c r="CI141" s="400">
        <v>39.526838087058842</v>
      </c>
      <c r="CJ141" s="400">
        <v>39.48318917720357</v>
      </c>
      <c r="CK141" s="400">
        <v>39.439588468201791</v>
      </c>
      <c r="CL141" s="400">
        <v>39.392053039782866</v>
      </c>
      <c r="CM141" s="400">
        <v>39.344574904480901</v>
      </c>
      <c r="CN141" s="400">
        <v>39.297153993242112</v>
      </c>
      <c r="CO141" s="400">
        <v>39.249790237095944</v>
      </c>
      <c r="CP141" s="400">
        <v>39.202483567154964</v>
      </c>
      <c r="CQ141" s="400">
        <v>39.147690090479308</v>
      </c>
      <c r="CR141" s="400">
        <v>39.092973198877175</v>
      </c>
      <c r="CS141" s="400">
        <v>39.038332785305279</v>
      </c>
      <c r="CT141" s="400">
        <v>38.983768742869955</v>
      </c>
      <c r="CU141" s="400">
        <v>38.929280964826951</v>
      </c>
      <c r="CV141" s="400">
        <v>38.876091192919297</v>
      </c>
      <c r="CW141" s="400">
        <v>38.822974095147039</v>
      </c>
      <c r="CX141" s="400">
        <v>38.769929572214203</v>
      </c>
      <c r="CY141" s="400">
        <v>38.716957524960492</v>
      </c>
      <c r="CZ141" s="401">
        <v>38.66405785436109</v>
      </c>
    </row>
    <row r="202" spans="1:2" ht="13.8" x14ac:dyDescent="0.25">
      <c r="A202" s="2"/>
      <c r="B202" s="2"/>
    </row>
    <row r="203" spans="1:2" ht="13.8" x14ac:dyDescent="0.25">
      <c r="A203" s="2"/>
      <c r="B203" s="2"/>
    </row>
    <row r="251" spans="29:29" x14ac:dyDescent="0.25">
      <c r="AC251" s="28"/>
    </row>
    <row r="252" spans="29:29" x14ac:dyDescent="0.25">
      <c r="AC252" s="28"/>
    </row>
    <row r="253" spans="29:29" x14ac:dyDescent="0.25">
      <c r="AC253" s="28"/>
    </row>
    <row r="254" spans="29: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3.2" x14ac:dyDescent="0.25"/>
  <cols>
    <col min="1" max="1" width="27.6640625" customWidth="1"/>
    <col min="2" max="2" width="12.6640625" customWidth="1"/>
    <col min="3" max="3" width="19.6640625" customWidth="1"/>
    <col min="4" max="4" width="28.33203125" customWidth="1"/>
    <col min="5" max="5" width="16.5546875" customWidth="1"/>
    <col min="6" max="6" width="11.44140625" customWidth="1"/>
    <col min="7" max="7" width="9.6640625" customWidth="1"/>
    <col min="8" max="8" width="10.33203125" customWidth="1"/>
    <col min="9" max="9" width="10.44140625" customWidth="1"/>
    <col min="10" max="10" width="9.5546875" customWidth="1"/>
    <col min="11" max="12" width="10" customWidth="1"/>
    <col min="13" max="13" width="10.6640625" customWidth="1"/>
    <col min="14" max="14" width="9.5546875" customWidth="1"/>
    <col min="15" max="15" width="10.6640625" customWidth="1"/>
    <col min="16" max="16" width="10.33203125" customWidth="1"/>
    <col min="17" max="17" width="9.554687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44140625" customWidth="1"/>
    <col min="33" max="33" width="9.5546875" customWidth="1"/>
    <col min="34" max="34" width="10" customWidth="1"/>
    <col min="35" max="35" width="9.33203125" customWidth="1"/>
    <col min="36" max="36" width="10" customWidth="1"/>
    <col min="37" max="37" width="10.33203125" customWidth="1"/>
    <col min="38" max="38" width="9.6640625" customWidth="1"/>
    <col min="39" max="39" width="9.5546875" customWidth="1"/>
    <col min="40" max="40" width="9.6640625" customWidth="1"/>
    <col min="41" max="41" width="10.33203125" customWidth="1"/>
    <col min="42" max="44" width="9.6640625" customWidth="1"/>
    <col min="45" max="45" width="9.33203125" customWidth="1"/>
    <col min="46" max="46" width="9.5546875" customWidth="1"/>
    <col min="47" max="47" width="9.6640625" customWidth="1"/>
    <col min="48" max="48" width="10.33203125" customWidth="1"/>
    <col min="49" max="49" width="10.44140625" customWidth="1"/>
    <col min="50" max="50" width="9.5546875" customWidth="1"/>
    <col min="51" max="52" width="9.6640625" customWidth="1"/>
    <col min="53" max="54" width="9.5546875" customWidth="1"/>
    <col min="55" max="55" width="9.6640625" customWidth="1"/>
    <col min="56" max="56" width="9.5546875" customWidth="1"/>
    <col min="57" max="59" width="9.6640625" customWidth="1"/>
    <col min="60" max="60" width="9.5546875" customWidth="1"/>
    <col min="61" max="61" width="9.6640625" customWidth="1"/>
    <col min="62" max="62" width="9.5546875" customWidth="1"/>
    <col min="63" max="63" width="9.6640625" customWidth="1"/>
    <col min="64" max="64" width="10.33203125" customWidth="1"/>
    <col min="65" max="65" width="9.6640625" customWidth="1"/>
    <col min="66" max="66" width="10.33203125" customWidth="1"/>
    <col min="67" max="67" width="9.5546875" customWidth="1"/>
    <col min="68" max="68" width="9.6640625" customWidth="1"/>
    <col min="69" max="69" width="9.5546875" customWidth="1"/>
    <col min="70" max="70" width="9.6640625" customWidth="1"/>
    <col min="71" max="71" width="10.33203125" customWidth="1"/>
    <col min="72" max="72" width="9.6640625" customWidth="1"/>
    <col min="73" max="74" width="9.5546875" customWidth="1"/>
  </cols>
  <sheetData>
    <row r="1" spans="1:104" ht="54" thickTop="1" thickBot="1" x14ac:dyDescent="0.3">
      <c r="A1" s="208" t="s">
        <v>1023</v>
      </c>
      <c r="B1" s="209" t="s">
        <v>1022</v>
      </c>
      <c r="C1" s="710" t="s">
        <v>663</v>
      </c>
      <c r="D1" s="710" t="s">
        <v>805</v>
      </c>
      <c r="E1" s="210">
        <v>2001</v>
      </c>
      <c r="F1" s="211">
        <v>2002</v>
      </c>
      <c r="G1" s="211">
        <v>2003</v>
      </c>
      <c r="H1" s="211">
        <v>2004</v>
      </c>
      <c r="I1" s="211">
        <v>2005</v>
      </c>
      <c r="J1" s="211">
        <v>2006</v>
      </c>
      <c r="K1" s="211">
        <v>2007</v>
      </c>
      <c r="L1" s="211">
        <v>2008</v>
      </c>
      <c r="M1" s="211">
        <v>2009</v>
      </c>
      <c r="N1" s="211">
        <v>2010</v>
      </c>
      <c r="O1" s="211">
        <v>2011</v>
      </c>
      <c r="P1" s="211">
        <v>2012</v>
      </c>
      <c r="Q1" s="211">
        <v>2013</v>
      </c>
      <c r="R1" s="211">
        <v>2014</v>
      </c>
      <c r="S1" s="211">
        <v>2015</v>
      </c>
      <c r="T1" s="211">
        <v>2016</v>
      </c>
      <c r="U1" s="211">
        <v>2017</v>
      </c>
      <c r="V1" s="211">
        <v>2018</v>
      </c>
      <c r="W1" s="211">
        <v>2019</v>
      </c>
      <c r="X1" s="211">
        <v>2020</v>
      </c>
      <c r="Y1" s="211">
        <v>2021</v>
      </c>
      <c r="Z1" s="211">
        <v>2022</v>
      </c>
      <c r="AA1" s="211">
        <v>2023</v>
      </c>
      <c r="AB1" s="211">
        <v>2024</v>
      </c>
      <c r="AC1" s="211">
        <v>2025</v>
      </c>
      <c r="AD1" s="211">
        <v>2026</v>
      </c>
      <c r="AE1" s="211">
        <v>2027</v>
      </c>
      <c r="AF1" s="211">
        <v>2028</v>
      </c>
      <c r="AG1" s="211">
        <v>2029</v>
      </c>
      <c r="AH1" s="211">
        <v>2030</v>
      </c>
      <c r="AI1" s="211">
        <v>2031</v>
      </c>
      <c r="AJ1" s="211">
        <v>2032</v>
      </c>
      <c r="AK1" s="211">
        <v>2033</v>
      </c>
      <c r="AL1" s="211">
        <v>2034</v>
      </c>
      <c r="AM1" s="211">
        <v>2035</v>
      </c>
      <c r="AN1" s="211">
        <v>2036</v>
      </c>
      <c r="AO1" s="211">
        <v>2037</v>
      </c>
      <c r="AP1" s="211">
        <v>2038</v>
      </c>
      <c r="AQ1" s="211">
        <v>2039</v>
      </c>
      <c r="AR1" s="211">
        <v>2040</v>
      </c>
      <c r="AS1" s="211">
        <v>2041</v>
      </c>
      <c r="AT1" s="211">
        <v>2042</v>
      </c>
      <c r="AU1" s="211">
        <v>2043</v>
      </c>
      <c r="AV1" s="211">
        <v>2044</v>
      </c>
      <c r="AW1" s="211">
        <v>2045</v>
      </c>
      <c r="AX1" s="211">
        <v>2046</v>
      </c>
      <c r="AY1" s="211">
        <v>2047</v>
      </c>
      <c r="AZ1" s="211">
        <v>2048</v>
      </c>
      <c r="BA1" s="211">
        <v>2049</v>
      </c>
      <c r="BB1" s="211">
        <v>2050</v>
      </c>
      <c r="BC1" s="211">
        <v>2051</v>
      </c>
      <c r="BD1" s="211">
        <v>2052</v>
      </c>
      <c r="BE1" s="211">
        <v>2053</v>
      </c>
      <c r="BF1" s="211">
        <v>2054</v>
      </c>
      <c r="BG1" s="211">
        <v>2055</v>
      </c>
      <c r="BH1" s="211">
        <v>2056</v>
      </c>
      <c r="BI1" s="211">
        <v>2057</v>
      </c>
      <c r="BJ1" s="211">
        <v>2058</v>
      </c>
      <c r="BK1" s="211">
        <v>2059</v>
      </c>
      <c r="BL1" s="211">
        <v>2060</v>
      </c>
      <c r="BM1" s="211">
        <v>2061</v>
      </c>
      <c r="BN1" s="211">
        <v>2062</v>
      </c>
      <c r="BO1" s="211">
        <v>2063</v>
      </c>
      <c r="BP1" s="211">
        <v>2064</v>
      </c>
      <c r="BQ1" s="211">
        <v>2065</v>
      </c>
      <c r="BR1" s="211">
        <v>2066</v>
      </c>
      <c r="BS1" s="211">
        <v>2067</v>
      </c>
      <c r="BT1" s="211">
        <v>2068</v>
      </c>
      <c r="BU1" s="211">
        <v>2069</v>
      </c>
      <c r="BV1" s="212">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8" thickTop="1" x14ac:dyDescent="0.25">
      <c r="A2" t="s">
        <v>1018</v>
      </c>
      <c r="B2" s="39" t="s">
        <v>692</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1019</v>
      </c>
      <c r="B3" s="39" t="s">
        <v>692</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1020</v>
      </c>
      <c r="B4" s="39" t="s">
        <v>692</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1021</v>
      </c>
      <c r="B5" s="39" t="s">
        <v>265</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659</v>
      </c>
      <c r="B6" s="39" t="s">
        <v>265</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39" t="s">
        <v>1061</v>
      </c>
      <c r="B7" s="39" t="s">
        <v>265</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39" t="s">
        <v>804</v>
      </c>
      <c r="B8" s="39" t="s">
        <v>265</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3.2" x14ac:dyDescent="0.25"/>
  <cols>
    <col min="1" max="1" width="27.6640625" customWidth="1"/>
    <col min="2" max="2" width="19.6640625" customWidth="1"/>
    <col min="3" max="3" width="16.5546875" customWidth="1"/>
    <col min="4" max="4" width="11.44140625" customWidth="1"/>
    <col min="5" max="5" width="9.6640625" customWidth="1"/>
    <col min="6" max="6" width="10.33203125" customWidth="1"/>
    <col min="7" max="7" width="10.44140625" customWidth="1"/>
    <col min="8" max="8" width="9.5546875" customWidth="1"/>
    <col min="9" max="10" width="10" customWidth="1"/>
    <col min="11" max="11" width="10.6640625" customWidth="1"/>
    <col min="12" max="12" width="9.5546875" customWidth="1"/>
    <col min="13" max="13" width="10.6640625" customWidth="1"/>
    <col min="14" max="14" width="10.33203125" customWidth="1"/>
    <col min="15" max="15" width="9.554687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44140625" customWidth="1"/>
    <col min="31" max="31" width="9.5546875" customWidth="1"/>
    <col min="32" max="32" width="10" customWidth="1"/>
    <col min="33" max="33" width="9.33203125" customWidth="1"/>
    <col min="34" max="34" width="10" customWidth="1"/>
    <col min="35" max="35" width="10.33203125" customWidth="1"/>
    <col min="36" max="36" width="9.6640625" customWidth="1"/>
    <col min="37" max="37" width="9.5546875" customWidth="1"/>
    <col min="38" max="38" width="9.6640625" customWidth="1"/>
    <col min="39" max="39" width="10.33203125" customWidth="1"/>
    <col min="40" max="42" width="9.6640625" customWidth="1"/>
    <col min="43" max="43" width="9.33203125" customWidth="1"/>
    <col min="44" max="44" width="9.5546875" customWidth="1"/>
    <col min="45" max="45" width="9.6640625" customWidth="1"/>
    <col min="46" max="46" width="10.33203125" customWidth="1"/>
    <col min="47" max="47" width="10.44140625" customWidth="1"/>
    <col min="48" max="48" width="9.5546875" customWidth="1"/>
    <col min="49" max="50" width="9.6640625" customWidth="1"/>
    <col min="51" max="52" width="9.5546875" customWidth="1"/>
    <col min="53" max="53" width="9.6640625" customWidth="1"/>
    <col min="54" max="54" width="9.5546875" customWidth="1"/>
    <col min="55" max="57" width="9.6640625" customWidth="1"/>
    <col min="58" max="58" width="9.5546875" customWidth="1"/>
    <col min="59" max="59" width="9.6640625" customWidth="1"/>
    <col min="60" max="60" width="9.5546875" customWidth="1"/>
    <col min="61" max="61" width="9.6640625" customWidth="1"/>
    <col min="62" max="62" width="10.33203125" customWidth="1"/>
    <col min="63" max="63" width="9.6640625" customWidth="1"/>
    <col min="64" max="64" width="10.33203125" customWidth="1"/>
    <col min="65" max="65" width="9.5546875" customWidth="1"/>
    <col min="66" max="66" width="9.6640625" customWidth="1"/>
    <col min="67" max="67" width="9.5546875" customWidth="1"/>
    <col min="68" max="68" width="9.6640625" customWidth="1"/>
    <col min="69" max="69" width="10.33203125" customWidth="1"/>
    <col min="70" max="70" width="9.6640625" customWidth="1"/>
    <col min="71" max="72" width="9.5546875" customWidth="1"/>
    <col min="73" max="73" width="10" customWidth="1"/>
  </cols>
  <sheetData>
    <row r="1" spans="1:72" ht="15.6" x14ac:dyDescent="0.3">
      <c r="A1" s="1506" t="s">
        <v>728</v>
      </c>
      <c r="B1" s="1506"/>
      <c r="C1" s="1506"/>
      <c r="D1" s="1506"/>
      <c r="E1" s="1506"/>
      <c r="F1" s="1506"/>
      <c r="G1" s="1506"/>
      <c r="H1" s="1506"/>
      <c r="I1" s="1506"/>
      <c r="J1" s="1506"/>
      <c r="K1" s="1506"/>
      <c r="L1" s="1506"/>
      <c r="M1" s="1506"/>
      <c r="N1" s="1506"/>
      <c r="O1" s="1506"/>
      <c r="P1" s="1506"/>
      <c r="Q1" s="1506"/>
      <c r="R1" s="1506"/>
      <c r="S1" s="1506"/>
      <c r="T1" s="1506"/>
      <c r="U1" s="1506"/>
      <c r="V1" s="1506"/>
      <c r="W1" s="1506"/>
      <c r="X1" s="1506"/>
      <c r="Y1" s="1506"/>
      <c r="Z1" s="1506"/>
      <c r="AA1" s="1506"/>
      <c r="AB1" s="1506"/>
      <c r="AC1" s="1506"/>
      <c r="AD1" s="1506"/>
      <c r="AE1" s="1506"/>
      <c r="AF1" s="1506"/>
      <c r="AG1" s="1506"/>
      <c r="AH1" s="1506"/>
      <c r="AI1" s="1506"/>
      <c r="AJ1" s="1506"/>
      <c r="AK1" s="1506"/>
      <c r="AL1" s="1506"/>
      <c r="AM1" s="1506"/>
      <c r="AN1" s="1506"/>
      <c r="AO1" s="1506"/>
      <c r="AP1" s="1506"/>
      <c r="AQ1" s="1506"/>
      <c r="AR1" s="1506"/>
      <c r="AS1" s="1506"/>
      <c r="AT1" s="1506"/>
      <c r="AU1" s="1506"/>
      <c r="AV1" s="1506"/>
      <c r="AW1" s="1506"/>
      <c r="AX1" s="1506"/>
      <c r="AY1" s="1506"/>
      <c r="AZ1" s="1506"/>
      <c r="BA1" s="1506"/>
      <c r="BB1" s="1506"/>
      <c r="BC1" s="1506"/>
      <c r="BD1" s="1506"/>
      <c r="BE1" s="1506"/>
      <c r="BF1" s="1506"/>
      <c r="BG1" s="1506"/>
      <c r="BH1" s="1506"/>
      <c r="BI1" s="1506"/>
      <c r="BJ1" s="1506"/>
      <c r="BK1" s="1506"/>
      <c r="BL1" s="1506"/>
      <c r="BM1" s="1506"/>
      <c r="BN1" s="1506"/>
      <c r="BO1" s="1506"/>
      <c r="BP1" s="1506"/>
      <c r="BQ1" s="1506"/>
      <c r="BR1" s="1506"/>
      <c r="BS1" s="1506"/>
      <c r="BT1" s="1506"/>
    </row>
    <row r="2" spans="1:72" x14ac:dyDescent="0.25">
      <c r="A2" s="1507" t="s">
        <v>729</v>
      </c>
      <c r="B2" s="1507"/>
      <c r="C2" s="1507"/>
      <c r="D2" s="1507"/>
      <c r="E2" s="1507"/>
      <c r="F2" s="1507"/>
      <c r="G2" s="1507"/>
      <c r="H2" s="1507"/>
      <c r="I2" s="1507"/>
      <c r="J2" s="1507"/>
      <c r="K2" s="1507"/>
      <c r="L2" s="1507"/>
      <c r="M2" s="1507"/>
      <c r="N2" s="1507"/>
      <c r="O2" s="1507"/>
      <c r="P2" s="1507"/>
      <c r="Q2" s="1507"/>
      <c r="R2" s="1507"/>
      <c r="S2" s="1507"/>
      <c r="T2" s="1507"/>
      <c r="U2" s="1507"/>
      <c r="V2" s="1507"/>
      <c r="W2" s="1507"/>
      <c r="X2" s="1507"/>
      <c r="Y2" s="1507"/>
      <c r="Z2" s="1507"/>
      <c r="AA2" s="1507"/>
      <c r="AB2" s="1507"/>
      <c r="AC2" s="1507"/>
      <c r="AD2" s="1507"/>
      <c r="AE2" s="1507"/>
      <c r="AF2" s="1507"/>
      <c r="AG2" s="1507"/>
      <c r="AH2" s="1507"/>
      <c r="AI2" s="1507"/>
      <c r="AJ2" s="1507"/>
      <c r="AK2" s="1507"/>
      <c r="AL2" s="1507"/>
      <c r="AM2" s="1507"/>
      <c r="AN2" s="1507"/>
      <c r="AO2" s="1507"/>
      <c r="AP2" s="1507"/>
      <c r="AQ2" s="1507"/>
      <c r="AR2" s="1507"/>
      <c r="AS2" s="1507"/>
      <c r="AT2" s="1507"/>
      <c r="AU2" s="1507"/>
      <c r="AV2" s="1507"/>
      <c r="AW2" s="1507"/>
      <c r="AX2" s="1507"/>
      <c r="AY2" s="1507"/>
      <c r="AZ2" s="1507"/>
      <c r="BA2" s="1507"/>
      <c r="BB2" s="1507"/>
      <c r="BC2" s="1507"/>
      <c r="BD2" s="1507"/>
      <c r="BE2" s="1507"/>
      <c r="BF2" s="1507"/>
      <c r="BG2" s="1507"/>
      <c r="BH2" s="1507"/>
      <c r="BI2" s="1507"/>
      <c r="BJ2" s="1507"/>
      <c r="BK2" s="1507"/>
      <c r="BL2" s="1507"/>
      <c r="BM2" s="1507"/>
      <c r="BN2" s="1507"/>
      <c r="BO2" s="1507"/>
      <c r="BP2" s="1507"/>
      <c r="BQ2" s="1507"/>
      <c r="BR2" s="1507"/>
      <c r="BS2" s="1507"/>
      <c r="BT2" s="1507"/>
    </row>
    <row r="3" spans="1:72" ht="13.8" thickBot="1" x14ac:dyDescent="0.3">
      <c r="A3" s="1508"/>
      <c r="B3" s="1508"/>
      <c r="C3" s="1508"/>
      <c r="D3" s="1508"/>
      <c r="E3" s="1508"/>
      <c r="F3" s="1508"/>
      <c r="G3" s="1508"/>
      <c r="H3" s="1508"/>
      <c r="I3" s="1508"/>
      <c r="J3" s="1508"/>
      <c r="K3" s="1508"/>
      <c r="L3" s="1508"/>
      <c r="M3" s="1508"/>
      <c r="N3" s="1508"/>
      <c r="O3" s="1508"/>
      <c r="P3" s="1508"/>
      <c r="Q3" s="1508"/>
      <c r="R3" s="1508"/>
      <c r="S3" s="1508"/>
      <c r="T3" s="1508"/>
      <c r="U3" s="1508"/>
      <c r="V3" s="1508"/>
      <c r="W3" s="1508"/>
      <c r="X3" s="1508"/>
      <c r="Y3" s="1508"/>
      <c r="Z3" s="1508"/>
      <c r="AA3" s="1508"/>
      <c r="AB3" s="1508"/>
      <c r="AC3" s="1508"/>
      <c r="AD3" s="1508"/>
      <c r="AE3" s="1508"/>
      <c r="AF3" s="1508"/>
      <c r="AG3" s="1508"/>
      <c r="AH3" s="1508"/>
      <c r="AI3" s="1508"/>
      <c r="AJ3" s="1508"/>
      <c r="AK3" s="1508"/>
      <c r="AL3" s="1508"/>
      <c r="AM3" s="1508"/>
      <c r="AN3" s="1508"/>
      <c r="AO3" s="1508"/>
      <c r="AP3" s="1508"/>
      <c r="AQ3" s="1508"/>
      <c r="AR3" s="1508"/>
      <c r="AS3" s="1508"/>
      <c r="AT3" s="1508"/>
      <c r="AU3" s="1508"/>
      <c r="AV3" s="1508"/>
      <c r="AW3" s="1508"/>
      <c r="AX3" s="1508"/>
      <c r="AY3" s="1508"/>
      <c r="AZ3" s="1508"/>
      <c r="BA3" s="1508"/>
      <c r="BB3" s="1508"/>
      <c r="BC3" s="1508"/>
      <c r="BD3" s="1508"/>
      <c r="BE3" s="1508"/>
      <c r="BF3" s="1508"/>
      <c r="BG3" s="1508"/>
      <c r="BH3" s="1508"/>
      <c r="BI3" s="1508"/>
      <c r="BJ3" s="1508"/>
      <c r="BK3" s="1508"/>
      <c r="BL3" s="1508"/>
      <c r="BM3" s="1508"/>
      <c r="BN3" s="1508"/>
      <c r="BO3" s="1508"/>
      <c r="BP3" s="1508"/>
      <c r="BQ3" s="1508"/>
      <c r="BR3" s="1508"/>
      <c r="BS3" s="1508"/>
      <c r="BT3" s="1508"/>
    </row>
    <row r="4" spans="1:72" x14ac:dyDescent="0.25">
      <c r="A4" s="719"/>
      <c r="B4" s="720" t="s">
        <v>1022</v>
      </c>
      <c r="C4" s="721">
        <v>2001</v>
      </c>
      <c r="D4" s="721">
        <v>2002</v>
      </c>
      <c r="E4" s="721">
        <v>2003</v>
      </c>
      <c r="F4" s="721">
        <v>2004</v>
      </c>
      <c r="G4" s="721">
        <v>2005</v>
      </c>
      <c r="H4" s="721">
        <v>2006</v>
      </c>
      <c r="I4" s="721">
        <v>2007</v>
      </c>
      <c r="J4" s="721">
        <v>2008</v>
      </c>
      <c r="K4" s="721">
        <v>2009</v>
      </c>
      <c r="L4" s="721">
        <v>2010</v>
      </c>
      <c r="M4" s="721">
        <v>2011</v>
      </c>
      <c r="N4" s="721">
        <v>2012</v>
      </c>
      <c r="O4" s="721">
        <v>2013</v>
      </c>
      <c r="P4" s="721">
        <v>2014</v>
      </c>
      <c r="Q4" s="721">
        <v>2015</v>
      </c>
      <c r="R4" s="721">
        <v>2016</v>
      </c>
      <c r="S4" s="721">
        <v>2017</v>
      </c>
      <c r="T4" s="721">
        <v>2018</v>
      </c>
      <c r="U4" s="721">
        <v>2019</v>
      </c>
      <c r="V4" s="721">
        <v>2020</v>
      </c>
      <c r="W4" s="721">
        <v>2021</v>
      </c>
      <c r="X4" s="721">
        <v>2022</v>
      </c>
      <c r="Y4" s="721">
        <v>2023</v>
      </c>
      <c r="Z4" s="721">
        <v>2024</v>
      </c>
      <c r="AA4" s="721">
        <v>2025</v>
      </c>
      <c r="AB4" s="721">
        <v>2026</v>
      </c>
      <c r="AC4" s="721">
        <v>2027</v>
      </c>
      <c r="AD4" s="721">
        <v>2028</v>
      </c>
      <c r="AE4" s="721">
        <v>2029</v>
      </c>
      <c r="AF4" s="721">
        <v>2030</v>
      </c>
      <c r="AG4" s="721">
        <v>2031</v>
      </c>
      <c r="AH4" s="721">
        <v>2032</v>
      </c>
      <c r="AI4" s="721">
        <v>2033</v>
      </c>
      <c r="AJ4" s="721">
        <v>2034</v>
      </c>
      <c r="AK4" s="721">
        <v>2035</v>
      </c>
      <c r="AL4" s="721">
        <v>2036</v>
      </c>
      <c r="AM4" s="721">
        <v>2037</v>
      </c>
      <c r="AN4" s="721">
        <v>2038</v>
      </c>
      <c r="AO4" s="721">
        <v>2039</v>
      </c>
      <c r="AP4" s="721">
        <v>2040</v>
      </c>
      <c r="AQ4" s="721">
        <v>2041</v>
      </c>
      <c r="AR4" s="721">
        <v>2042</v>
      </c>
      <c r="AS4" s="721">
        <v>2043</v>
      </c>
      <c r="AT4" s="721">
        <v>2044</v>
      </c>
      <c r="AU4" s="721">
        <v>2045</v>
      </c>
      <c r="AV4" s="721">
        <v>2046</v>
      </c>
      <c r="AW4" s="721">
        <v>2047</v>
      </c>
      <c r="AX4" s="721">
        <v>2048</v>
      </c>
      <c r="AY4" s="721">
        <v>2049</v>
      </c>
      <c r="AZ4" s="721">
        <v>2050</v>
      </c>
      <c r="BA4" s="721">
        <v>2051</v>
      </c>
      <c r="BB4" s="721">
        <v>2052</v>
      </c>
      <c r="BC4" s="721">
        <v>2053</v>
      </c>
      <c r="BD4" s="721">
        <v>2054</v>
      </c>
      <c r="BE4" s="721">
        <v>2056</v>
      </c>
      <c r="BF4" s="721">
        <v>2056</v>
      </c>
      <c r="BG4" s="721">
        <v>2057</v>
      </c>
      <c r="BH4" s="721">
        <v>2058</v>
      </c>
      <c r="BI4" s="721">
        <v>2059</v>
      </c>
      <c r="BJ4" s="721">
        <v>2060</v>
      </c>
      <c r="BK4" s="721">
        <v>2061</v>
      </c>
      <c r="BL4" s="721">
        <v>2062</v>
      </c>
      <c r="BM4" s="721">
        <v>2063</v>
      </c>
      <c r="BN4" s="721">
        <v>2064</v>
      </c>
      <c r="BO4" s="721">
        <v>2065</v>
      </c>
      <c r="BP4" s="721">
        <v>2066</v>
      </c>
      <c r="BQ4" s="721">
        <v>2067</v>
      </c>
      <c r="BR4" s="721">
        <v>2068</v>
      </c>
      <c r="BS4" s="721">
        <v>2069</v>
      </c>
      <c r="BT4" s="722">
        <v>2070</v>
      </c>
    </row>
    <row r="5" spans="1:72" x14ac:dyDescent="0.25">
      <c r="A5" s="1509" t="s">
        <v>730</v>
      </c>
      <c r="B5" s="1510"/>
      <c r="C5" s="1510"/>
      <c r="D5" s="1510"/>
      <c r="E5" s="1510"/>
      <c r="F5" s="1510"/>
      <c r="G5" s="1510"/>
      <c r="H5" s="1510"/>
      <c r="I5" s="1510"/>
      <c r="J5" s="1510"/>
      <c r="K5" s="1510"/>
      <c r="L5" s="1510"/>
      <c r="M5" s="1510"/>
      <c r="N5" s="1510"/>
      <c r="O5" s="1510"/>
      <c r="P5" s="1510"/>
      <c r="Q5" s="1510"/>
      <c r="R5" s="1510"/>
      <c r="S5" s="1510"/>
      <c r="T5" s="1510"/>
      <c r="U5" s="1510"/>
      <c r="V5" s="1510"/>
      <c r="W5" s="1510"/>
      <c r="X5" s="1510"/>
      <c r="Y5" s="1510"/>
      <c r="Z5" s="1510"/>
      <c r="AA5" s="1510"/>
      <c r="AB5" s="1510"/>
      <c r="AC5" s="1510"/>
      <c r="AD5" s="1510"/>
      <c r="AE5" s="1510"/>
      <c r="AF5" s="1510"/>
      <c r="AG5" s="1510"/>
      <c r="AH5" s="1510"/>
      <c r="AI5" s="1510"/>
      <c r="AJ5" s="1510"/>
      <c r="AK5" s="1510"/>
      <c r="AL5" s="1510"/>
      <c r="AM5" s="1510"/>
      <c r="AN5" s="1510"/>
      <c r="AO5" s="1510"/>
      <c r="AP5" s="1510"/>
      <c r="AQ5" s="1510"/>
      <c r="AR5" s="1510"/>
      <c r="AS5" s="1510"/>
      <c r="AT5" s="1510"/>
      <c r="AU5" s="1510"/>
      <c r="AV5" s="1510"/>
      <c r="AW5" s="1510"/>
      <c r="AX5" s="1510"/>
      <c r="AY5" s="1510"/>
      <c r="AZ5" s="1510"/>
      <c r="BA5" s="1510"/>
      <c r="BB5" s="1510"/>
      <c r="BC5" s="1510"/>
      <c r="BD5" s="1510"/>
      <c r="BE5" s="1510"/>
      <c r="BF5" s="1510"/>
      <c r="BG5" s="1510"/>
      <c r="BH5" s="1510"/>
      <c r="BI5" s="1510"/>
      <c r="BJ5" s="1510"/>
      <c r="BK5" s="1510"/>
      <c r="BL5" s="1510"/>
      <c r="BM5" s="1510"/>
      <c r="BN5" s="1510"/>
      <c r="BO5" s="1510"/>
      <c r="BP5" s="1510"/>
      <c r="BQ5" s="1510"/>
      <c r="BR5" s="1510"/>
      <c r="BS5" s="1510"/>
      <c r="BT5" s="1511"/>
    </row>
    <row r="6" spans="1:72" x14ac:dyDescent="0.25">
      <c r="A6" s="723" t="s">
        <v>731</v>
      </c>
      <c r="B6" s="724" t="s">
        <v>732</v>
      </c>
      <c r="C6" s="725">
        <v>8.9541000728991982</v>
      </c>
      <c r="D6" s="725">
        <v>6.8979457774252282</v>
      </c>
      <c r="E6" s="725">
        <v>8.4197996967243682</v>
      </c>
      <c r="F6" s="725">
        <v>8.8059982398770913</v>
      </c>
      <c r="G6" s="725">
        <v>8.8656468751295598</v>
      </c>
      <c r="H6" s="725">
        <v>8.2234977371287847</v>
      </c>
      <c r="I6" s="725">
        <v>7.8073426530046319</v>
      </c>
      <c r="J6" s="725">
        <v>7.4325694992857168</v>
      </c>
      <c r="K6" s="725">
        <v>7.297531685739191</v>
      </c>
      <c r="L6" s="725">
        <v>7.1966502441550162</v>
      </c>
      <c r="M6" s="725">
        <v>7.2405429268783017</v>
      </c>
      <c r="N6" s="725">
        <v>7.2944294079294778</v>
      </c>
      <c r="O6" s="725">
        <v>7.4037989917791105</v>
      </c>
      <c r="P6" s="725">
        <v>7.5440859727139706</v>
      </c>
      <c r="Q6" s="725">
        <v>7.6385998163583153</v>
      </c>
      <c r="R6" s="725">
        <v>7.6698249061152577</v>
      </c>
      <c r="S6" s="725">
        <v>7.596507558282819</v>
      </c>
      <c r="T6" s="725">
        <v>7.644327174942454</v>
      </c>
      <c r="U6" s="725">
        <v>7.7875295315148705</v>
      </c>
      <c r="V6" s="725">
        <v>8.0180296178133954</v>
      </c>
      <c r="W6" s="725">
        <v>8.1425457338117244</v>
      </c>
      <c r="X6" s="725">
        <v>8.1602542175436898</v>
      </c>
      <c r="Y6" s="725">
        <v>8.1927349319997838</v>
      </c>
      <c r="Z6" s="725">
        <v>8.2544961582939571</v>
      </c>
      <c r="AA6" s="725">
        <v>8.3511330316651513</v>
      </c>
      <c r="AB6" s="726">
        <v>8.4290329061652454</v>
      </c>
      <c r="AC6" s="726">
        <v>8.5069327806653394</v>
      </c>
      <c r="AD6" s="726">
        <v>8.5848326551654335</v>
      </c>
      <c r="AE6" s="726">
        <v>8.6627325296655275</v>
      </c>
      <c r="AF6" s="726">
        <v>8.7406324041656216</v>
      </c>
      <c r="AG6" s="726">
        <v>8.8185322786657157</v>
      </c>
      <c r="AH6" s="726">
        <v>8.8964321531658097</v>
      </c>
      <c r="AI6" s="726">
        <v>8.9743320276659038</v>
      </c>
      <c r="AJ6" s="726">
        <v>9.0522319021659978</v>
      </c>
      <c r="AK6" s="726">
        <v>9.1301317766660848</v>
      </c>
      <c r="AL6" s="726">
        <v>9.2578200706648097</v>
      </c>
      <c r="AM6" s="726">
        <v>9.3855083646635347</v>
      </c>
      <c r="AN6" s="726">
        <v>9.5131966586622596</v>
      </c>
      <c r="AO6" s="726">
        <v>9.6408849526609846</v>
      </c>
      <c r="AP6" s="726">
        <v>9.7685732466597095</v>
      </c>
      <c r="AQ6" s="726">
        <v>9.8962615406584344</v>
      </c>
      <c r="AR6" s="726">
        <v>10.023949834657159</v>
      </c>
      <c r="AS6" s="726">
        <v>10.151638128655884</v>
      </c>
      <c r="AT6" s="726">
        <v>10.279326422654609</v>
      </c>
      <c r="AU6" s="726">
        <v>10.407014716653334</v>
      </c>
      <c r="AV6" s="726">
        <v>10.534703010652059</v>
      </c>
      <c r="AW6" s="726">
        <v>10.662391304650784</v>
      </c>
      <c r="AX6" s="726">
        <v>10.790079598649509</v>
      </c>
      <c r="AY6" s="726">
        <v>10.917767892648234</v>
      </c>
      <c r="AZ6" s="726">
        <v>11.045456186646948</v>
      </c>
      <c r="BA6" s="726">
        <v>11.066404719719236</v>
      </c>
      <c r="BB6" s="726">
        <v>11.087353252791523</v>
      </c>
      <c r="BC6" s="726">
        <v>11.10830178586381</v>
      </c>
      <c r="BD6" s="726">
        <v>11.129250318936098</v>
      </c>
      <c r="BE6" s="726">
        <v>11.150198852008385</v>
      </c>
      <c r="BF6" s="726">
        <v>11.171147385080673</v>
      </c>
      <c r="BG6" s="726">
        <v>11.19209591815296</v>
      </c>
      <c r="BH6" s="726">
        <v>11.213044451225247</v>
      </c>
      <c r="BI6" s="726">
        <v>11.233992984297535</v>
      </c>
      <c r="BJ6" s="726">
        <v>11.254941517369822</v>
      </c>
      <c r="BK6" s="726">
        <v>11.27589005044211</v>
      </c>
      <c r="BL6" s="726">
        <v>11.296838583514397</v>
      </c>
      <c r="BM6" s="726">
        <v>11.317787116586684</v>
      </c>
      <c r="BN6" s="726">
        <v>11.338735649658972</v>
      </c>
      <c r="BO6" s="726">
        <v>11.359684182731248</v>
      </c>
      <c r="BP6" s="726">
        <v>11.381228672680008</v>
      </c>
      <c r="BQ6" s="726">
        <v>11.402773162628767</v>
      </c>
      <c r="BR6" s="726">
        <v>11.424317652577527</v>
      </c>
      <c r="BS6" s="726">
        <v>11.445862142526286</v>
      </c>
      <c r="BT6" s="727">
        <v>11.467406632475045</v>
      </c>
    </row>
    <row r="7" spans="1:72" x14ac:dyDescent="0.25">
      <c r="A7" s="728" t="s">
        <v>733</v>
      </c>
      <c r="B7" s="724" t="s">
        <v>732</v>
      </c>
      <c r="C7" s="725">
        <v>5.2088497969877503</v>
      </c>
      <c r="D7" s="725">
        <v>4.0515519538015683</v>
      </c>
      <c r="E7" s="725">
        <v>5.7953765594734321</v>
      </c>
      <c r="F7" s="725">
        <v>6.3059286733843276</v>
      </c>
      <c r="G7" s="725">
        <v>6.3351569917966728</v>
      </c>
      <c r="H7" s="725">
        <v>5.6603640970194089</v>
      </c>
      <c r="I7" s="725">
        <v>5.2154936812958672</v>
      </c>
      <c r="J7" s="725">
        <v>4.824472465605103</v>
      </c>
      <c r="K7" s="725">
        <v>4.7214620293311338</v>
      </c>
      <c r="L7" s="725">
        <v>4.5987567766657387</v>
      </c>
      <c r="M7" s="725">
        <v>4.6224680014376371</v>
      </c>
      <c r="N7" s="725">
        <v>4.6768878495918127</v>
      </c>
      <c r="O7" s="725">
        <v>4.7861952984108127</v>
      </c>
      <c r="P7" s="725">
        <v>4.922351045428587</v>
      </c>
      <c r="Q7" s="725">
        <v>5.0173813554475863</v>
      </c>
      <c r="R7" s="725">
        <v>5.0686005039035118</v>
      </c>
      <c r="S7" s="725">
        <v>5.0229759936062797</v>
      </c>
      <c r="T7" s="725">
        <v>5.0914502886106439</v>
      </c>
      <c r="U7" s="725">
        <v>5.2365480121576597</v>
      </c>
      <c r="V7" s="725">
        <v>5.4816269649649545</v>
      </c>
      <c r="W7" s="725">
        <v>5.5841408180740668</v>
      </c>
      <c r="X7" s="725">
        <v>5.5850370537559959</v>
      </c>
      <c r="Y7" s="725">
        <v>5.6052826350589937</v>
      </c>
      <c r="Z7" s="725">
        <v>5.6612136071582997</v>
      </c>
      <c r="AA7" s="725">
        <v>5.7676752715740598</v>
      </c>
      <c r="AB7" s="726">
        <v>5.8539244792759346</v>
      </c>
      <c r="AC7" s="726">
        <v>5.9401736869778095</v>
      </c>
      <c r="AD7" s="726">
        <v>6.0264228946796843</v>
      </c>
      <c r="AE7" s="726">
        <v>6.1126721023815591</v>
      </c>
      <c r="AF7" s="726">
        <v>6.1989213100834339</v>
      </c>
      <c r="AG7" s="726">
        <v>6.2851705177853088</v>
      </c>
      <c r="AH7" s="726">
        <v>6.3714197254871836</v>
      </c>
      <c r="AI7" s="726">
        <v>6.4576689331890584</v>
      </c>
      <c r="AJ7" s="726">
        <v>6.5439181408909333</v>
      </c>
      <c r="AK7" s="726">
        <v>6.6301673485928063</v>
      </c>
      <c r="AL7" s="726">
        <v>6.7228927087931387</v>
      </c>
      <c r="AM7" s="726">
        <v>6.8156180689934711</v>
      </c>
      <c r="AN7" s="726">
        <v>6.9083434291938035</v>
      </c>
      <c r="AO7" s="726">
        <v>7.0010687893941359</v>
      </c>
      <c r="AP7" s="726">
        <v>7.0937941495944683</v>
      </c>
      <c r="AQ7" s="726">
        <v>7.1865195097948007</v>
      </c>
      <c r="AR7" s="726">
        <v>7.2792448699951331</v>
      </c>
      <c r="AS7" s="726">
        <v>7.3719702301954655</v>
      </c>
      <c r="AT7" s="726">
        <v>7.4646955903957979</v>
      </c>
      <c r="AU7" s="726">
        <v>7.5574209505961303</v>
      </c>
      <c r="AV7" s="726">
        <v>7.6501463107964627</v>
      </c>
      <c r="AW7" s="726">
        <v>7.7428716709967951</v>
      </c>
      <c r="AX7" s="726">
        <v>7.8355970311971275</v>
      </c>
      <c r="AY7" s="726">
        <v>7.9283223913974599</v>
      </c>
      <c r="AZ7" s="726">
        <v>8.021047751597786</v>
      </c>
      <c r="BA7" s="726">
        <v>8.0362602680624171</v>
      </c>
      <c r="BB7" s="726">
        <v>8.0514727845270482</v>
      </c>
      <c r="BC7" s="726">
        <v>8.0666853009916792</v>
      </c>
      <c r="BD7" s="726">
        <v>8.0818978174563103</v>
      </c>
      <c r="BE7" s="726">
        <v>8.0971103339209414</v>
      </c>
      <c r="BF7" s="726">
        <v>8.1123228503855724</v>
      </c>
      <c r="BG7" s="726">
        <v>8.1275353668502035</v>
      </c>
      <c r="BH7" s="726">
        <v>8.1427478833148346</v>
      </c>
      <c r="BI7" s="726">
        <v>8.1579603997794656</v>
      </c>
      <c r="BJ7" s="726">
        <v>8.1731729162440967</v>
      </c>
      <c r="BK7" s="726">
        <v>8.1883854327087278</v>
      </c>
      <c r="BL7" s="726">
        <v>8.2035979491733588</v>
      </c>
      <c r="BM7" s="726">
        <v>8.2188104656379899</v>
      </c>
      <c r="BN7" s="726">
        <v>8.234022982102621</v>
      </c>
      <c r="BO7" s="726">
        <v>8.2492354985672645</v>
      </c>
      <c r="BP7" s="726">
        <v>8.2648807901462327</v>
      </c>
      <c r="BQ7" s="726">
        <v>8.2805260817252009</v>
      </c>
      <c r="BR7" s="726">
        <v>8.2961713733041691</v>
      </c>
      <c r="BS7" s="726">
        <v>8.3118166648831373</v>
      </c>
      <c r="BT7" s="727">
        <v>8.3274619564621091</v>
      </c>
    </row>
    <row r="8" spans="1:72" x14ac:dyDescent="0.25">
      <c r="A8" s="728" t="s">
        <v>734</v>
      </c>
      <c r="B8" s="724" t="s">
        <v>732</v>
      </c>
      <c r="C8" s="725">
        <v>5.6269638934579786</v>
      </c>
      <c r="D8" s="725">
        <v>3.8422456293735823</v>
      </c>
      <c r="E8" s="725">
        <v>5.691139826234779</v>
      </c>
      <c r="F8" s="725">
        <v>6.2376343214286925</v>
      </c>
      <c r="G8" s="725">
        <v>6.1731978092553481</v>
      </c>
      <c r="H8" s="725">
        <v>5.4998161252939477</v>
      </c>
      <c r="I8" s="725">
        <v>5.0667498741509744</v>
      </c>
      <c r="J8" s="725">
        <v>4.6999946247856554</v>
      </c>
      <c r="K8" s="725">
        <v>4.5877827360944901</v>
      </c>
      <c r="L8" s="725">
        <v>4.4974766767249967</v>
      </c>
      <c r="M8" s="725">
        <v>4.5471429464952013</v>
      </c>
      <c r="N8" s="725">
        <v>4.6470168064225401</v>
      </c>
      <c r="O8" s="725">
        <v>4.7885290901615907</v>
      </c>
      <c r="P8" s="725">
        <v>4.9298490038457894</v>
      </c>
      <c r="Q8" s="725">
        <v>5.0143193411377212</v>
      </c>
      <c r="R8" s="725">
        <v>5.0431599369588911</v>
      </c>
      <c r="S8" s="725">
        <v>4.9958503246307417</v>
      </c>
      <c r="T8" s="725">
        <v>5.071809156885692</v>
      </c>
      <c r="U8" s="725">
        <v>5.2209958625289659</v>
      </c>
      <c r="V8" s="725">
        <v>5.4542850660827948</v>
      </c>
      <c r="W8" s="725">
        <v>5.5514960671370845</v>
      </c>
      <c r="X8" s="725">
        <v>5.5489887943807661</v>
      </c>
      <c r="Y8" s="725">
        <v>5.5622220646660265</v>
      </c>
      <c r="Z8" s="725">
        <v>5.6263508841676488</v>
      </c>
      <c r="AA8" s="725">
        <v>5.730461856104295</v>
      </c>
      <c r="AB8" s="726">
        <v>5.8123040182474703</v>
      </c>
      <c r="AC8" s="726">
        <v>5.8941461803906456</v>
      </c>
      <c r="AD8" s="726">
        <v>5.9759883425338209</v>
      </c>
      <c r="AE8" s="726">
        <v>6.0578305046769962</v>
      </c>
      <c r="AF8" s="726">
        <v>6.1396726668201715</v>
      </c>
      <c r="AG8" s="726">
        <v>6.2215148289633468</v>
      </c>
      <c r="AH8" s="726">
        <v>6.3033569911065221</v>
      </c>
      <c r="AI8" s="726">
        <v>6.3851991532496974</v>
      </c>
      <c r="AJ8" s="726">
        <v>6.4670413153928727</v>
      </c>
      <c r="AK8" s="726">
        <v>6.5488834775360516</v>
      </c>
      <c r="AL8" s="726">
        <v>6.6404720525202734</v>
      </c>
      <c r="AM8" s="726">
        <v>6.7320606275044952</v>
      </c>
      <c r="AN8" s="726">
        <v>6.823649202488717</v>
      </c>
      <c r="AO8" s="726">
        <v>6.9152377774729388</v>
      </c>
      <c r="AP8" s="726">
        <v>7.0068263524571606</v>
      </c>
      <c r="AQ8" s="726">
        <v>7.0984149274413824</v>
      </c>
      <c r="AR8" s="726">
        <v>7.1900035024256042</v>
      </c>
      <c r="AS8" s="726">
        <v>7.2815920774098259</v>
      </c>
      <c r="AT8" s="726">
        <v>7.3731806523940477</v>
      </c>
      <c r="AU8" s="726">
        <v>7.4647692273782695</v>
      </c>
      <c r="AV8" s="726">
        <v>7.5563578023624913</v>
      </c>
      <c r="AW8" s="726">
        <v>7.6479463773467131</v>
      </c>
      <c r="AX8" s="726">
        <v>7.7395349523309349</v>
      </c>
      <c r="AY8" s="726">
        <v>7.8311235273151567</v>
      </c>
      <c r="AZ8" s="726">
        <v>7.9227121022993829</v>
      </c>
      <c r="BA8" s="726">
        <v>7.9377381178566102</v>
      </c>
      <c r="BB8" s="726">
        <v>7.9527641334138375</v>
      </c>
      <c r="BC8" s="726">
        <v>7.9677901489710647</v>
      </c>
      <c r="BD8" s="726">
        <v>7.982816164528292</v>
      </c>
      <c r="BE8" s="726">
        <v>7.9978421800855193</v>
      </c>
      <c r="BF8" s="726">
        <v>8.0128681956427457</v>
      </c>
      <c r="BG8" s="726">
        <v>8.0278942111999729</v>
      </c>
      <c r="BH8" s="726">
        <v>8.0429202267572002</v>
      </c>
      <c r="BI8" s="726">
        <v>8.0579462423144275</v>
      </c>
      <c r="BJ8" s="726">
        <v>8.0729722578716547</v>
      </c>
      <c r="BK8" s="726">
        <v>8.087998273428882</v>
      </c>
      <c r="BL8" s="726">
        <v>8.1030242889861093</v>
      </c>
      <c r="BM8" s="726">
        <v>8.1180503045433365</v>
      </c>
      <c r="BN8" s="726">
        <v>8.1330763201005638</v>
      </c>
      <c r="BO8" s="726">
        <v>8.1481023356577857</v>
      </c>
      <c r="BP8" s="726">
        <v>8.1635558206357306</v>
      </c>
      <c r="BQ8" s="726">
        <v>8.1790093056136755</v>
      </c>
      <c r="BR8" s="726">
        <v>8.1944627905916203</v>
      </c>
      <c r="BS8" s="726">
        <v>8.2099162755695652</v>
      </c>
      <c r="BT8" s="727">
        <v>8.2253697605475136</v>
      </c>
    </row>
    <row r="9" spans="1:72" x14ac:dyDescent="0.25">
      <c r="A9" s="1509" t="s">
        <v>735</v>
      </c>
      <c r="B9" s="1510"/>
      <c r="C9" s="1510"/>
      <c r="D9" s="1510"/>
      <c r="E9" s="1510"/>
      <c r="F9" s="1510"/>
      <c r="G9" s="1510"/>
      <c r="H9" s="1510"/>
      <c r="I9" s="1510"/>
      <c r="J9" s="1510"/>
      <c r="K9" s="1510"/>
      <c r="L9" s="1510"/>
      <c r="M9" s="1510"/>
      <c r="N9" s="1510"/>
      <c r="O9" s="1510"/>
      <c r="P9" s="1510"/>
      <c r="Q9" s="1510"/>
      <c r="R9" s="1510"/>
      <c r="S9" s="1510"/>
      <c r="T9" s="1510"/>
      <c r="U9" s="1510"/>
      <c r="V9" s="1510"/>
      <c r="W9" s="1510"/>
      <c r="X9" s="1510"/>
      <c r="Y9" s="1510"/>
      <c r="Z9" s="1510"/>
      <c r="AA9" s="1510"/>
      <c r="AB9" s="1510"/>
      <c r="AC9" s="1510"/>
      <c r="AD9" s="1510"/>
      <c r="AE9" s="1510"/>
      <c r="AF9" s="1510"/>
      <c r="AG9" s="1510"/>
      <c r="AH9" s="1510"/>
      <c r="AI9" s="1510"/>
      <c r="AJ9" s="1510"/>
      <c r="AK9" s="1510"/>
      <c r="AL9" s="1510"/>
      <c r="AM9" s="1510"/>
      <c r="AN9" s="1510"/>
      <c r="AO9" s="1510"/>
      <c r="AP9" s="1510"/>
      <c r="AQ9" s="1510"/>
      <c r="AR9" s="1510"/>
      <c r="AS9" s="1510"/>
      <c r="AT9" s="1510"/>
      <c r="AU9" s="1510"/>
      <c r="AV9" s="1510"/>
      <c r="AW9" s="1510"/>
      <c r="AX9" s="1510"/>
      <c r="AY9" s="1510"/>
      <c r="AZ9" s="1510"/>
      <c r="BA9" s="1510"/>
      <c r="BB9" s="1510"/>
      <c r="BC9" s="1510"/>
      <c r="BD9" s="1510"/>
      <c r="BE9" s="1510"/>
      <c r="BF9" s="1510"/>
      <c r="BG9" s="1510"/>
      <c r="BH9" s="1510"/>
      <c r="BI9" s="1510"/>
      <c r="BJ9" s="1510"/>
      <c r="BK9" s="1510"/>
      <c r="BL9" s="1510"/>
      <c r="BM9" s="1510"/>
      <c r="BN9" s="1510"/>
      <c r="BO9" s="1510"/>
      <c r="BP9" s="1510"/>
      <c r="BQ9" s="1510"/>
      <c r="BR9" s="1510"/>
      <c r="BS9" s="1510"/>
      <c r="BT9" s="1511"/>
    </row>
    <row r="10" spans="1:72" x14ac:dyDescent="0.25">
      <c r="A10" s="728" t="s">
        <v>668</v>
      </c>
      <c r="B10" s="724" t="s">
        <v>732</v>
      </c>
      <c r="C10" s="725">
        <v>24.866788774356646</v>
      </c>
      <c r="D10" s="725">
        <v>24.345010037692106</v>
      </c>
      <c r="E10" s="725">
        <v>24.223933219909672</v>
      </c>
      <c r="F10" s="725">
        <v>24.020635352944481</v>
      </c>
      <c r="G10" s="725">
        <v>23.91295186528621</v>
      </c>
      <c r="H10" s="725">
        <v>22.837542614846832</v>
      </c>
      <c r="I10" s="725">
        <v>21.69091966017233</v>
      </c>
      <c r="J10" s="725">
        <v>21.090846376599046</v>
      </c>
      <c r="K10" s="725">
        <v>21.058556043876806</v>
      </c>
      <c r="L10" s="725">
        <v>20.987678365887316</v>
      </c>
      <c r="M10" s="725">
        <v>20.983490961902529</v>
      </c>
      <c r="N10" s="725">
        <v>21.313707333690761</v>
      </c>
      <c r="O10" s="725">
        <v>21.638938984780914</v>
      </c>
      <c r="P10" s="725">
        <v>22.13258341123478</v>
      </c>
      <c r="Q10" s="725">
        <v>22.313049388381657</v>
      </c>
      <c r="R10" s="725">
        <v>22.486876361774936</v>
      </c>
      <c r="S10" s="725">
        <v>22.494946956634521</v>
      </c>
      <c r="T10" s="725">
        <v>22.662665807975912</v>
      </c>
      <c r="U10" s="725">
        <v>22.922821701697636</v>
      </c>
      <c r="V10" s="725">
        <v>23.270139622238439</v>
      </c>
      <c r="W10" s="725">
        <v>23.509686568997985</v>
      </c>
      <c r="X10" s="725">
        <v>23.493712398241108</v>
      </c>
      <c r="Y10" s="725">
        <v>23.423848763951703</v>
      </c>
      <c r="Z10" s="725">
        <v>23.513217827059155</v>
      </c>
      <c r="AA10" s="725">
        <v>23.645542576627872</v>
      </c>
      <c r="AB10" s="726">
        <v>23.786749293232678</v>
      </c>
      <c r="AC10" s="726">
        <v>23.927956009837484</v>
      </c>
      <c r="AD10" s="726">
        <v>24.06916272644229</v>
      </c>
      <c r="AE10" s="726">
        <v>24.210369443047096</v>
      </c>
      <c r="AF10" s="726">
        <v>24.351576159651902</v>
      </c>
      <c r="AG10" s="726">
        <v>24.492782876256708</v>
      </c>
      <c r="AH10" s="726">
        <v>24.633989592861514</v>
      </c>
      <c r="AI10" s="726">
        <v>24.77519630946632</v>
      </c>
      <c r="AJ10" s="726">
        <v>24.916403026071126</v>
      </c>
      <c r="AK10" s="726">
        <v>25.057609742675933</v>
      </c>
      <c r="AL10" s="726">
        <v>25.047759076850095</v>
      </c>
      <c r="AM10" s="726">
        <v>25.037908411024258</v>
      </c>
      <c r="AN10" s="726">
        <v>25.028057745198421</v>
      </c>
      <c r="AO10" s="726">
        <v>25.018207079372583</v>
      </c>
      <c r="AP10" s="726">
        <v>25.008356413546746</v>
      </c>
      <c r="AQ10" s="726">
        <v>24.998505747720909</v>
      </c>
      <c r="AR10" s="726">
        <v>24.988655081895072</v>
      </c>
      <c r="AS10" s="726">
        <v>24.978804416069234</v>
      </c>
      <c r="AT10" s="726">
        <v>24.968953750243397</v>
      </c>
      <c r="AU10" s="726">
        <v>24.95910308441756</v>
      </c>
      <c r="AV10" s="726">
        <v>24.949252418591723</v>
      </c>
      <c r="AW10" s="726">
        <v>24.939401752765885</v>
      </c>
      <c r="AX10" s="726">
        <v>24.929551086940048</v>
      </c>
      <c r="AY10" s="726">
        <v>24.919700421114211</v>
      </c>
      <c r="AZ10" s="726">
        <v>24.90984975528837</v>
      </c>
      <c r="BA10" s="726">
        <v>24.925673674379027</v>
      </c>
      <c r="BB10" s="726">
        <v>24.941497593469684</v>
      </c>
      <c r="BC10" s="726">
        <v>24.957321512560341</v>
      </c>
      <c r="BD10" s="726">
        <v>24.973145431650998</v>
      </c>
      <c r="BE10" s="726">
        <v>24.988969350741655</v>
      </c>
      <c r="BF10" s="726">
        <v>25.004793269832312</v>
      </c>
      <c r="BG10" s="726">
        <v>25.020617188922969</v>
      </c>
      <c r="BH10" s="726">
        <v>25.036441108013626</v>
      </c>
      <c r="BI10" s="726">
        <v>25.052265027104283</v>
      </c>
      <c r="BJ10" s="726">
        <v>25.068088946194941</v>
      </c>
      <c r="BK10" s="726">
        <v>25.083912865285598</v>
      </c>
      <c r="BL10" s="726">
        <v>25.099736784376255</v>
      </c>
      <c r="BM10" s="726">
        <v>25.115560703466912</v>
      </c>
      <c r="BN10" s="726">
        <v>25.131384622557569</v>
      </c>
      <c r="BO10" s="726">
        <v>25.147208541648205</v>
      </c>
      <c r="BP10" s="726">
        <v>25.163183242307905</v>
      </c>
      <c r="BQ10" s="726">
        <v>25.179157942967606</v>
      </c>
      <c r="BR10" s="726">
        <v>25.195132643627307</v>
      </c>
      <c r="BS10" s="726">
        <v>25.211107344287008</v>
      </c>
      <c r="BT10" s="727">
        <v>25.227082044946716</v>
      </c>
    </row>
    <row r="11" spans="1:72" x14ac:dyDescent="0.25">
      <c r="A11" s="728" t="s">
        <v>683</v>
      </c>
      <c r="B11" s="724" t="s">
        <v>732</v>
      </c>
      <c r="C11" s="725">
        <v>16.038863482553147</v>
      </c>
      <c r="D11" s="725">
        <v>15.36037109932807</v>
      </c>
      <c r="E11" s="725">
        <v>15.664056310113844</v>
      </c>
      <c r="F11" s="725">
        <v>16.390134465019642</v>
      </c>
      <c r="G11" s="725">
        <v>16.26049394877451</v>
      </c>
      <c r="H11" s="725">
        <v>15.718549229064077</v>
      </c>
      <c r="I11" s="725">
        <v>15.083546116666987</v>
      </c>
      <c r="J11" s="725">
        <v>14.764544869368896</v>
      </c>
      <c r="K11" s="725">
        <v>14.679648534306921</v>
      </c>
      <c r="L11" s="725">
        <v>14.510741661179726</v>
      </c>
      <c r="M11" s="725">
        <v>14.370329416023063</v>
      </c>
      <c r="N11" s="725">
        <v>14.522587083420669</v>
      </c>
      <c r="O11" s="725">
        <v>14.791267903345901</v>
      </c>
      <c r="P11" s="725">
        <v>15.142176731577413</v>
      </c>
      <c r="Q11" s="725">
        <v>15.304996360023072</v>
      </c>
      <c r="R11" s="725">
        <v>15.443286072533045</v>
      </c>
      <c r="S11" s="725">
        <v>15.485992224711291</v>
      </c>
      <c r="T11" s="725">
        <v>15.663456831338236</v>
      </c>
      <c r="U11" s="725">
        <v>15.910829809476709</v>
      </c>
      <c r="V11" s="725">
        <v>16.241389166634008</v>
      </c>
      <c r="W11" s="725">
        <v>16.419768400912066</v>
      </c>
      <c r="X11" s="725">
        <v>16.405212897174714</v>
      </c>
      <c r="Y11" s="725">
        <v>16.372526888577397</v>
      </c>
      <c r="Z11" s="725">
        <v>16.449089176249931</v>
      </c>
      <c r="AA11" s="725">
        <v>16.568027554817903</v>
      </c>
      <c r="AB11" s="726">
        <v>16.704753726753587</v>
      </c>
      <c r="AC11" s="726">
        <v>16.841479898689272</v>
      </c>
      <c r="AD11" s="726">
        <v>16.978206070624957</v>
      </c>
      <c r="AE11" s="726">
        <v>17.114932242560641</v>
      </c>
      <c r="AF11" s="726">
        <v>17.251658414496326</v>
      </c>
      <c r="AG11" s="726">
        <v>17.388384586432011</v>
      </c>
      <c r="AH11" s="726">
        <v>17.525110758367695</v>
      </c>
      <c r="AI11" s="726">
        <v>17.66183693030338</v>
      </c>
      <c r="AJ11" s="726">
        <v>17.798563102239065</v>
      </c>
      <c r="AK11" s="726">
        <v>17.935289274174743</v>
      </c>
      <c r="AL11" s="726">
        <v>17.928238540168429</v>
      </c>
      <c r="AM11" s="726">
        <v>17.921187806162116</v>
      </c>
      <c r="AN11" s="726">
        <v>17.914137072155803</v>
      </c>
      <c r="AO11" s="726">
        <v>17.90708633814949</v>
      </c>
      <c r="AP11" s="726">
        <v>17.900035604143177</v>
      </c>
      <c r="AQ11" s="726">
        <v>17.892984870136864</v>
      </c>
      <c r="AR11" s="726">
        <v>17.885934136130551</v>
      </c>
      <c r="AS11" s="726">
        <v>17.878883402124238</v>
      </c>
      <c r="AT11" s="726">
        <v>17.871832668117925</v>
      </c>
      <c r="AU11" s="726">
        <v>17.864781934111612</v>
      </c>
      <c r="AV11" s="726">
        <v>17.857731200105299</v>
      </c>
      <c r="AW11" s="726">
        <v>17.850680466098986</v>
      </c>
      <c r="AX11" s="726">
        <v>17.843629732092673</v>
      </c>
      <c r="AY11" s="726">
        <v>17.83657899808636</v>
      </c>
      <c r="AZ11" s="726">
        <v>17.829528264080036</v>
      </c>
      <c r="BA11" s="726">
        <v>17.840854426840831</v>
      </c>
      <c r="BB11" s="726">
        <v>17.852180589601627</v>
      </c>
      <c r="BC11" s="726">
        <v>17.863506752362422</v>
      </c>
      <c r="BD11" s="726">
        <v>17.874832915123218</v>
      </c>
      <c r="BE11" s="726">
        <v>17.886159077884013</v>
      </c>
      <c r="BF11" s="726">
        <v>17.897485240644809</v>
      </c>
      <c r="BG11" s="726">
        <v>17.908811403405604</v>
      </c>
      <c r="BH11" s="726">
        <v>17.9201375661664</v>
      </c>
      <c r="BI11" s="726">
        <v>17.931463728927195</v>
      </c>
      <c r="BJ11" s="726">
        <v>17.94278989168799</v>
      </c>
      <c r="BK11" s="726">
        <v>17.954116054448786</v>
      </c>
      <c r="BL11" s="726">
        <v>17.965442217209581</v>
      </c>
      <c r="BM11" s="726">
        <v>17.976768379970377</v>
      </c>
      <c r="BN11" s="726">
        <v>17.988094542731172</v>
      </c>
      <c r="BO11" s="726">
        <v>17.999420705491971</v>
      </c>
      <c r="BP11" s="726">
        <v>18.010854791996724</v>
      </c>
      <c r="BQ11" s="726">
        <v>18.022288878501477</v>
      </c>
      <c r="BR11" s="726">
        <v>18.033722965006231</v>
      </c>
      <c r="BS11" s="726">
        <v>18.045157051510984</v>
      </c>
      <c r="BT11" s="727">
        <v>18.056591138015737</v>
      </c>
    </row>
    <row r="12" spans="1:72" x14ac:dyDescent="0.25">
      <c r="A12" s="729" t="s">
        <v>736</v>
      </c>
      <c r="B12" s="724"/>
      <c r="C12" s="724"/>
      <c r="D12" s="724"/>
      <c r="E12" s="724"/>
      <c r="F12" s="724"/>
      <c r="G12" s="724"/>
      <c r="H12" s="724"/>
      <c r="I12" s="724"/>
      <c r="J12" s="724"/>
      <c r="K12" s="724"/>
      <c r="L12" s="724"/>
      <c r="M12" s="724"/>
      <c r="N12" s="724"/>
      <c r="O12" s="724"/>
      <c r="P12" s="724"/>
      <c r="Q12" s="724"/>
      <c r="R12" s="724"/>
      <c r="S12" s="724"/>
      <c r="T12" s="724"/>
      <c r="U12" s="724"/>
      <c r="V12" s="724"/>
      <c r="W12" s="724"/>
      <c r="X12" s="724"/>
      <c r="Y12" s="724"/>
      <c r="Z12" s="724"/>
      <c r="AA12" s="724"/>
      <c r="AB12" s="724"/>
      <c r="AC12" s="724"/>
      <c r="AD12" s="724"/>
      <c r="AE12" s="724"/>
      <c r="AF12" s="724"/>
      <c r="AG12" s="724"/>
      <c r="AH12" s="724"/>
      <c r="AI12" s="724"/>
      <c r="AJ12" s="724"/>
      <c r="AK12" s="724"/>
      <c r="AL12" s="724"/>
      <c r="AM12" s="724"/>
      <c r="AN12" s="724"/>
      <c r="AO12" s="724"/>
      <c r="AP12" s="724"/>
      <c r="AQ12" s="724"/>
      <c r="AR12" s="724"/>
      <c r="AS12" s="724"/>
      <c r="AT12" s="724"/>
      <c r="AU12" s="724"/>
      <c r="AV12" s="724"/>
      <c r="AW12" s="724"/>
      <c r="AX12" s="724"/>
      <c r="AY12" s="724"/>
      <c r="AZ12" s="724"/>
      <c r="BA12" s="724"/>
      <c r="BB12" s="724"/>
      <c r="BC12" s="724"/>
      <c r="BD12" s="724"/>
      <c r="BE12" s="724"/>
      <c r="BF12" s="724"/>
      <c r="BG12" s="724"/>
      <c r="BH12" s="724"/>
      <c r="BI12" s="724"/>
      <c r="BJ12" s="724"/>
      <c r="BK12" s="724"/>
      <c r="BL12" s="724"/>
      <c r="BM12" s="724"/>
      <c r="BN12" s="724"/>
      <c r="BO12" s="724"/>
      <c r="BP12" s="724"/>
      <c r="BQ12" s="724"/>
      <c r="BR12" s="724"/>
      <c r="BS12" s="724"/>
      <c r="BT12" s="730"/>
    </row>
    <row r="13" spans="1:72" x14ac:dyDescent="0.25">
      <c r="A13" s="728" t="s">
        <v>1060</v>
      </c>
      <c r="B13" s="724" t="s">
        <v>732</v>
      </c>
      <c r="C13" s="725">
        <v>1.3268491834774256</v>
      </c>
      <c r="D13" s="725">
        <v>1.32388562245189</v>
      </c>
      <c r="E13" s="725">
        <v>1.3334961719108085</v>
      </c>
      <c r="F13" s="725">
        <v>1.3380821099821107</v>
      </c>
      <c r="G13" s="725">
        <v>1.3443425871291239</v>
      </c>
      <c r="H13" s="725">
        <v>1.3528785733681756</v>
      </c>
      <c r="I13" s="725">
        <v>1.3415886383011697</v>
      </c>
      <c r="J13" s="725">
        <v>1.3403624656065469</v>
      </c>
      <c r="K13" s="725">
        <v>1.330997225248586</v>
      </c>
      <c r="L13" s="725">
        <v>1.3164209684110997</v>
      </c>
      <c r="M13" s="725">
        <v>1.3072140481112184</v>
      </c>
      <c r="N13" s="725">
        <v>1.3019573002491378</v>
      </c>
      <c r="O13" s="725">
        <v>1.2978333982656636</v>
      </c>
      <c r="P13" s="725">
        <v>1.295833644439585</v>
      </c>
      <c r="Q13" s="725">
        <v>1.2953486183904279</v>
      </c>
      <c r="R13" s="725">
        <v>1.2970626753456174</v>
      </c>
      <c r="S13" s="725">
        <v>1.2955796364343368</v>
      </c>
      <c r="T13" s="725">
        <v>1.3002382724914889</v>
      </c>
      <c r="U13" s="725">
        <v>1.3044509032987155</v>
      </c>
      <c r="V13" s="725">
        <v>1.3304805103337984</v>
      </c>
      <c r="W13" s="725">
        <v>1.3397570218680066</v>
      </c>
      <c r="X13" s="725">
        <v>1.3519914094007222</v>
      </c>
      <c r="Y13" s="725">
        <v>1.3569265463442153</v>
      </c>
      <c r="Z13" s="725">
        <v>1.3726611244228613</v>
      </c>
      <c r="AA13" s="725">
        <v>1.3854931266802686</v>
      </c>
      <c r="AB13" s="726">
        <v>1.3951349014789893</v>
      </c>
      <c r="AC13" s="726">
        <v>1.4047766762777101</v>
      </c>
      <c r="AD13" s="726">
        <v>1.4144184510764308</v>
      </c>
      <c r="AE13" s="726">
        <v>1.4240602258751516</v>
      </c>
      <c r="AF13" s="726">
        <v>1.4337020006738723</v>
      </c>
      <c r="AG13" s="726">
        <v>1.4433437754725931</v>
      </c>
      <c r="AH13" s="726">
        <v>1.4529855502713138</v>
      </c>
      <c r="AI13" s="726">
        <v>1.4626273250700346</v>
      </c>
      <c r="AJ13" s="726">
        <v>1.4722690998687553</v>
      </c>
      <c r="AK13" s="726">
        <v>1.481910874667477</v>
      </c>
      <c r="AL13" s="726">
        <v>1.4862555877963981</v>
      </c>
      <c r="AM13" s="726">
        <v>1.4906003009253193</v>
      </c>
      <c r="AN13" s="726">
        <v>1.4949450140542404</v>
      </c>
      <c r="AO13" s="726">
        <v>1.4992897271831616</v>
      </c>
      <c r="AP13" s="726">
        <v>1.5036344403120827</v>
      </c>
      <c r="AQ13" s="726">
        <v>1.5079791534410039</v>
      </c>
      <c r="AR13" s="726">
        <v>1.512323866569925</v>
      </c>
      <c r="AS13" s="726">
        <v>1.5166685796988462</v>
      </c>
      <c r="AT13" s="726">
        <v>1.5210132928277673</v>
      </c>
      <c r="AU13" s="726">
        <v>1.5253580059566885</v>
      </c>
      <c r="AV13" s="726">
        <v>1.5297027190856096</v>
      </c>
      <c r="AW13" s="726">
        <v>1.5340474322145308</v>
      </c>
      <c r="AX13" s="726">
        <v>1.5383921453434519</v>
      </c>
      <c r="AY13" s="726">
        <v>1.5427368584723731</v>
      </c>
      <c r="AZ13" s="726">
        <v>1.5470815716012942</v>
      </c>
      <c r="BA13" s="726">
        <v>1.5500157274134729</v>
      </c>
      <c r="BB13" s="726">
        <v>1.5529498832256516</v>
      </c>
      <c r="BC13" s="726">
        <v>1.5558840390378303</v>
      </c>
      <c r="BD13" s="726">
        <v>1.5588181948500091</v>
      </c>
      <c r="BE13" s="726">
        <v>1.5617523506621878</v>
      </c>
      <c r="BF13" s="726">
        <v>1.5646865064743665</v>
      </c>
      <c r="BG13" s="726">
        <v>1.5676206622865452</v>
      </c>
      <c r="BH13" s="726">
        <v>1.5705548180987239</v>
      </c>
      <c r="BI13" s="726">
        <v>1.5734889739109026</v>
      </c>
      <c r="BJ13" s="726">
        <v>1.5764231297230813</v>
      </c>
      <c r="BK13" s="726">
        <v>1.57935728553526</v>
      </c>
      <c r="BL13" s="726">
        <v>1.5822914413474387</v>
      </c>
      <c r="BM13" s="726">
        <v>1.5852255971596174</v>
      </c>
      <c r="BN13" s="726">
        <v>1.5881597529717961</v>
      </c>
      <c r="BO13" s="726">
        <v>1.5910939087839742</v>
      </c>
      <c r="BP13" s="726">
        <v>1.5941115372826113</v>
      </c>
      <c r="BQ13" s="726">
        <v>1.5971291657812485</v>
      </c>
      <c r="BR13" s="726">
        <v>1.6001467942798857</v>
      </c>
      <c r="BS13" s="726">
        <v>1.6031644227785229</v>
      </c>
      <c r="BT13" s="727">
        <v>1.6061820512771605</v>
      </c>
    </row>
    <row r="14" spans="1:72" x14ac:dyDescent="0.25">
      <c r="A14" s="1509" t="s">
        <v>737</v>
      </c>
      <c r="B14" s="1510"/>
      <c r="C14" s="1510"/>
      <c r="D14" s="1510"/>
      <c r="E14" s="1510"/>
      <c r="F14" s="1510"/>
      <c r="G14" s="1510"/>
      <c r="H14" s="1510"/>
      <c r="I14" s="1510"/>
      <c r="J14" s="1510"/>
      <c r="K14" s="1510"/>
      <c r="L14" s="1510"/>
      <c r="M14" s="1510"/>
      <c r="N14" s="1510"/>
      <c r="O14" s="1510"/>
      <c r="P14" s="1510"/>
      <c r="Q14" s="1510"/>
      <c r="R14" s="1510"/>
      <c r="S14" s="1510"/>
      <c r="T14" s="1510"/>
      <c r="U14" s="1510"/>
      <c r="V14" s="1510"/>
      <c r="W14" s="1510"/>
      <c r="X14" s="1510"/>
      <c r="Y14" s="1510"/>
      <c r="Z14" s="1510"/>
      <c r="AA14" s="1510"/>
      <c r="AB14" s="1510"/>
      <c r="AC14" s="1510"/>
      <c r="AD14" s="1510"/>
      <c r="AE14" s="1510"/>
      <c r="AF14" s="1510"/>
      <c r="AG14" s="1510"/>
      <c r="AH14" s="1510"/>
      <c r="AI14" s="1510"/>
      <c r="AJ14" s="1510"/>
      <c r="AK14" s="1510"/>
      <c r="AL14" s="1510"/>
      <c r="AM14" s="1510"/>
      <c r="AN14" s="1510"/>
      <c r="AO14" s="1510"/>
      <c r="AP14" s="1510"/>
      <c r="AQ14" s="1510"/>
      <c r="AR14" s="1510"/>
      <c r="AS14" s="1510"/>
      <c r="AT14" s="1510"/>
      <c r="AU14" s="1510"/>
      <c r="AV14" s="1510"/>
      <c r="AW14" s="1510"/>
      <c r="AX14" s="1510"/>
      <c r="AY14" s="1510"/>
      <c r="AZ14" s="1510"/>
      <c r="BA14" s="1510"/>
      <c r="BB14" s="1510"/>
      <c r="BC14" s="1510"/>
      <c r="BD14" s="1510"/>
      <c r="BE14" s="1510"/>
      <c r="BF14" s="1510"/>
      <c r="BG14" s="1510"/>
      <c r="BH14" s="1510"/>
      <c r="BI14" s="1510"/>
      <c r="BJ14" s="1510"/>
      <c r="BK14" s="1510"/>
      <c r="BL14" s="1510"/>
      <c r="BM14" s="1510"/>
      <c r="BN14" s="1510"/>
      <c r="BO14" s="1510"/>
      <c r="BP14" s="1510"/>
      <c r="BQ14" s="1510"/>
      <c r="BR14" s="1510"/>
      <c r="BS14" s="1510"/>
      <c r="BT14" s="1511"/>
    </row>
    <row r="15" spans="1:72" ht="23.4" x14ac:dyDescent="0.25">
      <c r="A15" s="723" t="s">
        <v>738</v>
      </c>
      <c r="B15" s="724" t="s">
        <v>732</v>
      </c>
      <c r="C15" s="725">
        <v>10.789461735918687</v>
      </c>
      <c r="D15" s="725">
        <v>9.9590971559848445</v>
      </c>
      <c r="E15" s="725">
        <v>11.383831536994775</v>
      </c>
      <c r="F15" s="725">
        <v>12.531178240506115</v>
      </c>
      <c r="G15" s="725">
        <v>12.036300060884058</v>
      </c>
      <c r="H15" s="725">
        <v>12.613383383121093</v>
      </c>
      <c r="I15" s="725">
        <v>13.01890940036416</v>
      </c>
      <c r="J15" s="725">
        <v>12.908589399085846</v>
      </c>
      <c r="K15" s="725">
        <v>12.946875513724528</v>
      </c>
      <c r="L15" s="725">
        <v>13.039098811599491</v>
      </c>
      <c r="M15" s="725">
        <v>13.088955960183741</v>
      </c>
      <c r="N15" s="725">
        <v>13.133508268392355</v>
      </c>
      <c r="O15" s="725">
        <v>13.038477461293056</v>
      </c>
      <c r="P15" s="725">
        <v>12.989168095138872</v>
      </c>
      <c r="Q15" s="725">
        <v>12.752903866318045</v>
      </c>
      <c r="R15" s="725">
        <v>12.539506322932722</v>
      </c>
      <c r="S15" s="725">
        <v>12.335074118848111</v>
      </c>
      <c r="T15" s="725">
        <v>12.292193988584152</v>
      </c>
      <c r="U15" s="725">
        <v>12.304560350921868</v>
      </c>
      <c r="V15" s="725">
        <v>12.340337204483362</v>
      </c>
      <c r="W15" s="725">
        <v>12.418707870087554</v>
      </c>
      <c r="X15" s="725">
        <v>12.438495640484758</v>
      </c>
      <c r="Y15" s="725">
        <v>12.492141534697302</v>
      </c>
      <c r="Z15" s="725">
        <v>12.624332072599859</v>
      </c>
      <c r="AA15" s="725">
        <v>13.025979869770596</v>
      </c>
      <c r="AB15" s="725">
        <v>13.053872203635709</v>
      </c>
      <c r="AC15" s="725">
        <v>13.081764537500822</v>
      </c>
      <c r="AD15" s="725">
        <v>13.109656871365935</v>
      </c>
      <c r="AE15" s="725">
        <v>13.137549205231048</v>
      </c>
      <c r="AF15" s="725">
        <v>13.165441539096161</v>
      </c>
      <c r="AG15" s="725">
        <v>13.193333872961274</v>
      </c>
      <c r="AH15" s="725">
        <v>13.221226206826387</v>
      </c>
      <c r="AI15" s="725">
        <v>13.2491185406915</v>
      </c>
      <c r="AJ15" s="725">
        <v>13.277010874556613</v>
      </c>
      <c r="AK15" s="725">
        <v>13.304903208421727</v>
      </c>
      <c r="AL15" s="725">
        <v>13.445726499778688</v>
      </c>
      <c r="AM15" s="725">
        <v>13.586549791135649</v>
      </c>
      <c r="AN15" s="725">
        <v>13.72737308249261</v>
      </c>
      <c r="AO15" s="725">
        <v>13.868196373849571</v>
      </c>
      <c r="AP15" s="725">
        <v>14.009019665206532</v>
      </c>
      <c r="AQ15" s="725">
        <v>14.149842956563493</v>
      </c>
      <c r="AR15" s="725">
        <v>14.290666247920454</v>
      </c>
      <c r="AS15" s="725">
        <v>14.431489539277415</v>
      </c>
      <c r="AT15" s="725">
        <v>14.572312830634376</v>
      </c>
      <c r="AU15" s="725">
        <v>14.713136121991337</v>
      </c>
      <c r="AV15" s="725">
        <v>14.853959413348298</v>
      </c>
      <c r="AW15" s="725">
        <v>14.994782704705258</v>
      </c>
      <c r="AX15" s="725">
        <v>15.135605996062219</v>
      </c>
      <c r="AY15" s="725">
        <v>15.27642928741918</v>
      </c>
      <c r="AZ15" s="725">
        <v>15.417252578776129</v>
      </c>
      <c r="BA15" s="725">
        <v>15.505038084680947</v>
      </c>
      <c r="BB15" s="725">
        <v>15.592823590585766</v>
      </c>
      <c r="BC15" s="725">
        <v>15.680609096490585</v>
      </c>
      <c r="BD15" s="725">
        <v>15.768394602395404</v>
      </c>
      <c r="BE15" s="725">
        <v>15.856180108300222</v>
      </c>
      <c r="BF15" s="725">
        <v>15.943965614205041</v>
      </c>
      <c r="BG15" s="725">
        <v>16.03175112010986</v>
      </c>
      <c r="BH15" s="725">
        <v>16.119536626014678</v>
      </c>
      <c r="BI15" s="725">
        <v>16.207322131919497</v>
      </c>
      <c r="BJ15" s="725">
        <v>16.295107637824316</v>
      </c>
      <c r="BK15" s="725">
        <v>16.382893143729135</v>
      </c>
      <c r="BL15" s="725">
        <v>16.470678649633953</v>
      </c>
      <c r="BM15" s="725">
        <v>16.558464155538772</v>
      </c>
      <c r="BN15" s="725">
        <v>16.646249661443591</v>
      </c>
      <c r="BO15" s="725">
        <v>16.734035167348416</v>
      </c>
      <c r="BP15" s="725">
        <v>16.829318405103567</v>
      </c>
      <c r="BQ15" s="725">
        <v>16.924601642858718</v>
      </c>
      <c r="BR15" s="725">
        <v>17.019884880613869</v>
      </c>
      <c r="BS15" s="725">
        <v>17.11516811836902</v>
      </c>
      <c r="BT15" s="731">
        <v>17.210451356124164</v>
      </c>
    </row>
    <row r="16" spans="1:72" x14ac:dyDescent="0.25">
      <c r="A16" s="728" t="s">
        <v>739</v>
      </c>
      <c r="B16" s="724" t="s">
        <v>732</v>
      </c>
      <c r="C16" s="725">
        <v>12.730520250245322</v>
      </c>
      <c r="D16" s="725">
        <v>11.801320287416596</v>
      </c>
      <c r="E16" s="725">
        <v>13.477350603859424</v>
      </c>
      <c r="F16" s="725">
        <v>15.275134761378448</v>
      </c>
      <c r="G16" s="725">
        <v>14.956036086352325</v>
      </c>
      <c r="H16" s="725">
        <v>15.333911517881027</v>
      </c>
      <c r="I16" s="725">
        <v>14.969645149302909</v>
      </c>
      <c r="J16" s="725">
        <v>14.856007634468792</v>
      </c>
      <c r="K16" s="725">
        <v>14.855665643260203</v>
      </c>
      <c r="L16" s="725">
        <v>14.676357863084307</v>
      </c>
      <c r="M16" s="725">
        <v>14.660823111264261</v>
      </c>
      <c r="N16" s="725">
        <v>14.621396694543213</v>
      </c>
      <c r="O16" s="725">
        <v>14.496914877081778</v>
      </c>
      <c r="P16" s="725">
        <v>14.525867813038341</v>
      </c>
      <c r="Q16" s="725">
        <v>14.406443289990676</v>
      </c>
      <c r="R16" s="725">
        <v>14.511791494657368</v>
      </c>
      <c r="S16" s="725">
        <v>14.408484301477108</v>
      </c>
      <c r="T16" s="725">
        <v>14.421367627269808</v>
      </c>
      <c r="U16" s="725">
        <v>14.483474821414545</v>
      </c>
      <c r="V16" s="725">
        <v>14.423047758498246</v>
      </c>
      <c r="W16" s="725">
        <v>14.678410804496627</v>
      </c>
      <c r="X16" s="725">
        <v>14.842794247393387</v>
      </c>
      <c r="Y16" s="725">
        <v>14.985196801851416</v>
      </c>
      <c r="Z16" s="725">
        <v>15.125157698145465</v>
      </c>
      <c r="AA16" s="725">
        <v>15.225733932459173</v>
      </c>
      <c r="AB16" s="726">
        <v>15.312322281050708</v>
      </c>
      <c r="AC16" s="726">
        <v>15.398910629642243</v>
      </c>
      <c r="AD16" s="726">
        <v>15.485498978233778</v>
      </c>
      <c r="AE16" s="726">
        <v>15.572087326825313</v>
      </c>
      <c r="AF16" s="726">
        <v>15.658675675416848</v>
      </c>
      <c r="AG16" s="726">
        <v>15.745264024008383</v>
      </c>
      <c r="AH16" s="726">
        <v>15.831852372599919</v>
      </c>
      <c r="AI16" s="726">
        <v>15.918440721191454</v>
      </c>
      <c r="AJ16" s="726">
        <v>16.005029069782989</v>
      </c>
      <c r="AK16" s="726">
        <v>16.091617418374518</v>
      </c>
      <c r="AL16" s="726">
        <v>16.26193617174043</v>
      </c>
      <c r="AM16" s="726">
        <v>16.432254925106342</v>
      </c>
      <c r="AN16" s="726">
        <v>16.602573678472254</v>
      </c>
      <c r="AO16" s="726">
        <v>16.772892431838166</v>
      </c>
      <c r="AP16" s="726">
        <v>16.943211185204078</v>
      </c>
      <c r="AQ16" s="726">
        <v>17.113529938569989</v>
      </c>
      <c r="AR16" s="726">
        <v>17.283848691935901</v>
      </c>
      <c r="AS16" s="726">
        <v>17.454167445301813</v>
      </c>
      <c r="AT16" s="726">
        <v>17.624486198667725</v>
      </c>
      <c r="AU16" s="726">
        <v>17.794804952033637</v>
      </c>
      <c r="AV16" s="726">
        <v>17.965123705399549</v>
      </c>
      <c r="AW16" s="726">
        <v>18.135442458765461</v>
      </c>
      <c r="AX16" s="726">
        <v>18.305761212131372</v>
      </c>
      <c r="AY16" s="726">
        <v>18.476079965497284</v>
      </c>
      <c r="AZ16" s="725">
        <v>18.646398718863171</v>
      </c>
      <c r="BA16" s="726">
        <v>18.752570913712709</v>
      </c>
      <c r="BB16" s="726">
        <v>18.858743108562248</v>
      </c>
      <c r="BC16" s="726">
        <v>18.964915303411786</v>
      </c>
      <c r="BD16" s="726">
        <v>19.071087498261324</v>
      </c>
      <c r="BE16" s="726">
        <v>19.177259693110862</v>
      </c>
      <c r="BF16" s="726">
        <v>19.283431887960401</v>
      </c>
      <c r="BG16" s="726">
        <v>19.389604082809939</v>
      </c>
      <c r="BH16" s="726">
        <v>19.495776277659477</v>
      </c>
      <c r="BI16" s="726">
        <v>19.601948472509015</v>
      </c>
      <c r="BJ16" s="726">
        <v>19.708120667358553</v>
      </c>
      <c r="BK16" s="726">
        <v>19.814292862208092</v>
      </c>
      <c r="BL16" s="726">
        <v>19.92046505705763</v>
      </c>
      <c r="BM16" s="726">
        <v>20.026637251907168</v>
      </c>
      <c r="BN16" s="726">
        <v>20.132809446756706</v>
      </c>
      <c r="BO16" s="725">
        <v>20.238981641606255</v>
      </c>
      <c r="BP16" s="726">
        <v>20.354221969500514</v>
      </c>
      <c r="BQ16" s="726">
        <v>20.469462297394774</v>
      </c>
      <c r="BR16" s="726">
        <v>20.584702625289033</v>
      </c>
      <c r="BS16" s="726">
        <v>20.699942953183292</v>
      </c>
      <c r="BT16" s="731">
        <v>20.815183281077545</v>
      </c>
    </row>
    <row r="17" spans="1:72" x14ac:dyDescent="0.25">
      <c r="A17" s="728" t="s">
        <v>309</v>
      </c>
      <c r="B17" s="724" t="s">
        <v>732</v>
      </c>
      <c r="C17" s="725">
        <v>15.730049999999999</v>
      </c>
      <c r="D17" s="725">
        <v>15.730049999999999</v>
      </c>
      <c r="E17" s="725">
        <v>15.730049999999999</v>
      </c>
      <c r="F17" s="725">
        <v>15.730049999999999</v>
      </c>
      <c r="G17" s="725">
        <v>15.730049999999999</v>
      </c>
      <c r="H17" s="725">
        <v>15.730049999999999</v>
      </c>
      <c r="I17" s="725">
        <v>15.730049999999999</v>
      </c>
      <c r="J17" s="725">
        <v>15.730049999999999</v>
      </c>
      <c r="K17" s="725">
        <v>15.730049999999999</v>
      </c>
      <c r="L17" s="725">
        <v>15.730049999999999</v>
      </c>
      <c r="M17" s="725">
        <v>15.730049999999999</v>
      </c>
      <c r="N17" s="725">
        <v>15.730049999999999</v>
      </c>
      <c r="O17" s="725">
        <v>15.730049999999999</v>
      </c>
      <c r="P17" s="725">
        <v>15.730049999999999</v>
      </c>
      <c r="Q17" s="725">
        <v>15.730049999999999</v>
      </c>
      <c r="R17" s="725">
        <v>15.730049999999999</v>
      </c>
      <c r="S17" s="725">
        <v>15.730049999999999</v>
      </c>
      <c r="T17" s="725">
        <v>15.730049999999999</v>
      </c>
      <c r="U17" s="725">
        <v>15.730049999999999</v>
      </c>
      <c r="V17" s="725">
        <v>15.730049999999999</v>
      </c>
      <c r="W17" s="725">
        <v>15.730049999999999</v>
      </c>
      <c r="X17" s="725">
        <v>15.730049999999999</v>
      </c>
      <c r="Y17" s="725">
        <v>15.730049999999999</v>
      </c>
      <c r="Z17" s="725">
        <v>15.730049999999999</v>
      </c>
      <c r="AA17" s="725">
        <v>15.730049999999999</v>
      </c>
      <c r="AB17" s="725">
        <v>15.730049999999999</v>
      </c>
      <c r="AC17" s="725">
        <v>15.730049999999999</v>
      </c>
      <c r="AD17" s="725">
        <v>15.730049999999999</v>
      </c>
      <c r="AE17" s="725">
        <v>15.730049999999999</v>
      </c>
      <c r="AF17" s="725">
        <v>15.730049999999999</v>
      </c>
      <c r="AG17" s="725">
        <v>15.730049999999999</v>
      </c>
      <c r="AH17" s="725">
        <v>15.730049999999999</v>
      </c>
      <c r="AI17" s="725">
        <v>15.730049999999999</v>
      </c>
      <c r="AJ17" s="725">
        <v>15.730049999999999</v>
      </c>
      <c r="AK17" s="725">
        <v>15.730049999999999</v>
      </c>
      <c r="AL17" s="725">
        <v>15.730049999999999</v>
      </c>
      <c r="AM17" s="725">
        <v>15.730049999999999</v>
      </c>
      <c r="AN17" s="725">
        <v>15.730049999999999</v>
      </c>
      <c r="AO17" s="725">
        <v>15.730049999999999</v>
      </c>
      <c r="AP17" s="725">
        <v>15.730049999999999</v>
      </c>
      <c r="AQ17" s="725">
        <v>15.730049999999999</v>
      </c>
      <c r="AR17" s="725">
        <v>15.730049999999999</v>
      </c>
      <c r="AS17" s="725">
        <v>15.730049999999999</v>
      </c>
      <c r="AT17" s="725">
        <v>15.730049999999999</v>
      </c>
      <c r="AU17" s="725">
        <v>15.730049999999999</v>
      </c>
      <c r="AV17" s="725">
        <v>15.730049999999999</v>
      </c>
      <c r="AW17" s="725">
        <v>15.730049999999999</v>
      </c>
      <c r="AX17" s="725">
        <v>15.730049999999999</v>
      </c>
      <c r="AY17" s="725">
        <v>15.730049999999999</v>
      </c>
      <c r="AZ17" s="725">
        <v>15.730049999999999</v>
      </c>
      <c r="BA17" s="725">
        <v>15.730049999999999</v>
      </c>
      <c r="BB17" s="725">
        <v>15.730049999999999</v>
      </c>
      <c r="BC17" s="725">
        <v>15.730049999999999</v>
      </c>
      <c r="BD17" s="725">
        <v>15.730049999999999</v>
      </c>
      <c r="BE17" s="725">
        <v>15.730049999999999</v>
      </c>
      <c r="BF17" s="725">
        <v>15.730049999999999</v>
      </c>
      <c r="BG17" s="725">
        <v>15.730049999999999</v>
      </c>
      <c r="BH17" s="725">
        <v>15.730049999999999</v>
      </c>
      <c r="BI17" s="725">
        <v>15.730049999999999</v>
      </c>
      <c r="BJ17" s="725">
        <v>15.730049999999999</v>
      </c>
      <c r="BK17" s="725">
        <v>15.730049999999999</v>
      </c>
      <c r="BL17" s="725">
        <v>15.730049999999999</v>
      </c>
      <c r="BM17" s="725">
        <v>15.730049999999999</v>
      </c>
      <c r="BN17" s="725">
        <v>15.730049999999999</v>
      </c>
      <c r="BO17" s="725">
        <v>15.730049999999999</v>
      </c>
      <c r="BP17" s="725">
        <v>15.730049999999999</v>
      </c>
      <c r="BQ17" s="725">
        <v>15.730049999999999</v>
      </c>
      <c r="BR17" s="725">
        <v>15.730049999999999</v>
      </c>
      <c r="BS17" s="725">
        <v>15.730049999999999</v>
      </c>
      <c r="BT17" s="731">
        <v>15.730049999999999</v>
      </c>
    </row>
    <row r="18" spans="1:72" x14ac:dyDescent="0.25">
      <c r="A18" s="723" t="s">
        <v>308</v>
      </c>
      <c r="B18" s="724" t="s">
        <v>732</v>
      </c>
      <c r="C18" s="725">
        <v>8.7353999999999985</v>
      </c>
      <c r="D18" s="725">
        <v>8.7353999999999985</v>
      </c>
      <c r="E18" s="725">
        <v>8.7353999999999985</v>
      </c>
      <c r="F18" s="725">
        <v>8.7353999999999985</v>
      </c>
      <c r="G18" s="725">
        <v>8.7353999999999985</v>
      </c>
      <c r="H18" s="725">
        <v>8.7353999999999985</v>
      </c>
      <c r="I18" s="725">
        <v>8.7353999999999985</v>
      </c>
      <c r="J18" s="725">
        <v>8.7353999999999985</v>
      </c>
      <c r="K18" s="725">
        <v>8.7353999999999985</v>
      </c>
      <c r="L18" s="725">
        <v>8.7353999999999985</v>
      </c>
      <c r="M18" s="725">
        <v>8.7353999999999985</v>
      </c>
      <c r="N18" s="725">
        <v>8.7353999999999985</v>
      </c>
      <c r="O18" s="725">
        <v>8.7353999999999985</v>
      </c>
      <c r="P18" s="725">
        <v>8.7353999999999985</v>
      </c>
      <c r="Q18" s="725">
        <v>8.7353999999999985</v>
      </c>
      <c r="R18" s="725">
        <v>8.7353999999999985</v>
      </c>
      <c r="S18" s="725">
        <v>8.7353999999999985</v>
      </c>
      <c r="T18" s="725">
        <v>8.7353999999999985</v>
      </c>
      <c r="U18" s="725">
        <v>8.7353999999999985</v>
      </c>
      <c r="V18" s="725">
        <v>8.7353999999999985</v>
      </c>
      <c r="W18" s="725">
        <v>8.7353999999999985</v>
      </c>
      <c r="X18" s="725">
        <v>8.7353999999999985</v>
      </c>
      <c r="Y18" s="725">
        <v>8.7353999999999985</v>
      </c>
      <c r="Z18" s="725">
        <v>8.7353999999999985</v>
      </c>
      <c r="AA18" s="725">
        <v>8.7353999999999985</v>
      </c>
      <c r="AB18" s="725">
        <v>8.7353999999999985</v>
      </c>
      <c r="AC18" s="725">
        <v>8.7353999999999985</v>
      </c>
      <c r="AD18" s="725">
        <v>8.7353999999999985</v>
      </c>
      <c r="AE18" s="725">
        <v>8.7353999999999985</v>
      </c>
      <c r="AF18" s="725">
        <v>8.7353999999999985</v>
      </c>
      <c r="AG18" s="725">
        <v>8.7353999999999985</v>
      </c>
      <c r="AH18" s="725">
        <v>8.7353999999999985</v>
      </c>
      <c r="AI18" s="725">
        <v>8.7353999999999985</v>
      </c>
      <c r="AJ18" s="725">
        <v>8.7353999999999985</v>
      </c>
      <c r="AK18" s="725">
        <v>8.7353999999999985</v>
      </c>
      <c r="AL18" s="725">
        <v>8.7353999999999985</v>
      </c>
      <c r="AM18" s="725">
        <v>8.7353999999999985</v>
      </c>
      <c r="AN18" s="725">
        <v>8.7353999999999985</v>
      </c>
      <c r="AO18" s="725">
        <v>8.7353999999999985</v>
      </c>
      <c r="AP18" s="725">
        <v>8.7353999999999985</v>
      </c>
      <c r="AQ18" s="725">
        <v>8.7353999999999985</v>
      </c>
      <c r="AR18" s="725">
        <v>8.7353999999999985</v>
      </c>
      <c r="AS18" s="725">
        <v>8.7353999999999985</v>
      </c>
      <c r="AT18" s="725">
        <v>8.7353999999999985</v>
      </c>
      <c r="AU18" s="725">
        <v>8.7353999999999985</v>
      </c>
      <c r="AV18" s="725">
        <v>8.7353999999999985</v>
      </c>
      <c r="AW18" s="725">
        <v>8.7353999999999985</v>
      </c>
      <c r="AX18" s="725">
        <v>8.7353999999999985</v>
      </c>
      <c r="AY18" s="725">
        <v>8.7353999999999985</v>
      </c>
      <c r="AZ18" s="725">
        <v>8.7353999999999985</v>
      </c>
      <c r="BA18" s="725">
        <v>8.7353999999999985</v>
      </c>
      <c r="BB18" s="725">
        <v>8.7353999999999985</v>
      </c>
      <c r="BC18" s="725">
        <v>8.7353999999999985</v>
      </c>
      <c r="BD18" s="725">
        <v>8.7353999999999985</v>
      </c>
      <c r="BE18" s="725">
        <v>8.7353999999999985</v>
      </c>
      <c r="BF18" s="725">
        <v>8.7353999999999985</v>
      </c>
      <c r="BG18" s="725">
        <v>8.7353999999999985</v>
      </c>
      <c r="BH18" s="725">
        <v>8.7353999999999985</v>
      </c>
      <c r="BI18" s="725">
        <v>8.7353999999999985</v>
      </c>
      <c r="BJ18" s="725">
        <v>8.7353999999999985</v>
      </c>
      <c r="BK18" s="725">
        <v>8.7353999999999985</v>
      </c>
      <c r="BL18" s="725">
        <v>8.7353999999999985</v>
      </c>
      <c r="BM18" s="725">
        <v>8.7353999999999985</v>
      </c>
      <c r="BN18" s="725">
        <v>8.7353999999999985</v>
      </c>
      <c r="BO18" s="725">
        <v>8.7353999999999985</v>
      </c>
      <c r="BP18" s="725">
        <v>8.7353999999999985</v>
      </c>
      <c r="BQ18" s="725">
        <v>8.7353999999999985</v>
      </c>
      <c r="BR18" s="725">
        <v>8.7353999999999985</v>
      </c>
      <c r="BS18" s="725">
        <v>8.7353999999999985</v>
      </c>
      <c r="BT18" s="731">
        <v>8.7353999999999985</v>
      </c>
    </row>
    <row r="19" spans="1:72" x14ac:dyDescent="0.25">
      <c r="A19" s="1509" t="s">
        <v>740</v>
      </c>
      <c r="B19" s="1510"/>
      <c r="C19" s="1510"/>
      <c r="D19" s="1510"/>
      <c r="E19" s="1510"/>
      <c r="F19" s="1510"/>
      <c r="G19" s="1510"/>
      <c r="H19" s="1510"/>
      <c r="I19" s="1510"/>
      <c r="J19" s="1510"/>
      <c r="K19" s="1510"/>
      <c r="L19" s="1510"/>
      <c r="M19" s="1510"/>
      <c r="N19" s="1510"/>
      <c r="O19" s="1510"/>
      <c r="P19" s="1510"/>
      <c r="Q19" s="1510"/>
      <c r="R19" s="1510"/>
      <c r="S19" s="1510"/>
      <c r="T19" s="1510"/>
      <c r="U19" s="1510"/>
      <c r="V19" s="1510"/>
      <c r="W19" s="1510"/>
      <c r="X19" s="1510"/>
      <c r="Y19" s="1510"/>
      <c r="Z19" s="1510"/>
      <c r="AA19" s="1510"/>
      <c r="AB19" s="1510"/>
      <c r="AC19" s="1510"/>
      <c r="AD19" s="1510"/>
      <c r="AE19" s="1510"/>
      <c r="AF19" s="1510"/>
      <c r="AG19" s="1510"/>
      <c r="AH19" s="1510"/>
      <c r="AI19" s="1510"/>
      <c r="AJ19" s="1510"/>
      <c r="AK19" s="1510"/>
      <c r="AL19" s="1510"/>
      <c r="AM19" s="1510"/>
      <c r="AN19" s="1510"/>
      <c r="AO19" s="1510"/>
      <c r="AP19" s="1510"/>
      <c r="AQ19" s="1510"/>
      <c r="AR19" s="1510"/>
      <c r="AS19" s="1510"/>
      <c r="AT19" s="1510"/>
      <c r="AU19" s="1510"/>
      <c r="AV19" s="1510"/>
      <c r="AW19" s="1510"/>
      <c r="AX19" s="1510"/>
      <c r="AY19" s="1510"/>
      <c r="AZ19" s="1510"/>
      <c r="BA19" s="1510"/>
      <c r="BB19" s="1510"/>
      <c r="BC19" s="1510"/>
      <c r="BD19" s="1510"/>
      <c r="BE19" s="1510"/>
      <c r="BF19" s="1510"/>
      <c r="BG19" s="1510"/>
      <c r="BH19" s="1510"/>
      <c r="BI19" s="1510"/>
      <c r="BJ19" s="1510"/>
      <c r="BK19" s="1510"/>
      <c r="BL19" s="1510"/>
      <c r="BM19" s="1510"/>
      <c r="BN19" s="1510"/>
      <c r="BO19" s="1510"/>
      <c r="BP19" s="1510"/>
      <c r="BQ19" s="1510"/>
      <c r="BR19" s="1510"/>
      <c r="BS19" s="1510"/>
      <c r="BT19" s="1511"/>
    </row>
    <row r="20" spans="1:72" ht="24" thickBot="1" x14ac:dyDescent="0.3">
      <c r="A20" s="732" t="s">
        <v>741</v>
      </c>
      <c r="B20" s="733" t="s">
        <v>732</v>
      </c>
      <c r="C20" s="734">
        <v>1.2696286520685174</v>
      </c>
      <c r="D20" s="734">
        <v>1.2696286520685174</v>
      </c>
      <c r="E20" s="734">
        <v>1.2696286520685174</v>
      </c>
      <c r="F20" s="734">
        <v>1.2696286520685174</v>
      </c>
      <c r="G20" s="734">
        <v>1.2696286520685174</v>
      </c>
      <c r="H20" s="734">
        <v>1.2696286520685174</v>
      </c>
      <c r="I20" s="734">
        <v>1.2696286520685174</v>
      </c>
      <c r="J20" s="734">
        <v>1.2696286520685174</v>
      </c>
      <c r="K20" s="734">
        <v>1.2696286520685174</v>
      </c>
      <c r="L20" s="734">
        <v>1.2696286520685174</v>
      </c>
      <c r="M20" s="734">
        <v>1.2716814065585227</v>
      </c>
      <c r="N20" s="734">
        <v>1.2809188017635484</v>
      </c>
      <c r="O20" s="734">
        <v>1.3178683825836508</v>
      </c>
      <c r="P20" s="734">
        <v>1.3209475143186591</v>
      </c>
      <c r="Q20" s="734">
        <v>1.3435278137087219</v>
      </c>
      <c r="R20" s="734">
        <v>1.3466069454437304</v>
      </c>
      <c r="S20" s="734">
        <v>1.3630289813637759</v>
      </c>
      <c r="T20" s="734">
        <v>1.3578970951387617</v>
      </c>
      <c r="U20" s="734">
        <v>1.383556526263833</v>
      </c>
      <c r="V20" s="734">
        <v>1.4030576939188868</v>
      </c>
      <c r="W20" s="734">
        <v>1.460534819639046</v>
      </c>
      <c r="X20" s="734">
        <v>1.4800359872941</v>
      </c>
      <c r="Y20" s="734">
        <v>1.4861942507641173</v>
      </c>
      <c r="Z20" s="734">
        <v>1.5118536818891883</v>
      </c>
      <c r="AA20" s="734">
        <v>1.5262229633192279</v>
      </c>
      <c r="AB20" s="734">
        <v>1.6236006669873051</v>
      </c>
      <c r="AC20" s="734">
        <v>1.7209783706553823</v>
      </c>
      <c r="AD20" s="734">
        <v>1.8183560743234595</v>
      </c>
      <c r="AE20" s="734">
        <v>1.9157337779915367</v>
      </c>
      <c r="AF20" s="734">
        <v>2.0131114816596138</v>
      </c>
      <c r="AG20" s="734">
        <v>2.1104891853276913</v>
      </c>
      <c r="AH20" s="734">
        <v>2.2078668889957687</v>
      </c>
      <c r="AI20" s="734">
        <v>2.3052445926638461</v>
      </c>
      <c r="AJ20" s="734">
        <v>2.4026222963319235</v>
      </c>
      <c r="AK20" s="734">
        <v>2.5</v>
      </c>
      <c r="AL20" s="734">
        <v>2.5714285714285716</v>
      </c>
      <c r="AM20" s="734">
        <v>2.6428571428571432</v>
      </c>
      <c r="AN20" s="734">
        <v>2.7142857142857149</v>
      </c>
      <c r="AO20" s="734">
        <v>2.7857142857142865</v>
      </c>
      <c r="AP20" s="734">
        <v>2.8571428571428581</v>
      </c>
      <c r="AQ20" s="734">
        <v>2.9285714285714297</v>
      </c>
      <c r="AR20" s="734">
        <v>3</v>
      </c>
      <c r="AS20" s="734">
        <v>3.071428571428573</v>
      </c>
      <c r="AT20" s="734">
        <v>3.1428571428571446</v>
      </c>
      <c r="AU20" s="734">
        <v>3.2142857142857162</v>
      </c>
      <c r="AV20" s="734">
        <v>3.2857142857142878</v>
      </c>
      <c r="AW20" s="734">
        <v>3.3571428571428594</v>
      </c>
      <c r="AX20" s="734">
        <v>3.428571428571431</v>
      </c>
      <c r="AY20" s="734">
        <v>3.5</v>
      </c>
      <c r="AZ20" s="734">
        <v>3.5714285714285743</v>
      </c>
      <c r="BA20" s="734">
        <v>3.6428571428571459</v>
      </c>
      <c r="BB20" s="734">
        <v>3.7142857142857175</v>
      </c>
      <c r="BC20" s="734">
        <v>3.7857142857142891</v>
      </c>
      <c r="BD20" s="734">
        <v>3.8571428571428608</v>
      </c>
      <c r="BE20" s="734">
        <v>3.9285714285714324</v>
      </c>
      <c r="BF20" s="734">
        <v>4</v>
      </c>
      <c r="BG20" s="734">
        <v>4.0714285714285747</v>
      </c>
      <c r="BH20" s="734">
        <v>4.1428571428571459</v>
      </c>
      <c r="BI20" s="734">
        <v>4.2142857142857171</v>
      </c>
      <c r="BJ20" s="734">
        <v>4.2857142857142883</v>
      </c>
      <c r="BK20" s="734">
        <v>4.3571428571428594</v>
      </c>
      <c r="BL20" s="734">
        <v>4.4285714285714306</v>
      </c>
      <c r="BM20" s="734">
        <v>4.5</v>
      </c>
      <c r="BN20" s="734">
        <v>4.571428571428573</v>
      </c>
      <c r="BO20" s="734">
        <v>4.6428571428571441</v>
      </c>
      <c r="BP20" s="734">
        <v>4.7142857142857153</v>
      </c>
      <c r="BQ20" s="734">
        <v>4.7857142857142865</v>
      </c>
      <c r="BR20" s="734">
        <v>4.8571428571428577</v>
      </c>
      <c r="BS20" s="734">
        <v>4.9285714285714288</v>
      </c>
      <c r="BT20" s="735">
        <v>5</v>
      </c>
    </row>
    <row r="21" spans="1:72" ht="47.25" customHeight="1" x14ac:dyDescent="0.25">
      <c r="A21" s="1517" t="s">
        <v>423</v>
      </c>
      <c r="B21" s="1518"/>
      <c r="C21" s="1518"/>
      <c r="D21" s="1518"/>
      <c r="E21" s="1518"/>
      <c r="F21" s="1518"/>
      <c r="G21" s="1518"/>
      <c r="H21" s="1518"/>
      <c r="I21" s="1518"/>
      <c r="J21" s="1518"/>
      <c r="K21" s="1518"/>
      <c r="L21" s="1518"/>
      <c r="M21" s="1518"/>
      <c r="N21" s="1518"/>
      <c r="O21" s="1518"/>
      <c r="P21" s="1518"/>
      <c r="Q21" s="1518"/>
      <c r="R21" s="1518"/>
      <c r="S21" s="1518"/>
      <c r="T21" s="1518"/>
      <c r="U21" s="736"/>
      <c r="V21" s="736"/>
      <c r="W21" s="736"/>
      <c r="X21" s="736"/>
      <c r="Y21" s="736"/>
      <c r="Z21" s="736"/>
      <c r="AA21" s="736"/>
      <c r="AB21" s="736"/>
      <c r="AC21" s="736"/>
      <c r="AD21" s="736"/>
      <c r="AE21" s="736"/>
      <c r="AF21" s="736"/>
      <c r="AG21" s="736"/>
      <c r="AH21" s="736"/>
      <c r="AI21" s="736"/>
      <c r="AJ21" s="736"/>
      <c r="AK21" s="736"/>
      <c r="AL21" s="736"/>
      <c r="AM21" s="736"/>
      <c r="AN21" s="736"/>
      <c r="AO21" s="736"/>
      <c r="AP21" s="736"/>
      <c r="AQ21" s="736"/>
      <c r="AR21" s="736"/>
      <c r="AS21" s="736"/>
      <c r="AT21" s="736"/>
      <c r="AU21" s="736"/>
      <c r="AV21" s="736"/>
      <c r="AW21" s="736"/>
      <c r="AX21" s="736"/>
      <c r="AY21" s="736"/>
      <c r="AZ21" s="736"/>
      <c r="BA21" s="736"/>
      <c r="BB21" s="736"/>
      <c r="BC21" s="736"/>
      <c r="BD21" s="736"/>
      <c r="BE21" s="736"/>
      <c r="BF21" s="736"/>
      <c r="BG21" s="736"/>
      <c r="BH21" s="736"/>
      <c r="BI21" s="736"/>
      <c r="BJ21" s="736"/>
      <c r="BK21" s="736"/>
      <c r="BL21" s="736"/>
      <c r="BM21" s="736"/>
      <c r="BN21" s="736"/>
      <c r="BO21" s="736"/>
      <c r="BP21" s="736"/>
      <c r="BQ21" s="736"/>
      <c r="BR21" s="736"/>
      <c r="BS21" s="736"/>
      <c r="BT21" s="736"/>
    </row>
    <row r="22" spans="1:72" x14ac:dyDescent="0.25">
      <c r="A22" s="737"/>
      <c r="B22" s="737"/>
      <c r="C22" s="737"/>
      <c r="D22" s="737"/>
      <c r="E22" s="737"/>
      <c r="F22" s="737"/>
      <c r="G22" s="737"/>
      <c r="H22" s="737"/>
      <c r="I22" s="737"/>
      <c r="J22" s="737"/>
      <c r="K22" s="737"/>
      <c r="L22" s="737"/>
      <c r="M22" s="737"/>
      <c r="N22" s="737"/>
      <c r="O22" s="737"/>
      <c r="P22" s="737"/>
      <c r="Q22" s="737"/>
      <c r="R22" s="737"/>
      <c r="S22" s="737"/>
      <c r="T22" s="737"/>
      <c r="U22" s="736"/>
      <c r="V22" s="736"/>
      <c r="W22" s="736"/>
      <c r="X22" s="736"/>
      <c r="Y22" s="736"/>
      <c r="Z22" s="736"/>
      <c r="AA22" s="736"/>
      <c r="AB22" s="736"/>
      <c r="AC22" s="736"/>
      <c r="AD22" s="736"/>
      <c r="AE22" s="736"/>
      <c r="AF22" s="736"/>
      <c r="AG22" s="736"/>
      <c r="AH22" s="736"/>
      <c r="AI22" s="736"/>
      <c r="AJ22" s="736"/>
      <c r="AK22" s="736"/>
      <c r="AL22" s="736"/>
      <c r="AM22" s="736"/>
      <c r="AN22" s="736"/>
      <c r="AO22" s="736"/>
      <c r="AP22" s="736"/>
      <c r="AQ22" s="736"/>
      <c r="AR22" s="736"/>
      <c r="AS22" s="736"/>
      <c r="AT22" s="736"/>
      <c r="AU22" s="736"/>
      <c r="AV22" s="736"/>
      <c r="AW22" s="736"/>
      <c r="AX22" s="736"/>
      <c r="AY22" s="736"/>
      <c r="AZ22" s="736"/>
      <c r="BA22" s="736"/>
      <c r="BB22" s="736"/>
      <c r="BC22" s="736"/>
      <c r="BD22" s="736"/>
      <c r="BE22" s="736"/>
      <c r="BF22" s="736"/>
      <c r="BG22" s="736"/>
      <c r="BH22" s="736"/>
      <c r="BI22" s="736"/>
      <c r="BJ22" s="736"/>
      <c r="BK22" s="736"/>
      <c r="BL22" s="736"/>
      <c r="BM22" s="736"/>
      <c r="BN22" s="736"/>
      <c r="BO22" s="736"/>
      <c r="BP22" s="736"/>
      <c r="BQ22" s="736"/>
      <c r="BR22" s="736"/>
      <c r="BS22" s="736"/>
      <c r="BT22" s="736"/>
    </row>
    <row r="23" spans="1:72" ht="42.75" customHeight="1" x14ac:dyDescent="0.25">
      <c r="A23" s="1519" t="s">
        <v>742</v>
      </c>
      <c r="B23" s="1519"/>
      <c r="C23" s="1519"/>
      <c r="D23" s="1519"/>
      <c r="E23" s="1519"/>
      <c r="F23" s="1519"/>
      <c r="G23" s="1519"/>
      <c r="H23" s="1519"/>
      <c r="I23" s="1519"/>
      <c r="J23" s="1519"/>
      <c r="K23" s="1519"/>
      <c r="L23" s="1519"/>
      <c r="M23" s="1519"/>
      <c r="N23" s="1519"/>
      <c r="O23" s="1519"/>
      <c r="P23" s="1519"/>
      <c r="Q23" s="1519"/>
      <c r="R23" s="1519"/>
      <c r="S23" s="1519"/>
      <c r="T23" s="1519"/>
      <c r="U23" s="736"/>
      <c r="V23" s="736"/>
      <c r="W23" s="736"/>
      <c r="X23" s="736"/>
      <c r="Y23" s="736"/>
      <c r="Z23" s="736"/>
      <c r="AA23" s="736"/>
      <c r="AB23" s="736"/>
      <c r="AC23" s="736"/>
      <c r="AD23" s="736"/>
      <c r="AE23" s="736"/>
      <c r="AF23" s="736"/>
      <c r="AG23" s="736"/>
      <c r="AH23" s="736"/>
      <c r="AI23" s="736"/>
      <c r="AJ23" s="736"/>
      <c r="AK23" s="736"/>
      <c r="AL23" s="736"/>
      <c r="AM23" s="736"/>
      <c r="AN23" s="736"/>
      <c r="AO23" s="736"/>
      <c r="AP23" s="736"/>
      <c r="AQ23" s="736"/>
      <c r="AR23" s="736"/>
      <c r="AS23" s="736"/>
      <c r="AT23" s="736"/>
      <c r="AU23" s="736"/>
      <c r="AV23" s="736"/>
      <c r="AW23" s="736"/>
      <c r="AX23" s="736"/>
      <c r="AY23" s="736"/>
      <c r="AZ23" s="736"/>
      <c r="BA23" s="736"/>
      <c r="BB23" s="736"/>
      <c r="BC23" s="736"/>
      <c r="BD23" s="736"/>
      <c r="BE23" s="736"/>
      <c r="BF23" s="736"/>
      <c r="BG23" s="736"/>
      <c r="BH23" s="736"/>
      <c r="BI23" s="736"/>
      <c r="BJ23" s="736"/>
      <c r="BK23" s="736"/>
      <c r="BL23" s="736"/>
      <c r="BM23" s="736"/>
      <c r="BN23" s="736"/>
      <c r="BO23" s="736"/>
      <c r="BP23" s="736"/>
      <c r="BQ23" s="736"/>
      <c r="BR23" s="736"/>
      <c r="BS23" s="736"/>
      <c r="BT23" s="736"/>
    </row>
    <row r="24" spans="1:72" x14ac:dyDescent="0.25">
      <c r="A24" s="736"/>
      <c r="B24" s="736"/>
      <c r="C24" s="736"/>
      <c r="D24" s="736"/>
      <c r="E24" s="736"/>
      <c r="F24" s="736"/>
      <c r="G24" s="736"/>
      <c r="H24" s="736"/>
      <c r="I24" s="736"/>
      <c r="J24" s="736"/>
      <c r="K24" s="736"/>
      <c r="L24" s="736"/>
      <c r="M24" s="736"/>
      <c r="N24" s="736"/>
      <c r="O24" s="736"/>
      <c r="P24" s="736"/>
      <c r="Q24" s="736"/>
      <c r="R24" s="736"/>
      <c r="S24" s="736"/>
      <c r="T24" s="736"/>
      <c r="U24" s="736"/>
      <c r="V24" s="736"/>
      <c r="W24" s="736"/>
      <c r="X24" s="736"/>
      <c r="Y24" s="736"/>
      <c r="Z24" s="736"/>
      <c r="AA24" s="736"/>
      <c r="AB24" s="736"/>
      <c r="AC24" s="736"/>
      <c r="AD24" s="736"/>
      <c r="AE24" s="736"/>
      <c r="AF24" s="736"/>
      <c r="AG24" s="736"/>
      <c r="AH24" s="736"/>
      <c r="AI24" s="736"/>
      <c r="AJ24" s="736"/>
      <c r="AK24" s="736"/>
      <c r="AL24" s="736"/>
      <c r="AM24" s="736"/>
      <c r="AN24" s="736"/>
      <c r="AO24" s="736"/>
      <c r="AP24" s="736"/>
      <c r="AQ24" s="736"/>
      <c r="AR24" s="736"/>
      <c r="AS24" s="736"/>
      <c r="AT24" s="736"/>
      <c r="AU24" s="736"/>
      <c r="AV24" s="736"/>
      <c r="AW24" s="736"/>
      <c r="AX24" s="736"/>
      <c r="AY24" s="736"/>
      <c r="AZ24" s="736"/>
      <c r="BA24" s="736"/>
      <c r="BB24" s="736"/>
      <c r="BC24" s="736"/>
      <c r="BD24" s="736"/>
      <c r="BE24" s="736"/>
      <c r="BF24" s="736"/>
      <c r="BG24" s="736"/>
      <c r="BH24" s="736"/>
      <c r="BI24" s="736"/>
      <c r="BJ24" s="736"/>
      <c r="BK24" s="736"/>
      <c r="BL24" s="736"/>
      <c r="BM24" s="736"/>
      <c r="BN24" s="736"/>
      <c r="BO24" s="736"/>
      <c r="BP24" s="736"/>
      <c r="BQ24" s="736"/>
      <c r="BR24" s="736"/>
      <c r="BS24" s="736"/>
      <c r="BT24" s="736"/>
    </row>
    <row r="25" spans="1:72" ht="15.6" x14ac:dyDescent="0.3">
      <c r="A25" s="1520" t="s">
        <v>1085</v>
      </c>
      <c r="B25" s="1520"/>
      <c r="C25" s="1520"/>
      <c r="D25" s="1520"/>
      <c r="E25" s="1520"/>
      <c r="F25" s="1520"/>
      <c r="G25" s="1520"/>
      <c r="H25" s="1520"/>
      <c r="I25" s="1520"/>
      <c r="J25" s="1520"/>
      <c r="K25" s="1520"/>
      <c r="L25" s="736"/>
      <c r="M25" s="736"/>
      <c r="N25" s="736"/>
      <c r="O25" s="736"/>
      <c r="P25" s="736"/>
      <c r="Q25" s="736"/>
      <c r="R25" s="736"/>
      <c r="S25" s="736"/>
      <c r="T25" s="736"/>
      <c r="U25" s="736"/>
      <c r="V25" s="736"/>
      <c r="W25" s="736"/>
      <c r="X25" s="736"/>
      <c r="Y25" s="736"/>
      <c r="Z25" s="736"/>
      <c r="AA25" s="736"/>
      <c r="AB25" s="736"/>
      <c r="AC25" s="736"/>
      <c r="AD25" s="736"/>
      <c r="AE25" s="736"/>
      <c r="AF25" s="736"/>
      <c r="AG25" s="736"/>
      <c r="AH25" s="736"/>
      <c r="AI25" s="736"/>
      <c r="AJ25" s="736"/>
      <c r="AK25" s="736"/>
      <c r="AL25" s="736"/>
      <c r="AM25" s="736"/>
      <c r="AN25" s="736"/>
      <c r="AO25" s="736"/>
      <c r="AP25" s="736"/>
      <c r="AQ25" s="736"/>
      <c r="AR25" s="736"/>
      <c r="AS25" s="736"/>
      <c r="AT25" s="736"/>
      <c r="AU25" s="736"/>
      <c r="AV25" s="736"/>
      <c r="AW25" s="736"/>
      <c r="AX25" s="736"/>
      <c r="AY25" s="736"/>
      <c r="AZ25" s="736"/>
      <c r="BA25" s="736"/>
      <c r="BB25" s="736"/>
      <c r="BC25" s="736"/>
      <c r="BD25" s="736"/>
      <c r="BE25" s="736"/>
      <c r="BF25" s="736"/>
      <c r="BG25" s="736"/>
      <c r="BH25" s="736"/>
      <c r="BI25" s="736"/>
      <c r="BJ25" s="736"/>
      <c r="BK25" s="736"/>
      <c r="BL25" s="736"/>
      <c r="BM25" s="736"/>
      <c r="BN25" s="736"/>
      <c r="BO25" s="736"/>
      <c r="BP25" s="736"/>
      <c r="BQ25" s="736"/>
      <c r="BR25" s="736"/>
      <c r="BS25" s="736"/>
      <c r="BT25" s="736"/>
    </row>
    <row r="26" spans="1:72" ht="13.8" thickBot="1" x14ac:dyDescent="0.3">
      <c r="A26" s="1521"/>
      <c r="B26" s="1521"/>
      <c r="C26" s="1521"/>
      <c r="D26" s="1521"/>
      <c r="E26" s="1521"/>
      <c r="F26" s="1521"/>
      <c r="G26" s="1521"/>
      <c r="H26" s="1521"/>
      <c r="I26" s="1521"/>
      <c r="J26" s="1521"/>
      <c r="K26" s="1521"/>
      <c r="L26" s="736"/>
      <c r="M26" s="736"/>
      <c r="N26" s="736"/>
      <c r="O26" s="736"/>
      <c r="P26" s="736"/>
      <c r="Q26" s="736"/>
      <c r="R26" s="736"/>
      <c r="S26" s="736"/>
      <c r="T26" s="736"/>
      <c r="U26" s="736"/>
      <c r="V26" s="736"/>
      <c r="W26" s="736"/>
      <c r="X26" s="736"/>
      <c r="Y26" s="736"/>
      <c r="Z26" s="736"/>
      <c r="AA26" s="736"/>
      <c r="AB26" s="736"/>
      <c r="AC26" s="736"/>
      <c r="AD26" s="736"/>
      <c r="AE26" s="736"/>
      <c r="AF26" s="736"/>
      <c r="AG26" s="736"/>
      <c r="AH26" s="736"/>
      <c r="AI26" s="736"/>
      <c r="AJ26" s="736"/>
      <c r="AK26" s="736"/>
      <c r="AL26" s="736"/>
      <c r="AM26" s="736"/>
      <c r="AN26" s="736"/>
      <c r="AO26" s="736"/>
      <c r="AP26" s="736"/>
      <c r="AQ26" s="736"/>
      <c r="AR26" s="736"/>
      <c r="AS26" s="736"/>
      <c r="AT26" s="736"/>
      <c r="AU26" s="736"/>
      <c r="AV26" s="736"/>
      <c r="AW26" s="736"/>
      <c r="AX26" s="736"/>
      <c r="AY26" s="736"/>
      <c r="AZ26" s="736"/>
      <c r="BA26" s="736"/>
      <c r="BB26" s="736"/>
      <c r="BC26" s="736"/>
      <c r="BD26" s="736"/>
      <c r="BE26" s="736"/>
      <c r="BF26" s="736"/>
      <c r="BG26" s="736"/>
      <c r="BH26" s="736"/>
      <c r="BI26" s="736"/>
      <c r="BJ26" s="736"/>
      <c r="BK26" s="736"/>
      <c r="BL26" s="736"/>
      <c r="BM26" s="736"/>
      <c r="BN26" s="736"/>
      <c r="BO26" s="736"/>
      <c r="BP26" s="736"/>
      <c r="BQ26" s="736"/>
      <c r="BR26" s="736"/>
      <c r="BS26" s="736"/>
      <c r="BT26" s="736"/>
    </row>
    <row r="27" spans="1:72" ht="39.6" x14ac:dyDescent="0.25">
      <c r="A27" s="738"/>
      <c r="B27" s="739" t="s">
        <v>743</v>
      </c>
      <c r="C27" s="739" t="s">
        <v>744</v>
      </c>
      <c r="D27" s="739" t="s">
        <v>1087</v>
      </c>
      <c r="E27" s="1522"/>
      <c r="F27" s="1522"/>
      <c r="G27" s="1522"/>
      <c r="H27" s="1522"/>
      <c r="I27" s="1522"/>
      <c r="J27" s="1524" t="s">
        <v>745</v>
      </c>
      <c r="K27" s="1525"/>
      <c r="L27" s="736"/>
      <c r="M27" s="736"/>
      <c r="N27" s="736"/>
      <c r="O27" s="736"/>
      <c r="P27" s="736"/>
      <c r="Q27" s="736"/>
      <c r="R27" s="736"/>
      <c r="S27" s="736"/>
      <c r="T27" s="736"/>
      <c r="U27" s="736"/>
      <c r="V27" s="736"/>
      <c r="W27" s="736"/>
      <c r="X27" s="736"/>
      <c r="Y27" s="736"/>
      <c r="Z27" s="736"/>
      <c r="AA27" s="736"/>
      <c r="AB27" s="736"/>
      <c r="AC27" s="736"/>
      <c r="AD27" s="736"/>
      <c r="AE27" s="736"/>
      <c r="AF27" s="736"/>
      <c r="AG27" s="736"/>
      <c r="AH27" s="736"/>
      <c r="AI27" s="736"/>
      <c r="AJ27" s="736"/>
      <c r="AK27" s="736"/>
      <c r="AL27" s="736"/>
      <c r="AM27" s="736"/>
      <c r="AN27" s="736"/>
      <c r="AO27" s="736"/>
      <c r="AP27" s="736"/>
      <c r="AQ27" s="736"/>
      <c r="AR27" s="736"/>
      <c r="AS27" s="736"/>
      <c r="AT27" s="736"/>
      <c r="AU27" s="736"/>
      <c r="AV27" s="736"/>
      <c r="AW27" s="736"/>
      <c r="AX27" s="736"/>
      <c r="AY27" s="736"/>
      <c r="AZ27" s="736"/>
      <c r="BA27" s="736"/>
      <c r="BB27" s="736"/>
      <c r="BC27" s="736"/>
      <c r="BD27" s="736"/>
      <c r="BE27" s="736"/>
      <c r="BF27" s="736"/>
      <c r="BG27" s="736"/>
      <c r="BH27" s="736"/>
      <c r="BI27" s="736"/>
      <c r="BJ27" s="736"/>
      <c r="BK27" s="736"/>
      <c r="BL27" s="736"/>
      <c r="BM27" s="736"/>
      <c r="BN27" s="736"/>
      <c r="BO27" s="736"/>
      <c r="BP27" s="736"/>
      <c r="BQ27" s="736"/>
      <c r="BR27" s="736"/>
      <c r="BS27" s="736"/>
      <c r="BT27" s="736"/>
    </row>
    <row r="28" spans="1:72" x14ac:dyDescent="0.25">
      <c r="A28" s="740" t="s">
        <v>554</v>
      </c>
      <c r="B28" s="741">
        <f>G40/F40</f>
        <v>1.0482288241385485</v>
      </c>
      <c r="C28" s="741">
        <f>H40/G40</f>
        <v>1.0526415477404851</v>
      </c>
      <c r="D28" s="741">
        <f>I40/H40</f>
        <v>1.0160295046377366</v>
      </c>
      <c r="E28" s="1523"/>
      <c r="F28" s="1523"/>
      <c r="G28" s="1523"/>
      <c r="H28" s="1523"/>
      <c r="I28" s="1523"/>
      <c r="J28" s="1523" t="s">
        <v>1057</v>
      </c>
      <c r="K28" s="1526" t="s">
        <v>1065</v>
      </c>
      <c r="L28" s="736"/>
      <c r="M28" s="736"/>
      <c r="N28" s="736"/>
      <c r="O28" s="736"/>
      <c r="P28" s="736"/>
      <c r="Q28" s="736"/>
      <c r="R28" s="736"/>
      <c r="S28" s="736"/>
      <c r="T28" s="736"/>
      <c r="U28" s="736"/>
      <c r="V28" s="736"/>
      <c r="W28" s="736"/>
      <c r="X28" s="736"/>
      <c r="Y28" s="736"/>
      <c r="Z28" s="736"/>
      <c r="AA28" s="736"/>
      <c r="AB28" s="736"/>
      <c r="AC28" s="736"/>
      <c r="AD28" s="736"/>
      <c r="AE28" s="736"/>
      <c r="AF28" s="736"/>
      <c r="AG28" s="736"/>
      <c r="AH28" s="736"/>
      <c r="AI28" s="736"/>
      <c r="AJ28" s="736"/>
      <c r="AK28" s="736"/>
      <c r="AL28" s="736"/>
      <c r="AM28" s="736"/>
      <c r="AN28" s="736"/>
      <c r="AO28" s="736"/>
      <c r="AP28" s="736"/>
      <c r="AQ28" s="736"/>
      <c r="AR28" s="736"/>
      <c r="AS28" s="736"/>
      <c r="AT28" s="736"/>
      <c r="AU28" s="736"/>
      <c r="AV28" s="736"/>
      <c r="AW28" s="736"/>
      <c r="AX28" s="736"/>
      <c r="AY28" s="736"/>
      <c r="AZ28" s="736"/>
      <c r="BA28" s="736"/>
      <c r="BB28" s="736"/>
      <c r="BC28" s="736"/>
      <c r="BD28" s="736"/>
      <c r="BE28" s="736"/>
      <c r="BF28" s="736"/>
      <c r="BG28" s="736"/>
      <c r="BH28" s="736"/>
      <c r="BI28" s="736"/>
      <c r="BJ28" s="736"/>
      <c r="BK28" s="736"/>
      <c r="BL28" s="736"/>
      <c r="BM28" s="736"/>
      <c r="BN28" s="736"/>
      <c r="BO28" s="736"/>
      <c r="BP28" s="736"/>
      <c r="BQ28" s="736"/>
      <c r="BR28" s="736"/>
      <c r="BS28" s="736"/>
      <c r="BT28" s="736"/>
    </row>
    <row r="29" spans="1:72" x14ac:dyDescent="0.25">
      <c r="A29" s="742" t="s">
        <v>555</v>
      </c>
      <c r="B29" s="743">
        <f t="shared" ref="B29:B35" si="0">G41/F41</f>
        <v>1.1441282284851997</v>
      </c>
      <c r="C29" s="743">
        <f t="shared" ref="C29:C35" si="1">H41/G41</f>
        <v>1.1360328119345371</v>
      </c>
      <c r="D29" s="743">
        <f t="shared" ref="D29:D35" si="2">I41/H41</f>
        <v>1.0363018547359477</v>
      </c>
      <c r="E29" s="1523"/>
      <c r="F29" s="1523"/>
      <c r="G29" s="1523"/>
      <c r="H29" s="1523"/>
      <c r="I29" s="1523"/>
      <c r="J29" s="1523"/>
      <c r="K29" s="1526"/>
      <c r="L29" s="736"/>
      <c r="M29" s="736"/>
      <c r="N29" s="736"/>
      <c r="O29" s="736"/>
      <c r="P29" s="736"/>
      <c r="Q29" s="736"/>
      <c r="R29" s="736"/>
      <c r="S29" s="736"/>
      <c r="T29" s="736"/>
      <c r="U29" s="736"/>
      <c r="V29" s="736"/>
      <c r="W29" s="736"/>
      <c r="X29" s="736"/>
      <c r="Y29" s="736"/>
      <c r="Z29" s="736"/>
      <c r="AA29" s="736"/>
      <c r="AB29" s="736"/>
      <c r="AC29" s="736"/>
      <c r="AD29" s="736"/>
      <c r="AE29" s="736"/>
      <c r="AF29" s="736"/>
      <c r="AG29" s="736"/>
      <c r="AH29" s="736"/>
      <c r="AI29" s="736"/>
      <c r="AJ29" s="736"/>
      <c r="AK29" s="736"/>
      <c r="AL29" s="736"/>
      <c r="AM29" s="736"/>
      <c r="AN29" s="736"/>
      <c r="AO29" s="736"/>
      <c r="AP29" s="736"/>
      <c r="AQ29" s="736"/>
      <c r="AR29" s="736"/>
      <c r="AS29" s="736"/>
      <c r="AT29" s="736"/>
      <c r="AU29" s="736"/>
      <c r="AV29" s="736"/>
      <c r="AW29" s="736"/>
      <c r="AX29" s="736"/>
      <c r="AY29" s="736"/>
      <c r="AZ29" s="736"/>
      <c r="BA29" s="736"/>
      <c r="BB29" s="736"/>
      <c r="BC29" s="736"/>
      <c r="BD29" s="736"/>
      <c r="BE29" s="736"/>
      <c r="BF29" s="736"/>
      <c r="BG29" s="736"/>
      <c r="BH29" s="736"/>
      <c r="BI29" s="736"/>
      <c r="BJ29" s="736"/>
      <c r="BK29" s="736"/>
      <c r="BL29" s="736"/>
      <c r="BM29" s="736"/>
      <c r="BN29" s="736"/>
      <c r="BO29" s="736"/>
      <c r="BP29" s="736"/>
      <c r="BQ29" s="736"/>
      <c r="BR29" s="736"/>
      <c r="BS29" s="736"/>
      <c r="BT29" s="736"/>
    </row>
    <row r="30" spans="1:72" x14ac:dyDescent="0.25">
      <c r="A30" s="740" t="s">
        <v>556</v>
      </c>
      <c r="B30" s="741">
        <f t="shared" si="0"/>
        <v>1.1252277801242987</v>
      </c>
      <c r="C30" s="741">
        <f t="shared" si="1"/>
        <v>1.1222249629995065</v>
      </c>
      <c r="D30" s="741">
        <f t="shared" si="2"/>
        <v>1.0285793469898747</v>
      </c>
      <c r="E30" s="1523"/>
      <c r="F30" s="1523"/>
      <c r="G30" s="1523"/>
      <c r="H30" s="1523"/>
      <c r="I30" s="1523"/>
      <c r="J30" s="744">
        <v>1991</v>
      </c>
      <c r="K30" s="745">
        <v>84.5</v>
      </c>
      <c r="L30" s="736"/>
      <c r="M30" s="736"/>
      <c r="N30" s="736"/>
      <c r="O30" s="736"/>
      <c r="P30" s="736"/>
      <c r="Q30" s="736"/>
      <c r="R30" s="736"/>
      <c r="S30" s="736"/>
      <c r="T30" s="736"/>
      <c r="U30" s="736"/>
      <c r="V30" s="736"/>
      <c r="W30" s="736"/>
      <c r="X30" s="736"/>
      <c r="Y30" s="736"/>
      <c r="Z30" s="736"/>
      <c r="AA30" s="736"/>
      <c r="AB30" s="736"/>
      <c r="AC30" s="736"/>
      <c r="AD30" s="736"/>
      <c r="AE30" s="736"/>
      <c r="AF30" s="736"/>
      <c r="AG30" s="736"/>
      <c r="AH30" s="736"/>
      <c r="AI30" s="736"/>
      <c r="AJ30" s="736"/>
      <c r="AK30" s="736"/>
      <c r="AL30" s="736"/>
      <c r="AM30" s="736"/>
      <c r="AN30" s="736"/>
      <c r="AO30" s="736"/>
      <c r="AP30" s="736"/>
      <c r="AQ30" s="736"/>
      <c r="AR30" s="736"/>
      <c r="AS30" s="736"/>
      <c r="AT30" s="736"/>
      <c r="AU30" s="736"/>
      <c r="AV30" s="736"/>
      <c r="AW30" s="736"/>
      <c r="AX30" s="736"/>
      <c r="AY30" s="736"/>
      <c r="AZ30" s="736"/>
      <c r="BA30" s="736"/>
      <c r="BB30" s="736"/>
      <c r="BC30" s="736"/>
      <c r="BD30" s="736"/>
      <c r="BE30" s="736"/>
      <c r="BF30" s="736"/>
      <c r="BG30" s="736"/>
      <c r="BH30" s="736"/>
      <c r="BI30" s="736"/>
      <c r="BJ30" s="736"/>
      <c r="BK30" s="736"/>
      <c r="BL30" s="736"/>
      <c r="BM30" s="736"/>
      <c r="BN30" s="736"/>
      <c r="BO30" s="736"/>
      <c r="BP30" s="736"/>
      <c r="BQ30" s="736"/>
      <c r="BR30" s="736"/>
      <c r="BS30" s="736"/>
      <c r="BT30" s="736"/>
    </row>
    <row r="31" spans="1:72" x14ac:dyDescent="0.25">
      <c r="A31" s="742" t="s">
        <v>557</v>
      </c>
      <c r="B31" s="743">
        <f t="shared" si="0"/>
        <v>1.0687839040840581</v>
      </c>
      <c r="C31" s="743">
        <f t="shared" si="1"/>
        <v>1.0213566498986533</v>
      </c>
      <c r="D31" s="743">
        <f t="shared" si="2"/>
        <v>1.0031375164207406</v>
      </c>
      <c r="E31" s="1523"/>
      <c r="F31" s="1523"/>
      <c r="G31" s="1523"/>
      <c r="H31" s="1523"/>
      <c r="I31" s="1523"/>
      <c r="J31" s="746">
        <v>1992</v>
      </c>
      <c r="K31" s="747">
        <v>86.4</v>
      </c>
      <c r="L31" s="736"/>
      <c r="M31" s="736"/>
      <c r="N31" s="736"/>
      <c r="O31" s="736"/>
      <c r="P31" s="736"/>
      <c r="Q31" s="736"/>
      <c r="R31" s="736"/>
      <c r="S31" s="736"/>
      <c r="T31" s="736"/>
      <c r="U31" s="736"/>
      <c r="V31" s="736"/>
      <c r="W31" s="736"/>
      <c r="X31" s="736"/>
      <c r="Y31" s="736"/>
      <c r="Z31" s="736"/>
      <c r="AA31" s="736"/>
      <c r="AB31" s="736"/>
      <c r="AC31" s="736"/>
      <c r="AD31" s="736"/>
      <c r="AE31" s="736"/>
      <c r="AF31" s="736"/>
      <c r="AG31" s="736"/>
      <c r="AH31" s="736"/>
      <c r="AI31" s="736"/>
      <c r="AJ31" s="736"/>
      <c r="AK31" s="736"/>
      <c r="AL31" s="736"/>
      <c r="AM31" s="736"/>
      <c r="AN31" s="736"/>
      <c r="AO31" s="736"/>
      <c r="AP31" s="736"/>
      <c r="AQ31" s="736"/>
      <c r="AR31" s="736"/>
      <c r="AS31" s="736"/>
      <c r="AT31" s="736"/>
      <c r="AU31" s="736"/>
      <c r="AV31" s="736"/>
      <c r="AW31" s="736"/>
      <c r="AX31" s="736"/>
      <c r="AY31" s="736"/>
      <c r="AZ31" s="736"/>
      <c r="BA31" s="736"/>
      <c r="BB31" s="736"/>
      <c r="BC31" s="736"/>
      <c r="BD31" s="736"/>
      <c r="BE31" s="736"/>
      <c r="BF31" s="736"/>
      <c r="BG31" s="736"/>
      <c r="BH31" s="736"/>
      <c r="BI31" s="736"/>
      <c r="BJ31" s="736"/>
      <c r="BK31" s="736"/>
      <c r="BL31" s="736"/>
      <c r="BM31" s="736"/>
      <c r="BN31" s="736"/>
      <c r="BO31" s="736"/>
      <c r="BP31" s="736"/>
      <c r="BQ31" s="736"/>
      <c r="BR31" s="736"/>
      <c r="BS31" s="736"/>
      <c r="BT31" s="736"/>
    </row>
    <row r="32" spans="1:72" x14ac:dyDescent="0.25">
      <c r="A32" s="740" t="s">
        <v>558</v>
      </c>
      <c r="B32" s="741">
        <f t="shared" si="0"/>
        <v>1.03736526166104</v>
      </c>
      <c r="C32" s="741">
        <f t="shared" si="1"/>
        <v>1.0084486821562659</v>
      </c>
      <c r="D32" s="741">
        <f t="shared" si="2"/>
        <v>1.0010687685088917</v>
      </c>
      <c r="E32" s="1523"/>
      <c r="F32" s="1523"/>
      <c r="G32" s="1523"/>
      <c r="H32" s="1523"/>
      <c r="I32" s="1523"/>
      <c r="J32" s="744">
        <v>1993</v>
      </c>
      <c r="K32" s="745">
        <v>88.4</v>
      </c>
      <c r="L32" s="736"/>
      <c r="M32" s="736"/>
      <c r="N32" s="736"/>
      <c r="O32" s="736"/>
      <c r="P32" s="736"/>
      <c r="Q32" s="736"/>
      <c r="R32" s="736"/>
      <c r="S32" s="736"/>
      <c r="T32" s="736"/>
      <c r="U32" s="736"/>
      <c r="V32" s="736"/>
      <c r="W32" s="736"/>
      <c r="X32" s="736"/>
      <c r="Y32" s="736"/>
      <c r="Z32" s="736"/>
      <c r="AA32" s="736"/>
      <c r="AB32" s="736"/>
      <c r="AC32" s="736"/>
      <c r="AD32" s="736"/>
      <c r="AE32" s="736"/>
      <c r="AF32" s="736"/>
      <c r="AG32" s="736"/>
      <c r="AH32" s="736"/>
      <c r="AI32" s="736"/>
      <c r="AJ32" s="736"/>
      <c r="AK32" s="736"/>
      <c r="AL32" s="736"/>
      <c r="AM32" s="736"/>
      <c r="AN32" s="736"/>
      <c r="AO32" s="736"/>
      <c r="AP32" s="736"/>
      <c r="AQ32" s="736"/>
      <c r="AR32" s="736"/>
      <c r="AS32" s="736"/>
      <c r="AT32" s="736"/>
      <c r="AU32" s="736"/>
      <c r="AV32" s="736"/>
      <c r="AW32" s="736"/>
      <c r="AX32" s="736"/>
      <c r="AY32" s="736"/>
      <c r="AZ32" s="736"/>
      <c r="BA32" s="736"/>
      <c r="BB32" s="736"/>
      <c r="BC32" s="736"/>
      <c r="BD32" s="736"/>
      <c r="BE32" s="736"/>
      <c r="BF32" s="736"/>
      <c r="BG32" s="736"/>
      <c r="BH32" s="736"/>
      <c r="BI32" s="736"/>
      <c r="BJ32" s="736"/>
      <c r="BK32" s="736"/>
      <c r="BL32" s="736"/>
      <c r="BM32" s="736"/>
      <c r="BN32" s="736"/>
      <c r="BO32" s="736"/>
      <c r="BP32" s="736"/>
      <c r="BQ32" s="736"/>
      <c r="BR32" s="736"/>
      <c r="BS32" s="736"/>
      <c r="BT32" s="736"/>
    </row>
    <row r="33" spans="1:72" x14ac:dyDescent="0.25">
      <c r="A33" s="742" t="s">
        <v>559</v>
      </c>
      <c r="B33" s="743">
        <f t="shared" si="0"/>
        <v>0.975071533164794</v>
      </c>
      <c r="C33" s="743">
        <f t="shared" si="1"/>
        <v>1.0087393571750138</v>
      </c>
      <c r="D33" s="743">
        <f t="shared" si="2"/>
        <v>0.99663324890666094</v>
      </c>
      <c r="E33" s="1523"/>
      <c r="F33" s="1523"/>
      <c r="G33" s="1523"/>
      <c r="H33" s="1523"/>
      <c r="I33" s="1523"/>
      <c r="J33" s="746">
        <v>1994</v>
      </c>
      <c r="K33" s="747">
        <v>90.3</v>
      </c>
      <c r="L33" s="736"/>
      <c r="M33" s="736"/>
      <c r="N33" s="736"/>
      <c r="O33" s="736"/>
      <c r="P33" s="736"/>
      <c r="Q33" s="736"/>
      <c r="R33" s="736"/>
      <c r="S33" s="736"/>
      <c r="T33" s="736"/>
      <c r="U33" s="736"/>
      <c r="V33" s="736"/>
      <c r="W33" s="736"/>
      <c r="X33" s="736"/>
      <c r="Y33" s="736"/>
      <c r="Z33" s="736"/>
      <c r="AA33" s="736"/>
      <c r="AB33" s="736"/>
      <c r="AC33" s="736"/>
      <c r="AD33" s="736"/>
      <c r="AE33" s="736"/>
      <c r="AF33" s="736"/>
      <c r="AG33" s="736"/>
      <c r="AH33" s="736"/>
      <c r="AI33" s="736"/>
      <c r="AJ33" s="736"/>
      <c r="AK33" s="736"/>
      <c r="AL33" s="736"/>
      <c r="AM33" s="736"/>
      <c r="AN33" s="736"/>
      <c r="AO33" s="736"/>
      <c r="AP33" s="736"/>
      <c r="AQ33" s="736"/>
      <c r="AR33" s="736"/>
      <c r="AS33" s="736"/>
      <c r="AT33" s="736"/>
      <c r="AU33" s="736"/>
      <c r="AV33" s="736"/>
      <c r="AW33" s="736"/>
      <c r="AX33" s="736"/>
      <c r="AY33" s="736"/>
      <c r="AZ33" s="736"/>
      <c r="BA33" s="736"/>
      <c r="BB33" s="736"/>
      <c r="BC33" s="736"/>
      <c r="BD33" s="736"/>
      <c r="BE33" s="736"/>
      <c r="BF33" s="736"/>
      <c r="BG33" s="736"/>
      <c r="BH33" s="736"/>
      <c r="BI33" s="736"/>
      <c r="BJ33" s="736"/>
      <c r="BK33" s="736"/>
      <c r="BL33" s="736"/>
      <c r="BM33" s="736"/>
      <c r="BN33" s="736"/>
      <c r="BO33" s="736"/>
      <c r="BP33" s="736"/>
      <c r="BQ33" s="736"/>
      <c r="BR33" s="736"/>
      <c r="BS33" s="736"/>
      <c r="BT33" s="736"/>
    </row>
    <row r="34" spans="1:72" x14ac:dyDescent="0.25">
      <c r="A34" s="740" t="s">
        <v>560</v>
      </c>
      <c r="B34" s="741">
        <f t="shared" si="0"/>
        <v>1.0938371922267365</v>
      </c>
      <c r="C34" s="741">
        <f t="shared" si="1"/>
        <v>1.0852680569229392</v>
      </c>
      <c r="D34" s="741">
        <f t="shared" si="2"/>
        <v>1.0142672175626977</v>
      </c>
      <c r="E34" s="1523"/>
      <c r="F34" s="1523"/>
      <c r="G34" s="1523"/>
      <c r="H34" s="1523"/>
      <c r="I34" s="1523"/>
      <c r="J34" s="744">
        <v>1995</v>
      </c>
      <c r="K34" s="745">
        <v>92.1</v>
      </c>
      <c r="L34" s="736"/>
      <c r="M34" s="736"/>
      <c r="N34" s="736"/>
      <c r="O34" s="736"/>
      <c r="P34" s="736"/>
      <c r="Q34" s="736"/>
      <c r="R34" s="736"/>
      <c r="S34" s="736"/>
      <c r="T34" s="736"/>
      <c r="U34" s="736"/>
      <c r="V34" s="736"/>
      <c r="W34" s="736"/>
      <c r="X34" s="736"/>
      <c r="Y34" s="736"/>
      <c r="Z34" s="736"/>
      <c r="AA34" s="736"/>
      <c r="AB34" s="736"/>
      <c r="AC34" s="736"/>
      <c r="AD34" s="736"/>
      <c r="AE34" s="736"/>
      <c r="AF34" s="736"/>
      <c r="AG34" s="736"/>
      <c r="AH34" s="736"/>
      <c r="AI34" s="736"/>
      <c r="AJ34" s="736"/>
      <c r="AK34" s="736"/>
      <c r="AL34" s="736"/>
      <c r="AM34" s="736"/>
      <c r="AN34" s="736"/>
      <c r="AO34" s="736"/>
      <c r="AP34" s="736"/>
      <c r="AQ34" s="736"/>
      <c r="AR34" s="736"/>
      <c r="AS34" s="736"/>
      <c r="AT34" s="736"/>
      <c r="AU34" s="736"/>
      <c r="AV34" s="736"/>
      <c r="AW34" s="736"/>
      <c r="AX34" s="736"/>
      <c r="AY34" s="736"/>
      <c r="AZ34" s="736"/>
      <c r="BA34" s="736"/>
      <c r="BB34" s="736"/>
      <c r="BC34" s="736"/>
      <c r="BD34" s="736"/>
      <c r="BE34" s="736"/>
      <c r="BF34" s="736"/>
      <c r="BG34" s="736"/>
      <c r="BH34" s="736"/>
      <c r="BI34" s="736"/>
      <c r="BJ34" s="736"/>
      <c r="BK34" s="736"/>
      <c r="BL34" s="736"/>
      <c r="BM34" s="736"/>
      <c r="BN34" s="736"/>
      <c r="BO34" s="736"/>
      <c r="BP34" s="736"/>
      <c r="BQ34" s="736"/>
      <c r="BR34" s="736"/>
      <c r="BS34" s="736"/>
      <c r="BT34" s="736"/>
    </row>
    <row r="35" spans="1:72" x14ac:dyDescent="0.25">
      <c r="A35" s="742" t="s">
        <v>309</v>
      </c>
      <c r="B35" s="743">
        <f t="shared" si="0"/>
        <v>1.0046194107582356</v>
      </c>
      <c r="C35" s="743">
        <f t="shared" si="1"/>
        <v>1.003094645903579</v>
      </c>
      <c r="D35" s="743">
        <f t="shared" si="2"/>
        <v>0.99710816742279029</v>
      </c>
      <c r="E35" s="1523"/>
      <c r="F35" s="1523"/>
      <c r="G35" s="1523"/>
      <c r="H35" s="1523"/>
      <c r="I35" s="1523"/>
      <c r="J35" s="746">
        <v>1996</v>
      </c>
      <c r="K35" s="747">
        <v>93.9</v>
      </c>
      <c r="L35" s="736"/>
      <c r="M35" s="736"/>
      <c r="N35" s="736"/>
      <c r="O35" s="736"/>
      <c r="P35" s="736"/>
      <c r="Q35" s="736"/>
      <c r="R35" s="736"/>
      <c r="S35" s="736"/>
      <c r="T35" s="736"/>
      <c r="U35" s="736"/>
      <c r="V35" s="736"/>
      <c r="W35" s="736"/>
      <c r="X35" s="736"/>
      <c r="Y35" s="736"/>
      <c r="Z35" s="736"/>
      <c r="AA35" s="736"/>
      <c r="AB35" s="736"/>
      <c r="AC35" s="736"/>
      <c r="AD35" s="736"/>
      <c r="AE35" s="736"/>
      <c r="AF35" s="736"/>
      <c r="AG35" s="736"/>
      <c r="AH35" s="736"/>
      <c r="AI35" s="736"/>
      <c r="AJ35" s="736"/>
      <c r="AK35" s="736"/>
      <c r="AL35" s="736"/>
      <c r="AM35" s="736"/>
      <c r="AN35" s="736"/>
      <c r="AO35" s="736"/>
      <c r="AP35" s="736"/>
      <c r="AQ35" s="736"/>
      <c r="AR35" s="736"/>
      <c r="AS35" s="736"/>
      <c r="AT35" s="736"/>
      <c r="AU35" s="736"/>
      <c r="AV35" s="736"/>
      <c r="AW35" s="736"/>
      <c r="AX35" s="736"/>
      <c r="AY35" s="736"/>
      <c r="AZ35" s="736"/>
      <c r="BA35" s="736"/>
      <c r="BB35" s="736"/>
      <c r="BC35" s="736"/>
      <c r="BD35" s="736"/>
      <c r="BE35" s="736"/>
      <c r="BF35" s="736"/>
      <c r="BG35" s="736"/>
      <c r="BH35" s="736"/>
      <c r="BI35" s="736"/>
      <c r="BJ35" s="736"/>
      <c r="BK35" s="736"/>
      <c r="BL35" s="736"/>
      <c r="BM35" s="736"/>
      <c r="BN35" s="736"/>
      <c r="BO35" s="736"/>
      <c r="BP35" s="736"/>
      <c r="BQ35" s="736"/>
      <c r="BR35" s="736"/>
      <c r="BS35" s="736"/>
      <c r="BT35" s="736"/>
    </row>
    <row r="36" spans="1:72" x14ac:dyDescent="0.25">
      <c r="A36" s="1527"/>
      <c r="B36" s="1528"/>
      <c r="C36" s="1528"/>
      <c r="D36" s="1528"/>
      <c r="E36" s="1523"/>
      <c r="F36" s="1523"/>
      <c r="G36" s="1523"/>
      <c r="H36" s="1523"/>
      <c r="I36" s="1523"/>
      <c r="J36" s="744">
        <v>1997</v>
      </c>
      <c r="K36" s="745">
        <v>95.4</v>
      </c>
      <c r="L36" s="736"/>
      <c r="M36" s="736"/>
      <c r="N36" s="736"/>
      <c r="O36" s="736"/>
      <c r="P36" s="736"/>
      <c r="Q36" s="736"/>
      <c r="R36" s="736"/>
      <c r="S36" s="736"/>
      <c r="T36" s="736"/>
      <c r="U36" s="736"/>
      <c r="V36" s="736"/>
      <c r="W36" s="736"/>
      <c r="X36" s="736"/>
      <c r="Y36" s="736"/>
      <c r="Z36" s="736"/>
      <c r="AA36" s="736"/>
      <c r="AB36" s="736"/>
      <c r="AC36" s="736"/>
      <c r="AD36" s="736"/>
      <c r="AE36" s="736"/>
      <c r="AF36" s="736"/>
      <c r="AG36" s="736"/>
      <c r="AH36" s="736"/>
      <c r="AI36" s="736"/>
      <c r="AJ36" s="736"/>
      <c r="AK36" s="736"/>
      <c r="AL36" s="736"/>
      <c r="AM36" s="736"/>
      <c r="AN36" s="736"/>
      <c r="AO36" s="736"/>
      <c r="AP36" s="736"/>
      <c r="AQ36" s="736"/>
      <c r="AR36" s="736"/>
      <c r="AS36" s="736"/>
      <c r="AT36" s="736"/>
      <c r="AU36" s="736"/>
      <c r="AV36" s="736"/>
      <c r="AW36" s="736"/>
      <c r="AX36" s="736"/>
      <c r="AY36" s="736"/>
      <c r="AZ36" s="736"/>
      <c r="BA36" s="736"/>
      <c r="BB36" s="736"/>
      <c r="BC36" s="736"/>
      <c r="BD36" s="736"/>
      <c r="BE36" s="736"/>
      <c r="BF36" s="736"/>
      <c r="BG36" s="736"/>
      <c r="BH36" s="736"/>
      <c r="BI36" s="736"/>
      <c r="BJ36" s="736"/>
      <c r="BK36" s="736"/>
      <c r="BL36" s="736"/>
      <c r="BM36" s="736"/>
      <c r="BN36" s="736"/>
      <c r="BO36" s="736"/>
      <c r="BP36" s="736"/>
      <c r="BQ36" s="736"/>
      <c r="BR36" s="736"/>
      <c r="BS36" s="736"/>
      <c r="BT36" s="736"/>
    </row>
    <row r="37" spans="1:72" x14ac:dyDescent="0.25">
      <c r="A37" s="1527"/>
      <c r="B37" s="1528"/>
      <c r="C37" s="1528"/>
      <c r="D37" s="1528"/>
      <c r="E37" s="1523"/>
      <c r="F37" s="1523"/>
      <c r="G37" s="1523"/>
      <c r="H37" s="1523"/>
      <c r="I37" s="1523"/>
      <c r="J37" s="746">
        <v>1998</v>
      </c>
      <c r="K37" s="747">
        <v>96.5</v>
      </c>
      <c r="L37" s="736"/>
      <c r="M37" s="736"/>
      <c r="N37" s="736"/>
      <c r="O37" s="736"/>
      <c r="P37" s="736"/>
      <c r="Q37" s="736"/>
      <c r="R37" s="736"/>
      <c r="S37" s="736"/>
      <c r="T37" s="736"/>
      <c r="U37" s="736"/>
      <c r="V37" s="736"/>
      <c r="W37" s="736"/>
      <c r="X37" s="736"/>
      <c r="Y37" s="736"/>
      <c r="Z37" s="736"/>
      <c r="AA37" s="736"/>
      <c r="AB37" s="736"/>
      <c r="AC37" s="736"/>
      <c r="AD37" s="736"/>
      <c r="AE37" s="736"/>
      <c r="AF37" s="736"/>
      <c r="AG37" s="736"/>
      <c r="AH37" s="736"/>
      <c r="AI37" s="736"/>
      <c r="AJ37" s="736"/>
      <c r="AK37" s="736"/>
      <c r="AL37" s="736"/>
      <c r="AM37" s="736"/>
      <c r="AN37" s="736"/>
      <c r="AO37" s="736"/>
      <c r="AP37" s="736"/>
      <c r="AQ37" s="736"/>
      <c r="AR37" s="736"/>
      <c r="AS37" s="736"/>
      <c r="AT37" s="736"/>
      <c r="AU37" s="736"/>
      <c r="AV37" s="736"/>
      <c r="AW37" s="736"/>
      <c r="AX37" s="736"/>
      <c r="AY37" s="736"/>
      <c r="AZ37" s="736"/>
      <c r="BA37" s="736"/>
      <c r="BB37" s="736"/>
      <c r="BC37" s="736"/>
      <c r="BD37" s="736"/>
      <c r="BE37" s="736"/>
      <c r="BF37" s="736"/>
      <c r="BG37" s="736"/>
      <c r="BH37" s="736"/>
      <c r="BI37" s="736"/>
      <c r="BJ37" s="736"/>
      <c r="BK37" s="736"/>
      <c r="BL37" s="736"/>
      <c r="BM37" s="736"/>
      <c r="BN37" s="736"/>
      <c r="BO37" s="736"/>
      <c r="BP37" s="736"/>
      <c r="BQ37" s="736"/>
      <c r="BR37" s="736"/>
      <c r="BS37" s="736"/>
      <c r="BT37" s="736"/>
    </row>
    <row r="38" spans="1:72" x14ac:dyDescent="0.25">
      <c r="A38" s="1532" t="s">
        <v>562</v>
      </c>
      <c r="B38" s="1533"/>
      <c r="C38" s="748" t="s">
        <v>563</v>
      </c>
      <c r="D38" s="748" t="s">
        <v>563</v>
      </c>
      <c r="E38" s="1533" t="s">
        <v>1086</v>
      </c>
      <c r="F38" s="1533"/>
      <c r="G38" s="1533"/>
      <c r="H38" s="1533"/>
      <c r="I38" s="1533"/>
      <c r="J38" s="744">
        <v>1999</v>
      </c>
      <c r="K38" s="745">
        <v>97.9</v>
      </c>
      <c r="L38" s="736"/>
      <c r="M38" s="736"/>
      <c r="N38" s="736"/>
      <c r="O38" s="736"/>
      <c r="P38" s="736"/>
      <c r="Q38" s="736"/>
      <c r="R38" s="736"/>
      <c r="S38" s="736"/>
      <c r="T38" s="736"/>
      <c r="U38" s="736"/>
      <c r="V38" s="736"/>
      <c r="W38" s="736"/>
      <c r="X38" s="736"/>
      <c r="Y38" s="736"/>
      <c r="Z38" s="736"/>
      <c r="AA38" s="736"/>
      <c r="AB38" s="736"/>
      <c r="AC38" s="736"/>
      <c r="AD38" s="736"/>
      <c r="AE38" s="736"/>
      <c r="AF38" s="736"/>
      <c r="AG38" s="736"/>
      <c r="AH38" s="736"/>
      <c r="AI38" s="736"/>
      <c r="AJ38" s="736"/>
      <c r="AK38" s="736"/>
      <c r="AL38" s="736"/>
      <c r="AM38" s="736"/>
      <c r="AN38" s="736"/>
      <c r="AO38" s="736"/>
      <c r="AP38" s="736"/>
      <c r="AQ38" s="736"/>
      <c r="AR38" s="736"/>
      <c r="AS38" s="736"/>
      <c r="AT38" s="736"/>
      <c r="AU38" s="736"/>
      <c r="AV38" s="736"/>
      <c r="AW38" s="736"/>
      <c r="AX38" s="736"/>
      <c r="AY38" s="736"/>
      <c r="AZ38" s="736"/>
      <c r="BA38" s="736"/>
      <c r="BB38" s="736"/>
      <c r="BC38" s="736"/>
      <c r="BD38" s="736"/>
      <c r="BE38" s="736"/>
      <c r="BF38" s="736"/>
      <c r="BG38" s="736"/>
      <c r="BH38" s="736"/>
      <c r="BI38" s="736"/>
      <c r="BJ38" s="736"/>
      <c r="BK38" s="736"/>
      <c r="BL38" s="736"/>
      <c r="BM38" s="736"/>
      <c r="BN38" s="736"/>
      <c r="BO38" s="736"/>
      <c r="BP38" s="736"/>
      <c r="BQ38" s="736"/>
      <c r="BR38" s="736"/>
      <c r="BS38" s="736"/>
      <c r="BT38" s="736"/>
    </row>
    <row r="39" spans="1:72" x14ac:dyDescent="0.25">
      <c r="A39" s="742"/>
      <c r="B39" s="1" t="s">
        <v>1022</v>
      </c>
      <c r="C39" s="746">
        <v>2000</v>
      </c>
      <c r="D39" s="746">
        <v>2005</v>
      </c>
      <c r="E39" s="746">
        <v>2020</v>
      </c>
      <c r="F39" s="746">
        <v>2035</v>
      </c>
      <c r="G39" s="746">
        <v>2050</v>
      </c>
      <c r="H39" s="746">
        <v>2065</v>
      </c>
      <c r="I39" s="746">
        <v>2070</v>
      </c>
      <c r="J39" s="746">
        <v>2000</v>
      </c>
      <c r="K39" s="747">
        <v>100</v>
      </c>
      <c r="L39" s="736"/>
      <c r="M39" s="736"/>
      <c r="N39" s="736"/>
      <c r="O39" s="736"/>
      <c r="P39" s="736"/>
      <c r="Q39" s="736"/>
      <c r="R39" s="736"/>
      <c r="S39" s="736"/>
      <c r="T39" s="736"/>
      <c r="U39" s="736"/>
      <c r="V39" s="736"/>
      <c r="W39" s="736"/>
      <c r="X39" s="736"/>
      <c r="Y39" s="736"/>
      <c r="Z39" s="736"/>
      <c r="AA39" s="736"/>
      <c r="AB39" s="736"/>
      <c r="AC39" s="736"/>
      <c r="AD39" s="736"/>
      <c r="AE39" s="736"/>
      <c r="AF39" s="736"/>
      <c r="AG39" s="736"/>
      <c r="AH39" s="736"/>
      <c r="AI39" s="736"/>
      <c r="AJ39" s="736"/>
      <c r="AK39" s="736"/>
      <c r="AL39" s="736"/>
      <c r="AM39" s="736"/>
      <c r="AN39" s="736"/>
      <c r="AO39" s="736"/>
      <c r="AP39" s="736"/>
      <c r="AQ39" s="736"/>
      <c r="AR39" s="736"/>
      <c r="AS39" s="736"/>
      <c r="AT39" s="736"/>
      <c r="AU39" s="736"/>
      <c r="AV39" s="736"/>
      <c r="AW39" s="736"/>
      <c r="AX39" s="736"/>
      <c r="AY39" s="736"/>
      <c r="AZ39" s="736"/>
      <c r="BA39" s="736"/>
      <c r="BB39" s="736"/>
      <c r="BC39" s="736"/>
      <c r="BD39" s="736"/>
      <c r="BE39" s="736"/>
      <c r="BF39" s="736"/>
      <c r="BG39" s="736"/>
      <c r="BH39" s="736"/>
      <c r="BI39" s="736"/>
      <c r="BJ39" s="736"/>
      <c r="BK39" s="736"/>
      <c r="BL39" s="736"/>
      <c r="BM39" s="736"/>
      <c r="BN39" s="736"/>
      <c r="BO39" s="736"/>
      <c r="BP39" s="736"/>
      <c r="BQ39" s="736"/>
      <c r="BR39" s="736"/>
      <c r="BS39" s="736"/>
      <c r="BT39" s="736"/>
    </row>
    <row r="40" spans="1:72" x14ac:dyDescent="0.25">
      <c r="A40" s="740" t="s">
        <v>554</v>
      </c>
      <c r="B40" s="749" t="s">
        <v>564</v>
      </c>
      <c r="C40" s="744">
        <v>25.276500000000002</v>
      </c>
      <c r="D40" s="744">
        <v>25.071000000000002</v>
      </c>
      <c r="E40" s="744">
        <v>49.911552427759986</v>
      </c>
      <c r="F40" s="744">
        <v>51.73380738099187</v>
      </c>
      <c r="G40" s="744">
        <v>54.228868079187265</v>
      </c>
      <c r="H40" s="744">
        <v>57.083559627090274</v>
      </c>
      <c r="I40" s="744">
        <v>57.998580810871225</v>
      </c>
      <c r="J40" s="744">
        <v>2001</v>
      </c>
      <c r="K40" s="745">
        <v>102.4</v>
      </c>
      <c r="L40" s="736"/>
      <c r="M40" s="736"/>
      <c r="N40" s="736"/>
      <c r="O40" s="736"/>
      <c r="P40" s="736"/>
      <c r="Q40" s="736"/>
      <c r="R40" s="736"/>
      <c r="S40" s="736"/>
      <c r="T40" s="736"/>
      <c r="U40" s="736"/>
      <c r="V40" s="736"/>
      <c r="W40" s="736"/>
      <c r="X40" s="736"/>
      <c r="Y40" s="736"/>
      <c r="Z40" s="736"/>
      <c r="AA40" s="736"/>
      <c r="AB40" s="736"/>
      <c r="AC40" s="736"/>
      <c r="AD40" s="736"/>
      <c r="AE40" s="736"/>
      <c r="AF40" s="736"/>
      <c r="AG40" s="736"/>
      <c r="AH40" s="736"/>
      <c r="AI40" s="736"/>
      <c r="AJ40" s="736"/>
      <c r="AK40" s="736"/>
      <c r="AL40" s="736"/>
      <c r="AM40" s="736"/>
      <c r="AN40" s="736"/>
      <c r="AO40" s="736"/>
      <c r="AP40" s="736"/>
      <c r="AQ40" s="736"/>
      <c r="AR40" s="736"/>
      <c r="AS40" s="736"/>
      <c r="AT40" s="736"/>
      <c r="AU40" s="736"/>
      <c r="AV40" s="736"/>
      <c r="AW40" s="736"/>
      <c r="AX40" s="736"/>
      <c r="AY40" s="736"/>
      <c r="AZ40" s="736"/>
      <c r="BA40" s="736"/>
      <c r="BB40" s="736"/>
      <c r="BC40" s="736"/>
      <c r="BD40" s="736"/>
      <c r="BE40" s="736"/>
      <c r="BF40" s="736"/>
      <c r="BG40" s="736"/>
      <c r="BH40" s="736"/>
      <c r="BI40" s="736"/>
      <c r="BJ40" s="736"/>
      <c r="BK40" s="736"/>
      <c r="BL40" s="736"/>
      <c r="BM40" s="736"/>
      <c r="BN40" s="736"/>
      <c r="BO40" s="736"/>
      <c r="BP40" s="736"/>
      <c r="BQ40" s="736"/>
      <c r="BR40" s="736"/>
      <c r="BS40" s="736"/>
      <c r="BT40" s="736"/>
    </row>
    <row r="41" spans="1:72" x14ac:dyDescent="0.25">
      <c r="A41" s="742" t="s">
        <v>555</v>
      </c>
      <c r="B41" s="737" t="s">
        <v>565</v>
      </c>
      <c r="C41" s="746">
        <v>3.83</v>
      </c>
      <c r="D41" s="746">
        <v>2.88</v>
      </c>
      <c r="E41" s="746">
        <v>3.4820792312666162</v>
      </c>
      <c r="F41" s="746">
        <v>3.718467288972283</v>
      </c>
      <c r="G41" s="746">
        <v>4.254403392012021</v>
      </c>
      <c r="H41" s="746">
        <v>4.8331418485312492</v>
      </c>
      <c r="I41" s="746">
        <v>5.0085938618348607</v>
      </c>
      <c r="J41" s="746">
        <v>2002</v>
      </c>
      <c r="K41" s="747">
        <v>104.1</v>
      </c>
      <c r="L41" s="736"/>
      <c r="M41" s="736"/>
      <c r="N41" s="736"/>
      <c r="O41" s="736"/>
      <c r="P41" s="736"/>
      <c r="Q41" s="736"/>
      <c r="R41" s="736"/>
      <c r="S41" s="736"/>
      <c r="T41" s="736"/>
      <c r="U41" s="736"/>
      <c r="V41" s="736"/>
      <c r="W41" s="736"/>
      <c r="X41" s="736"/>
      <c r="Y41" s="736"/>
      <c r="Z41" s="736"/>
      <c r="AA41" s="736"/>
      <c r="AB41" s="736"/>
      <c r="AC41" s="736"/>
      <c r="AD41" s="736"/>
      <c r="AE41" s="736"/>
      <c r="AF41" s="736"/>
      <c r="AG41" s="736"/>
      <c r="AH41" s="736"/>
      <c r="AI41" s="736"/>
      <c r="AJ41" s="736"/>
      <c r="AK41" s="736"/>
      <c r="AL41" s="736"/>
      <c r="AM41" s="736"/>
      <c r="AN41" s="736"/>
      <c r="AO41" s="736"/>
      <c r="AP41" s="736"/>
      <c r="AQ41" s="736"/>
      <c r="AR41" s="736"/>
      <c r="AS41" s="736"/>
      <c r="AT41" s="736"/>
      <c r="AU41" s="736"/>
      <c r="AV41" s="736"/>
      <c r="AW41" s="736"/>
      <c r="AX41" s="736"/>
      <c r="AY41" s="736"/>
      <c r="AZ41" s="736"/>
      <c r="BA41" s="736"/>
      <c r="BB41" s="736"/>
      <c r="BC41" s="736"/>
      <c r="BD41" s="736"/>
      <c r="BE41" s="736"/>
      <c r="BF41" s="736"/>
      <c r="BG41" s="736"/>
      <c r="BH41" s="736"/>
      <c r="BI41" s="736"/>
      <c r="BJ41" s="736"/>
      <c r="BK41" s="736"/>
      <c r="BL41" s="736"/>
      <c r="BM41" s="736"/>
      <c r="BN41" s="736"/>
      <c r="BO41" s="736"/>
      <c r="BP41" s="736"/>
      <c r="BQ41" s="736"/>
      <c r="BR41" s="736"/>
      <c r="BS41" s="736"/>
      <c r="BT41" s="736"/>
    </row>
    <row r="42" spans="1:72" x14ac:dyDescent="0.25">
      <c r="A42" s="740" t="s">
        <v>556</v>
      </c>
      <c r="B42" s="749" t="s">
        <v>565</v>
      </c>
      <c r="C42" s="744">
        <v>4.333333333333333</v>
      </c>
      <c r="D42" s="744">
        <v>3.2058823529411766</v>
      </c>
      <c r="E42" s="744">
        <v>5.3135477999345282</v>
      </c>
      <c r="F42" s="744">
        <v>5.6703709369749671</v>
      </c>
      <c r="G42" s="744">
        <v>6.3804589018936815</v>
      </c>
      <c r="H42" s="744">
        <v>7.1603102550975084</v>
      </c>
      <c r="I42" s="744">
        <v>7.3649472464330987</v>
      </c>
      <c r="J42" s="744">
        <v>2003</v>
      </c>
      <c r="K42" s="745">
        <v>106</v>
      </c>
      <c r="L42" s="736"/>
      <c r="M42" s="736"/>
      <c r="N42" s="736"/>
      <c r="O42" s="736"/>
      <c r="P42" s="736"/>
      <c r="Q42" s="736"/>
      <c r="R42" s="736"/>
      <c r="S42" s="736"/>
      <c r="T42" s="736"/>
      <c r="U42" s="736"/>
      <c r="V42" s="736"/>
      <c r="W42" s="736"/>
      <c r="X42" s="736"/>
      <c r="Y42" s="736"/>
      <c r="Z42" s="736"/>
      <c r="AA42" s="736"/>
      <c r="AB42" s="736"/>
      <c r="AC42" s="736"/>
      <c r="AD42" s="736"/>
      <c r="AE42" s="736"/>
      <c r="AF42" s="736"/>
      <c r="AG42" s="736"/>
      <c r="AH42" s="736"/>
      <c r="AI42" s="736"/>
      <c r="AJ42" s="736"/>
      <c r="AK42" s="736"/>
      <c r="AL42" s="736"/>
      <c r="AM42" s="736"/>
      <c r="AN42" s="736"/>
      <c r="AO42" s="736"/>
      <c r="AP42" s="736"/>
      <c r="AQ42" s="736"/>
      <c r="AR42" s="736"/>
      <c r="AS42" s="736"/>
      <c r="AT42" s="736"/>
      <c r="AU42" s="736"/>
      <c r="AV42" s="736"/>
      <c r="AW42" s="736"/>
      <c r="AX42" s="736"/>
      <c r="AY42" s="736"/>
      <c r="AZ42" s="736"/>
      <c r="BA42" s="736"/>
      <c r="BB42" s="736"/>
      <c r="BC42" s="736"/>
      <c r="BD42" s="736"/>
      <c r="BE42" s="736"/>
      <c r="BF42" s="736"/>
      <c r="BG42" s="736"/>
      <c r="BH42" s="736"/>
      <c r="BI42" s="736"/>
      <c r="BJ42" s="736"/>
      <c r="BK42" s="736"/>
      <c r="BL42" s="736"/>
      <c r="BM42" s="736"/>
      <c r="BN42" s="736"/>
      <c r="BO42" s="736"/>
      <c r="BP42" s="736"/>
      <c r="BQ42" s="736"/>
      <c r="BR42" s="736"/>
      <c r="BS42" s="736"/>
      <c r="BT42" s="736"/>
    </row>
    <row r="43" spans="1:72" x14ac:dyDescent="0.25">
      <c r="A43" s="742" t="s">
        <v>557</v>
      </c>
      <c r="B43" s="737" t="s">
        <v>566</v>
      </c>
      <c r="C43" s="746">
        <v>28.35</v>
      </c>
      <c r="D43" s="746">
        <v>23.27</v>
      </c>
      <c r="E43" s="746">
        <v>38.166254666132858</v>
      </c>
      <c r="F43" s="746">
        <v>44.018296607182357</v>
      </c>
      <c r="G43" s="746">
        <v>47.046046898954408</v>
      </c>
      <c r="H43" s="746">
        <v>48.050792851691</v>
      </c>
      <c r="I43" s="746">
        <v>48.201553003292787</v>
      </c>
      <c r="J43" s="746">
        <v>2004</v>
      </c>
      <c r="K43" s="750">
        <v>108.3</v>
      </c>
      <c r="L43" s="736"/>
      <c r="M43" s="736"/>
      <c r="N43" s="736"/>
      <c r="O43" s="736"/>
      <c r="P43" s="736"/>
      <c r="Q43" s="736"/>
      <c r="R43" s="736"/>
      <c r="S43" s="736"/>
      <c r="T43" s="736"/>
      <c r="U43" s="736"/>
      <c r="V43" s="736"/>
      <c r="W43" s="736"/>
      <c r="X43" s="736"/>
      <c r="Y43" s="736"/>
      <c r="Z43" s="736"/>
      <c r="AA43" s="736"/>
      <c r="AB43" s="736"/>
      <c r="AC43" s="736"/>
      <c r="AD43" s="736"/>
      <c r="AE43" s="736"/>
      <c r="AF43" s="736"/>
      <c r="AG43" s="736"/>
      <c r="AH43" s="736"/>
      <c r="AI43" s="736"/>
      <c r="AJ43" s="736"/>
      <c r="AK43" s="736"/>
      <c r="AL43" s="736"/>
      <c r="AM43" s="736"/>
      <c r="AN43" s="736"/>
      <c r="AO43" s="736"/>
      <c r="AP43" s="736"/>
      <c r="AQ43" s="736"/>
      <c r="AR43" s="736"/>
      <c r="AS43" s="736"/>
      <c r="AT43" s="736"/>
      <c r="AU43" s="736"/>
      <c r="AV43" s="736"/>
      <c r="AW43" s="736"/>
      <c r="AX43" s="736"/>
      <c r="AY43" s="736"/>
      <c r="AZ43" s="736"/>
      <c r="BA43" s="736"/>
      <c r="BB43" s="736"/>
      <c r="BC43" s="736"/>
      <c r="BD43" s="736"/>
      <c r="BE43" s="736"/>
      <c r="BF43" s="736"/>
      <c r="BG43" s="736"/>
      <c r="BH43" s="736"/>
      <c r="BI43" s="736"/>
      <c r="BJ43" s="736"/>
      <c r="BK43" s="736"/>
      <c r="BL43" s="736"/>
      <c r="BM43" s="736"/>
      <c r="BN43" s="736"/>
      <c r="BO43" s="736"/>
      <c r="BP43" s="736"/>
      <c r="BQ43" s="736"/>
      <c r="BR43" s="736"/>
      <c r="BS43" s="736"/>
      <c r="BT43" s="736"/>
    </row>
    <row r="44" spans="1:72" x14ac:dyDescent="0.25">
      <c r="A44" s="740" t="s">
        <v>558</v>
      </c>
      <c r="B44" s="749" t="s">
        <v>567</v>
      </c>
      <c r="C44" s="744">
        <v>1.5176666666666667</v>
      </c>
      <c r="D44" s="744">
        <v>1.2925714285714285</v>
      </c>
      <c r="E44" s="744">
        <v>1.9428327208531595</v>
      </c>
      <c r="F44" s="744">
        <v>2.1262391061548653</v>
      </c>
      <c r="G44" s="744">
        <v>2.2056865867102777</v>
      </c>
      <c r="H44" s="744">
        <v>2.2243217316177319</v>
      </c>
      <c r="I44" s="744">
        <v>2.2266990166381286</v>
      </c>
      <c r="J44" s="744">
        <v>2005</v>
      </c>
      <c r="K44" s="751">
        <v>110.5</v>
      </c>
      <c r="L44" s="736"/>
      <c r="M44" s="736"/>
      <c r="N44" s="736"/>
      <c r="O44" s="736"/>
      <c r="P44" s="736"/>
      <c r="Q44" s="736"/>
      <c r="R44" s="736"/>
      <c r="S44" s="736"/>
      <c r="T44" s="736"/>
      <c r="U44" s="736"/>
      <c r="V44" s="736"/>
      <c r="W44" s="736"/>
      <c r="X44" s="736"/>
      <c r="Y44" s="736"/>
      <c r="Z44" s="736"/>
      <c r="AA44" s="736"/>
      <c r="AB44" s="736"/>
      <c r="AC44" s="736"/>
      <c r="AD44" s="736"/>
      <c r="AE44" s="736"/>
      <c r="AF44" s="736"/>
      <c r="AG44" s="736"/>
      <c r="AH44" s="736"/>
      <c r="AI44" s="736"/>
      <c r="AJ44" s="736"/>
      <c r="AK44" s="736"/>
      <c r="AL44" s="736"/>
      <c r="AM44" s="736"/>
      <c r="AN44" s="736"/>
      <c r="AO44" s="736"/>
      <c r="AP44" s="736"/>
      <c r="AQ44" s="736"/>
      <c r="AR44" s="736"/>
      <c r="AS44" s="736"/>
      <c r="AT44" s="736"/>
      <c r="AU44" s="736"/>
      <c r="AV44" s="736"/>
      <c r="AW44" s="736"/>
      <c r="AX44" s="736"/>
      <c r="AY44" s="736"/>
      <c r="AZ44" s="736"/>
      <c r="BA44" s="736"/>
      <c r="BB44" s="736"/>
      <c r="BC44" s="736"/>
      <c r="BD44" s="736"/>
      <c r="BE44" s="736"/>
      <c r="BF44" s="736"/>
      <c r="BG44" s="736"/>
      <c r="BH44" s="736"/>
      <c r="BI44" s="736"/>
      <c r="BJ44" s="736"/>
      <c r="BK44" s="736"/>
      <c r="BL44" s="736"/>
      <c r="BM44" s="736"/>
      <c r="BN44" s="736"/>
      <c r="BO44" s="736"/>
      <c r="BP44" s="736"/>
      <c r="BQ44" s="736"/>
      <c r="BR44" s="736"/>
      <c r="BS44" s="736"/>
      <c r="BT44" s="736"/>
    </row>
    <row r="45" spans="1:72" x14ac:dyDescent="0.25">
      <c r="A45" s="742" t="s">
        <v>559</v>
      </c>
      <c r="B45" s="737" t="s">
        <v>568</v>
      </c>
      <c r="C45" s="746">
        <v>6.9</v>
      </c>
      <c r="D45" s="746">
        <v>6.4</v>
      </c>
      <c r="E45" s="746">
        <v>7.2674708046079139</v>
      </c>
      <c r="F45" s="746">
        <v>7.0885496188632935</v>
      </c>
      <c r="G45" s="746">
        <v>6.9118429447797478</v>
      </c>
      <c r="H45" s="746">
        <v>6.9722480090117775</v>
      </c>
      <c r="I45" s="746">
        <v>6.9487741854044058</v>
      </c>
      <c r="J45" s="1534" t="s">
        <v>746</v>
      </c>
      <c r="K45" s="1535"/>
      <c r="L45" s="736"/>
      <c r="M45" s="736"/>
      <c r="N45" s="736"/>
      <c r="O45" s="736"/>
      <c r="P45" s="736"/>
      <c r="Q45" s="736"/>
      <c r="R45" s="736"/>
      <c r="S45" s="736"/>
      <c r="T45" s="736"/>
      <c r="U45" s="736"/>
      <c r="V45" s="736"/>
      <c r="W45" s="736"/>
      <c r="X45" s="736"/>
      <c r="Y45" s="736"/>
      <c r="Z45" s="736"/>
      <c r="AA45" s="736"/>
      <c r="AB45" s="736"/>
      <c r="AC45" s="736"/>
      <c r="AD45" s="736"/>
      <c r="AE45" s="736"/>
      <c r="AF45" s="736"/>
      <c r="AG45" s="736"/>
      <c r="AH45" s="736"/>
      <c r="AI45" s="736"/>
      <c r="AJ45" s="736"/>
      <c r="AK45" s="736"/>
      <c r="AL45" s="736"/>
      <c r="AM45" s="736"/>
      <c r="AN45" s="736"/>
      <c r="AO45" s="736"/>
      <c r="AP45" s="736"/>
      <c r="AQ45" s="736"/>
      <c r="AR45" s="736"/>
      <c r="AS45" s="736"/>
      <c r="AT45" s="736"/>
      <c r="AU45" s="736"/>
      <c r="AV45" s="736"/>
      <c r="AW45" s="736"/>
      <c r="AX45" s="736"/>
      <c r="AY45" s="736"/>
      <c r="AZ45" s="736"/>
      <c r="BA45" s="736"/>
      <c r="BB45" s="736"/>
      <c r="BC45" s="736"/>
      <c r="BD45" s="736"/>
      <c r="BE45" s="736"/>
      <c r="BF45" s="736"/>
      <c r="BG45" s="736"/>
      <c r="BH45" s="736"/>
      <c r="BI45" s="736"/>
      <c r="BJ45" s="736"/>
      <c r="BK45" s="736"/>
      <c r="BL45" s="736"/>
      <c r="BM45" s="736"/>
      <c r="BN45" s="736"/>
      <c r="BO45" s="736"/>
      <c r="BP45" s="736"/>
      <c r="BQ45" s="736"/>
      <c r="BR45" s="736"/>
      <c r="BS45" s="736"/>
      <c r="BT45" s="736"/>
    </row>
    <row r="46" spans="1:72" x14ac:dyDescent="0.25">
      <c r="A46" s="740" t="s">
        <v>560</v>
      </c>
      <c r="B46" s="749" t="s">
        <v>569</v>
      </c>
      <c r="C46" s="744"/>
      <c r="D46" s="744"/>
      <c r="E46" s="744">
        <v>3.9267286033597717</v>
      </c>
      <c r="F46" s="744">
        <v>3.4025762910602637</v>
      </c>
      <c r="G46" s="744">
        <v>3.7218644965506216</v>
      </c>
      <c r="H46" s="744">
        <v>4.0392206503019663</v>
      </c>
      <c r="I46" s="744">
        <v>4.0968490901035652</v>
      </c>
      <c r="J46" s="1534"/>
      <c r="K46" s="1535"/>
      <c r="L46" s="736"/>
      <c r="M46" s="736"/>
      <c r="N46" s="736"/>
      <c r="O46" s="736"/>
      <c r="P46" s="736"/>
      <c r="Q46" s="736"/>
      <c r="R46" s="736"/>
      <c r="S46" s="736"/>
      <c r="T46" s="736"/>
      <c r="U46" s="736"/>
      <c r="V46" s="736"/>
      <c r="W46" s="736"/>
      <c r="X46" s="736"/>
      <c r="Y46" s="736"/>
      <c r="Z46" s="736"/>
      <c r="AA46" s="736"/>
      <c r="AB46" s="736"/>
      <c r="AC46" s="736"/>
      <c r="AD46" s="736"/>
      <c r="AE46" s="736"/>
      <c r="AF46" s="736"/>
      <c r="AG46" s="736"/>
      <c r="AH46" s="736"/>
      <c r="AI46" s="736"/>
      <c r="AJ46" s="736"/>
      <c r="AK46" s="736"/>
      <c r="AL46" s="736"/>
      <c r="AM46" s="736"/>
      <c r="AN46" s="736"/>
      <c r="AO46" s="736"/>
      <c r="AP46" s="736"/>
      <c r="AQ46" s="736"/>
      <c r="AR46" s="736"/>
      <c r="AS46" s="736"/>
      <c r="AT46" s="736"/>
      <c r="AU46" s="736"/>
      <c r="AV46" s="736"/>
      <c r="AW46" s="736"/>
      <c r="AX46" s="736"/>
      <c r="AY46" s="736"/>
      <c r="AZ46" s="736"/>
      <c r="BA46" s="736"/>
      <c r="BB46" s="736"/>
      <c r="BC46" s="736"/>
      <c r="BD46" s="736"/>
      <c r="BE46" s="736"/>
      <c r="BF46" s="736"/>
      <c r="BG46" s="736"/>
      <c r="BH46" s="736"/>
      <c r="BI46" s="736"/>
      <c r="BJ46" s="736"/>
      <c r="BK46" s="736"/>
      <c r="BL46" s="736"/>
      <c r="BM46" s="736"/>
      <c r="BN46" s="736"/>
      <c r="BO46" s="736"/>
      <c r="BP46" s="736"/>
      <c r="BQ46" s="736"/>
      <c r="BR46" s="736"/>
      <c r="BS46" s="736"/>
      <c r="BT46" s="736"/>
    </row>
    <row r="47" spans="1:72" x14ac:dyDescent="0.25">
      <c r="A47" s="742" t="s">
        <v>309</v>
      </c>
      <c r="B47" s="737" t="s">
        <v>569</v>
      </c>
      <c r="C47" s="746"/>
      <c r="D47" s="746"/>
      <c r="E47" s="746">
        <v>24.686324737923844</v>
      </c>
      <c r="F47" s="746">
        <v>23.090083577893328</v>
      </c>
      <c r="G47" s="746">
        <v>23.196746158381607</v>
      </c>
      <c r="H47" s="746">
        <v>23.268531873857007</v>
      </c>
      <c r="I47" s="746">
        <v>23.201243175360347</v>
      </c>
      <c r="J47" s="1534"/>
      <c r="K47" s="1535"/>
      <c r="L47" s="736"/>
      <c r="M47" s="736"/>
      <c r="N47" s="736"/>
      <c r="O47" s="736"/>
      <c r="P47" s="736"/>
      <c r="Q47" s="736"/>
      <c r="R47" s="736"/>
      <c r="S47" s="736"/>
      <c r="T47" s="736"/>
      <c r="U47" s="736"/>
      <c r="V47" s="736"/>
      <c r="W47" s="736"/>
      <c r="X47" s="736"/>
      <c r="Y47" s="736"/>
      <c r="Z47" s="736"/>
      <c r="AA47" s="736"/>
      <c r="AB47" s="736"/>
      <c r="AC47" s="736"/>
      <c r="AD47" s="736"/>
      <c r="AE47" s="736"/>
      <c r="AF47" s="736"/>
      <c r="AG47" s="736"/>
      <c r="AH47" s="736"/>
      <c r="AI47" s="736"/>
      <c r="AJ47" s="736"/>
      <c r="AK47" s="736"/>
      <c r="AL47" s="736"/>
      <c r="AM47" s="736"/>
      <c r="AN47" s="736"/>
      <c r="AO47" s="736"/>
      <c r="AP47" s="736"/>
      <c r="AQ47" s="736"/>
      <c r="AR47" s="736"/>
      <c r="AS47" s="736"/>
      <c r="AT47" s="736"/>
      <c r="AU47" s="736"/>
      <c r="AV47" s="736"/>
      <c r="AW47" s="736"/>
      <c r="AX47" s="736"/>
      <c r="AY47" s="736"/>
      <c r="AZ47" s="736"/>
      <c r="BA47" s="736"/>
      <c r="BB47" s="736"/>
      <c r="BC47" s="736"/>
      <c r="BD47" s="736"/>
      <c r="BE47" s="736"/>
      <c r="BF47" s="736"/>
      <c r="BG47" s="736"/>
      <c r="BH47" s="736"/>
      <c r="BI47" s="736"/>
      <c r="BJ47" s="736"/>
      <c r="BK47" s="736"/>
      <c r="BL47" s="736"/>
      <c r="BM47" s="736"/>
      <c r="BN47" s="736"/>
      <c r="BO47" s="736"/>
      <c r="BP47" s="736"/>
      <c r="BQ47" s="736"/>
      <c r="BR47" s="736"/>
      <c r="BS47" s="736"/>
      <c r="BT47" s="736"/>
    </row>
    <row r="48" spans="1:72" ht="39.6" x14ac:dyDescent="0.25">
      <c r="A48" s="756" t="s">
        <v>755</v>
      </c>
      <c r="B48" s="749" t="s">
        <v>564</v>
      </c>
      <c r="C48" s="744"/>
      <c r="D48" s="744"/>
      <c r="E48" s="744">
        <v>10</v>
      </c>
      <c r="F48" s="744">
        <v>10</v>
      </c>
      <c r="G48" s="744">
        <v>10</v>
      </c>
      <c r="H48" s="744">
        <v>10</v>
      </c>
      <c r="I48" s="744"/>
      <c r="J48" s="1534"/>
      <c r="K48" s="1535"/>
      <c r="L48" s="736"/>
      <c r="M48" s="736"/>
      <c r="N48" s="736"/>
      <c r="O48" s="736"/>
      <c r="P48" s="736"/>
      <c r="Q48" s="736"/>
      <c r="R48" s="736"/>
      <c r="S48" s="736"/>
      <c r="T48" s="736"/>
      <c r="U48" s="736"/>
      <c r="V48" s="736"/>
      <c r="W48" s="736"/>
      <c r="X48" s="736"/>
      <c r="Y48" s="736"/>
      <c r="Z48" s="736"/>
      <c r="AA48" s="736"/>
      <c r="AB48" s="736"/>
      <c r="AC48" s="736"/>
      <c r="AD48" s="736"/>
      <c r="AE48" s="736"/>
      <c r="AF48" s="736"/>
      <c r="AG48" s="736"/>
      <c r="AH48" s="736"/>
      <c r="AI48" s="736"/>
      <c r="AJ48" s="736"/>
      <c r="AK48" s="736"/>
      <c r="AL48" s="736"/>
      <c r="AM48" s="736"/>
      <c r="AN48" s="736"/>
      <c r="AO48" s="736"/>
      <c r="AP48" s="736"/>
      <c r="AQ48" s="736"/>
      <c r="AR48" s="736"/>
      <c r="AS48" s="736"/>
      <c r="AT48" s="736"/>
      <c r="AU48" s="736"/>
      <c r="AV48" s="736"/>
      <c r="AW48" s="736"/>
      <c r="AX48" s="736"/>
      <c r="AY48" s="736"/>
      <c r="AZ48" s="736"/>
      <c r="BA48" s="736"/>
      <c r="BB48" s="736"/>
      <c r="BC48" s="736"/>
      <c r="BD48" s="736"/>
      <c r="BE48" s="736"/>
      <c r="BF48" s="736"/>
      <c r="BG48" s="736"/>
      <c r="BH48" s="736"/>
      <c r="BI48" s="736"/>
      <c r="BJ48" s="736"/>
      <c r="BK48" s="736"/>
      <c r="BL48" s="736"/>
      <c r="BM48" s="736"/>
      <c r="BN48" s="736"/>
      <c r="BO48" s="736"/>
      <c r="BP48" s="736"/>
      <c r="BQ48" s="736"/>
      <c r="BR48" s="736"/>
      <c r="BS48" s="736"/>
      <c r="BT48" s="736"/>
    </row>
    <row r="49" spans="1:72" x14ac:dyDescent="0.25">
      <c r="B49" s="755" t="s">
        <v>754</v>
      </c>
      <c r="C49" s="753"/>
      <c r="D49" s="753"/>
      <c r="E49" s="753">
        <f>E48*$B$61</f>
        <v>0.65713983050847458</v>
      </c>
      <c r="F49" s="753">
        <f>F48*$B$61</f>
        <v>0.65713983050847458</v>
      </c>
      <c r="G49" s="753">
        <f>G48*$B$61</f>
        <v>0.65713983050847458</v>
      </c>
      <c r="H49" s="753">
        <f>H48*$B$61</f>
        <v>0.65713983050847458</v>
      </c>
      <c r="I49" s="753"/>
      <c r="J49" s="753"/>
      <c r="K49" s="754"/>
      <c r="L49" s="736"/>
      <c r="M49" s="736"/>
      <c r="N49" s="736"/>
      <c r="O49" s="736"/>
      <c r="P49" s="736"/>
      <c r="Q49" s="736"/>
      <c r="R49" s="736"/>
      <c r="S49" s="736"/>
      <c r="T49" s="736"/>
      <c r="U49" s="736"/>
      <c r="V49" s="736"/>
      <c r="W49" s="736"/>
      <c r="X49" s="736"/>
      <c r="Y49" s="736"/>
      <c r="Z49" s="736"/>
      <c r="AA49" s="736"/>
      <c r="AB49" s="736"/>
      <c r="AC49" s="736"/>
      <c r="AD49" s="736"/>
      <c r="AE49" s="736"/>
      <c r="AF49" s="736"/>
      <c r="AG49" s="736"/>
      <c r="AH49" s="736"/>
      <c r="AI49" s="736"/>
      <c r="AJ49" s="736"/>
      <c r="AK49" s="736"/>
      <c r="AL49" s="736"/>
      <c r="AM49" s="736"/>
      <c r="AN49" s="736"/>
      <c r="AO49" s="736"/>
      <c r="AP49" s="736"/>
      <c r="AQ49" s="736"/>
      <c r="AR49" s="736"/>
      <c r="AS49" s="736"/>
      <c r="AT49" s="736"/>
      <c r="AU49" s="736"/>
      <c r="AV49" s="736"/>
      <c r="AW49" s="736"/>
      <c r="AX49" s="736"/>
      <c r="AY49" s="736"/>
      <c r="AZ49" s="736"/>
      <c r="BA49" s="736"/>
      <c r="BB49" s="736"/>
      <c r="BC49" s="736"/>
      <c r="BD49" s="736"/>
      <c r="BE49" s="736"/>
      <c r="BF49" s="736"/>
      <c r="BG49" s="736"/>
      <c r="BH49" s="736"/>
      <c r="BI49" s="736"/>
      <c r="BJ49" s="736"/>
      <c r="BK49" s="736"/>
      <c r="BL49" s="736"/>
      <c r="BM49" s="736"/>
      <c r="BN49" s="736"/>
      <c r="BO49" s="736"/>
      <c r="BP49" s="736"/>
      <c r="BQ49" s="736"/>
      <c r="BR49" s="736"/>
      <c r="BS49" s="736"/>
      <c r="BT49" s="736"/>
    </row>
    <row r="50" spans="1:72" ht="26.4" x14ac:dyDescent="0.25">
      <c r="A50" s="756" t="s">
        <v>756</v>
      </c>
      <c r="B50" s="649" t="s">
        <v>569</v>
      </c>
      <c r="C50" s="744"/>
      <c r="D50" s="744"/>
      <c r="E50" s="744">
        <f>E49+E46</f>
        <v>4.5838684338682461</v>
      </c>
      <c r="F50" s="744">
        <f>F49+F46</f>
        <v>4.0597161215687381</v>
      </c>
      <c r="G50" s="744">
        <f>G49+G46</f>
        <v>4.3790043270590964</v>
      </c>
      <c r="H50" s="744">
        <f>H49+H46</f>
        <v>4.6963604808104407</v>
      </c>
      <c r="I50" s="744"/>
      <c r="J50" s="753"/>
      <c r="K50" s="754"/>
      <c r="L50" s="736"/>
      <c r="M50" s="736"/>
      <c r="N50" s="736"/>
      <c r="O50" s="736"/>
      <c r="P50" s="736"/>
      <c r="Q50" s="736"/>
      <c r="R50" s="736"/>
      <c r="S50" s="736"/>
      <c r="T50" s="736"/>
      <c r="U50" s="736"/>
      <c r="V50" s="736"/>
      <c r="W50" s="736"/>
      <c r="X50" s="736"/>
      <c r="Y50" s="736"/>
      <c r="Z50" s="736"/>
      <c r="AA50" s="736"/>
      <c r="AB50" s="736"/>
      <c r="AC50" s="736"/>
      <c r="AD50" s="736"/>
      <c r="AE50" s="736"/>
      <c r="AF50" s="736"/>
      <c r="AG50" s="736"/>
      <c r="AH50" s="736"/>
      <c r="AI50" s="736"/>
      <c r="AJ50" s="736"/>
      <c r="AK50" s="736"/>
      <c r="AL50" s="736"/>
      <c r="AM50" s="736"/>
      <c r="AN50" s="736"/>
      <c r="AO50" s="736"/>
      <c r="AP50" s="736"/>
      <c r="AQ50" s="736"/>
      <c r="AR50" s="736"/>
      <c r="AS50" s="736"/>
      <c r="AT50" s="736"/>
      <c r="AU50" s="736"/>
      <c r="AV50" s="736"/>
      <c r="AW50" s="736"/>
      <c r="AX50" s="736"/>
      <c r="AY50" s="736"/>
      <c r="AZ50" s="736"/>
      <c r="BA50" s="736"/>
      <c r="BB50" s="736"/>
      <c r="BC50" s="736"/>
      <c r="BD50" s="736"/>
      <c r="BE50" s="736"/>
      <c r="BF50" s="736"/>
      <c r="BG50" s="736"/>
      <c r="BH50" s="736"/>
      <c r="BI50" s="736"/>
      <c r="BJ50" s="736"/>
      <c r="BK50" s="736"/>
      <c r="BL50" s="736"/>
      <c r="BM50" s="736"/>
      <c r="BN50" s="736"/>
      <c r="BO50" s="736"/>
      <c r="BP50" s="736"/>
      <c r="BQ50" s="736"/>
      <c r="BR50" s="736"/>
      <c r="BS50" s="736"/>
      <c r="BT50" s="736"/>
    </row>
    <row r="51" spans="1:72" x14ac:dyDescent="0.25">
      <c r="B51" s="755"/>
      <c r="C51" s="753"/>
      <c r="D51" s="753"/>
      <c r="E51" s="753"/>
      <c r="F51" s="753"/>
      <c r="G51" s="753"/>
      <c r="H51" s="753"/>
      <c r="I51" s="753"/>
      <c r="J51" s="753"/>
      <c r="K51" s="754"/>
      <c r="L51" s="736"/>
      <c r="M51" s="736"/>
      <c r="N51" s="736"/>
      <c r="O51" s="736"/>
      <c r="P51" s="736"/>
      <c r="Q51" s="736"/>
      <c r="R51" s="736"/>
      <c r="S51" s="736"/>
      <c r="T51" s="736"/>
      <c r="U51" s="736"/>
      <c r="V51" s="736"/>
      <c r="W51" s="736"/>
      <c r="X51" s="736"/>
      <c r="Y51" s="736"/>
      <c r="Z51" s="736"/>
      <c r="AA51" s="736"/>
      <c r="AB51" s="736"/>
      <c r="AC51" s="736"/>
      <c r="AD51" s="736"/>
      <c r="AE51" s="736"/>
      <c r="AF51" s="736"/>
      <c r="AG51" s="736"/>
      <c r="AH51" s="736"/>
      <c r="AI51" s="736"/>
      <c r="AJ51" s="736"/>
      <c r="AK51" s="736"/>
      <c r="AL51" s="736"/>
      <c r="AM51" s="736"/>
      <c r="AN51" s="736"/>
      <c r="AO51" s="736"/>
      <c r="AP51" s="736"/>
      <c r="AQ51" s="736"/>
      <c r="AR51" s="736"/>
      <c r="AS51" s="736"/>
      <c r="AT51" s="736"/>
      <c r="AU51" s="736"/>
      <c r="AV51" s="736"/>
      <c r="AW51" s="736"/>
      <c r="AX51" s="736"/>
      <c r="AY51" s="736"/>
      <c r="AZ51" s="736"/>
      <c r="BA51" s="736"/>
      <c r="BB51" s="736"/>
      <c r="BC51" s="736"/>
      <c r="BD51" s="736"/>
      <c r="BE51" s="736"/>
      <c r="BF51" s="736"/>
      <c r="BG51" s="736"/>
      <c r="BH51" s="736"/>
      <c r="BI51" s="736"/>
      <c r="BJ51" s="736"/>
      <c r="BK51" s="736"/>
      <c r="BL51" s="736"/>
      <c r="BM51" s="736"/>
      <c r="BN51" s="736"/>
      <c r="BO51" s="736"/>
      <c r="BP51" s="736"/>
      <c r="BQ51" s="736"/>
      <c r="BR51" s="736"/>
      <c r="BS51" s="736"/>
      <c r="BT51" s="736"/>
    </row>
    <row r="52" spans="1:72" x14ac:dyDescent="0.25">
      <c r="A52" s="752" t="s">
        <v>747</v>
      </c>
      <c r="B52" s="753"/>
      <c r="C52" s="753"/>
      <c r="D52" s="753"/>
      <c r="E52" s="753"/>
      <c r="F52" s="753"/>
      <c r="G52" s="753"/>
      <c r="H52" s="753"/>
      <c r="I52" s="753"/>
      <c r="J52" s="753"/>
      <c r="K52" s="754"/>
      <c r="L52" s="736"/>
      <c r="M52" s="736"/>
      <c r="N52" s="736"/>
      <c r="O52" s="736"/>
      <c r="P52" s="736"/>
      <c r="Q52" s="736"/>
      <c r="R52" s="736"/>
      <c r="S52" s="736"/>
      <c r="T52" s="736"/>
      <c r="U52" s="736"/>
      <c r="V52" s="736"/>
      <c r="W52" s="736"/>
      <c r="X52" s="736"/>
      <c r="Y52" s="736"/>
      <c r="Z52" s="736"/>
      <c r="AA52" s="736"/>
      <c r="AB52" s="736"/>
      <c r="AC52" s="736"/>
      <c r="AD52" s="736"/>
      <c r="AE52" s="736"/>
      <c r="AF52" s="736"/>
      <c r="AG52" s="736"/>
      <c r="AH52" s="736"/>
      <c r="AI52" s="736"/>
      <c r="AJ52" s="736"/>
      <c r="AK52" s="736"/>
      <c r="AL52" s="736"/>
      <c r="AM52" s="736"/>
      <c r="AN52" s="736"/>
      <c r="AO52" s="736"/>
      <c r="AP52" s="736"/>
      <c r="AQ52" s="736"/>
      <c r="AR52" s="736"/>
      <c r="AS52" s="736"/>
      <c r="AT52" s="736"/>
      <c r="AU52" s="736"/>
      <c r="AV52" s="736"/>
      <c r="AW52" s="736"/>
      <c r="AX52" s="736"/>
      <c r="AY52" s="736"/>
      <c r="AZ52" s="736"/>
      <c r="BA52" s="736"/>
      <c r="BB52" s="736"/>
      <c r="BC52" s="736"/>
      <c r="BD52" s="736"/>
      <c r="BE52" s="736"/>
      <c r="BF52" s="736"/>
      <c r="BG52" s="736"/>
      <c r="BH52" s="736"/>
      <c r="BI52" s="736"/>
      <c r="BJ52" s="736"/>
      <c r="BK52" s="736"/>
      <c r="BL52" s="736"/>
      <c r="BM52" s="736"/>
      <c r="BN52" s="736"/>
      <c r="BO52" s="736"/>
      <c r="BP52" s="736"/>
      <c r="BQ52" s="736"/>
      <c r="BR52" s="736"/>
      <c r="BS52" s="736"/>
      <c r="BT52" s="736"/>
    </row>
    <row r="53" spans="1:72" x14ac:dyDescent="0.25">
      <c r="A53" s="1536" t="s">
        <v>748</v>
      </c>
      <c r="B53" s="1519"/>
      <c r="C53" s="1519"/>
      <c r="D53" s="1519"/>
      <c r="E53" s="1519"/>
      <c r="F53" s="1519"/>
      <c r="G53" s="1519"/>
      <c r="H53" s="1519"/>
      <c r="I53" s="1519"/>
      <c r="J53" s="1519"/>
      <c r="K53" s="1537"/>
      <c r="L53" s="736"/>
      <c r="M53" s="736"/>
      <c r="N53" s="736"/>
      <c r="O53" s="736"/>
      <c r="P53" s="736"/>
      <c r="Q53" s="736"/>
      <c r="R53" s="736"/>
      <c r="S53" s="736"/>
      <c r="T53" s="736"/>
      <c r="U53" s="736"/>
      <c r="V53" s="736"/>
      <c r="W53" s="736"/>
      <c r="X53" s="736"/>
      <c r="Y53" s="736"/>
      <c r="Z53" s="736"/>
      <c r="AA53" s="736"/>
      <c r="AB53" s="736"/>
      <c r="AC53" s="736"/>
      <c r="AD53" s="736"/>
      <c r="AE53" s="736"/>
      <c r="AF53" s="736"/>
      <c r="AG53" s="736"/>
      <c r="AH53" s="736"/>
      <c r="AI53" s="736"/>
      <c r="AJ53" s="736"/>
      <c r="AK53" s="736"/>
      <c r="AL53" s="736"/>
      <c r="AM53" s="736"/>
      <c r="AN53" s="736"/>
      <c r="AO53" s="736"/>
      <c r="AP53" s="736"/>
      <c r="AQ53" s="736"/>
      <c r="AR53" s="736"/>
      <c r="AS53" s="736"/>
      <c r="AT53" s="736"/>
      <c r="AU53" s="736"/>
      <c r="AV53" s="736"/>
      <c r="AW53" s="736"/>
      <c r="AX53" s="736"/>
      <c r="AY53" s="736"/>
      <c r="AZ53" s="736"/>
      <c r="BA53" s="736"/>
      <c r="BB53" s="736"/>
      <c r="BC53" s="736"/>
      <c r="BD53" s="736"/>
      <c r="BE53" s="736"/>
      <c r="BF53" s="736"/>
      <c r="BG53" s="736"/>
      <c r="BH53" s="736"/>
      <c r="BI53" s="736"/>
      <c r="BJ53" s="736"/>
      <c r="BK53" s="736"/>
      <c r="BL53" s="736"/>
      <c r="BM53" s="736"/>
      <c r="BN53" s="736"/>
      <c r="BO53" s="736"/>
      <c r="BP53" s="736"/>
      <c r="BQ53" s="736"/>
      <c r="BR53" s="736"/>
      <c r="BS53" s="736"/>
      <c r="BT53" s="736"/>
    </row>
    <row r="54" spans="1:72" x14ac:dyDescent="0.25">
      <c r="A54" s="1538" t="s">
        <v>317</v>
      </c>
      <c r="B54" s="1539"/>
      <c r="C54" s="1539"/>
      <c r="D54" s="1539"/>
      <c r="E54" s="1539"/>
      <c r="F54" s="1539"/>
      <c r="G54" s="1539"/>
      <c r="H54" s="1539"/>
      <c r="I54" s="1539"/>
      <c r="J54" s="1539"/>
      <c r="K54" s="1540"/>
      <c r="L54" s="736"/>
      <c r="M54" s="736"/>
      <c r="N54" s="736"/>
      <c r="O54" s="736"/>
      <c r="P54" s="736"/>
      <c r="Q54" s="736"/>
      <c r="R54" s="736"/>
      <c r="S54" s="736"/>
      <c r="T54" s="736"/>
      <c r="U54" s="736"/>
      <c r="V54" s="736"/>
      <c r="W54" s="736"/>
      <c r="X54" s="736"/>
      <c r="Y54" s="736"/>
      <c r="Z54" s="736"/>
      <c r="AA54" s="736"/>
      <c r="AB54" s="736"/>
      <c r="AC54" s="736"/>
      <c r="AD54" s="736"/>
      <c r="AE54" s="736"/>
      <c r="AF54" s="736"/>
      <c r="AG54" s="736"/>
      <c r="AH54" s="736"/>
      <c r="AI54" s="736"/>
      <c r="AJ54" s="736"/>
      <c r="AK54" s="736"/>
      <c r="AL54" s="736"/>
      <c r="AM54" s="736"/>
      <c r="AN54" s="736"/>
      <c r="AO54" s="736"/>
      <c r="AP54" s="736"/>
      <c r="AQ54" s="736"/>
      <c r="AR54" s="736"/>
      <c r="AS54" s="736"/>
      <c r="AT54" s="736"/>
      <c r="AU54" s="736"/>
      <c r="AV54" s="736"/>
      <c r="AW54" s="736"/>
      <c r="AX54" s="736"/>
      <c r="AY54" s="736"/>
      <c r="AZ54" s="736"/>
      <c r="BA54" s="736"/>
      <c r="BB54" s="736"/>
      <c r="BC54" s="736"/>
      <c r="BD54" s="736"/>
      <c r="BE54" s="736"/>
      <c r="BF54" s="736"/>
      <c r="BG54" s="736"/>
      <c r="BH54" s="736"/>
      <c r="BI54" s="736"/>
      <c r="BJ54" s="736"/>
      <c r="BK54" s="736"/>
      <c r="BL54" s="736"/>
      <c r="BM54" s="736"/>
      <c r="BN54" s="736"/>
      <c r="BO54" s="736"/>
      <c r="BP54" s="736"/>
      <c r="BQ54" s="736"/>
      <c r="BR54" s="736"/>
      <c r="BS54" s="736"/>
      <c r="BT54" s="736"/>
    </row>
    <row r="55" spans="1:72" x14ac:dyDescent="0.25">
      <c r="A55" s="1538"/>
      <c r="B55" s="1539"/>
      <c r="C55" s="1539"/>
      <c r="D55" s="1539"/>
      <c r="E55" s="1539"/>
      <c r="F55" s="1539"/>
      <c r="G55" s="1539"/>
      <c r="H55" s="1539"/>
      <c r="I55" s="1539"/>
      <c r="J55" s="1539"/>
      <c r="K55" s="1540"/>
      <c r="L55" s="736"/>
      <c r="M55" s="736"/>
      <c r="N55" s="736"/>
      <c r="O55" s="736"/>
      <c r="P55" s="736"/>
      <c r="Q55" s="736"/>
      <c r="R55" s="736"/>
      <c r="S55" s="736"/>
      <c r="T55" s="736"/>
      <c r="U55" s="736"/>
      <c r="V55" s="736"/>
      <c r="W55" s="736"/>
      <c r="X55" s="736"/>
      <c r="Y55" s="736"/>
      <c r="Z55" s="736"/>
      <c r="AA55" s="736"/>
      <c r="AB55" s="736"/>
      <c r="AC55" s="736"/>
      <c r="AD55" s="736"/>
      <c r="AE55" s="736"/>
      <c r="AF55" s="736"/>
      <c r="AG55" s="736"/>
      <c r="AH55" s="736"/>
      <c r="AI55" s="736"/>
      <c r="AJ55" s="736"/>
      <c r="AK55" s="736"/>
      <c r="AL55" s="736"/>
      <c r="AM55" s="736"/>
      <c r="AN55" s="736"/>
      <c r="AO55" s="736"/>
      <c r="AP55" s="736"/>
      <c r="AQ55" s="736"/>
      <c r="AR55" s="736"/>
      <c r="AS55" s="736"/>
      <c r="AT55" s="736"/>
      <c r="AU55" s="736"/>
      <c r="AV55" s="736"/>
      <c r="AW55" s="736"/>
      <c r="AX55" s="736"/>
      <c r="AY55" s="736"/>
      <c r="AZ55" s="736"/>
      <c r="BA55" s="736"/>
      <c r="BB55" s="736"/>
      <c r="BC55" s="736"/>
      <c r="BD55" s="736"/>
      <c r="BE55" s="736"/>
      <c r="BF55" s="736"/>
      <c r="BG55" s="736"/>
      <c r="BH55" s="736"/>
      <c r="BI55" s="736"/>
      <c r="BJ55" s="736"/>
      <c r="BK55" s="736"/>
      <c r="BL55" s="736"/>
      <c r="BM55" s="736"/>
      <c r="BN55" s="736"/>
      <c r="BO55" s="736"/>
      <c r="BP55" s="736"/>
      <c r="BQ55" s="736"/>
      <c r="BR55" s="736"/>
      <c r="BS55" s="736"/>
      <c r="BT55" s="736"/>
    </row>
    <row r="56" spans="1:72" ht="13.8" thickBot="1" x14ac:dyDescent="0.3">
      <c r="A56" s="1529" t="s">
        <v>749</v>
      </c>
      <c r="B56" s="1530"/>
      <c r="C56" s="1530"/>
      <c r="D56" s="1530"/>
      <c r="E56" s="1530"/>
      <c r="F56" s="1530"/>
      <c r="G56" s="1530"/>
      <c r="H56" s="1530"/>
      <c r="I56" s="1530"/>
      <c r="J56" s="1530"/>
      <c r="K56" s="1531"/>
      <c r="L56" s="736"/>
      <c r="M56" s="736"/>
      <c r="N56" s="736"/>
      <c r="O56" s="736"/>
      <c r="P56" s="736"/>
      <c r="Q56" s="736"/>
      <c r="R56" s="736"/>
      <c r="S56" s="736"/>
      <c r="T56" s="736"/>
      <c r="U56" s="736"/>
      <c r="V56" s="736"/>
      <c r="W56" s="736"/>
      <c r="X56" s="736"/>
      <c r="Y56" s="736"/>
      <c r="Z56" s="736"/>
      <c r="AA56" s="736"/>
      <c r="AB56" s="736"/>
      <c r="AC56" s="736"/>
      <c r="AD56" s="736"/>
      <c r="AE56" s="736"/>
      <c r="AF56" s="736"/>
      <c r="AG56" s="736"/>
      <c r="AH56" s="736"/>
      <c r="AI56" s="736"/>
      <c r="AJ56" s="736"/>
      <c r="AK56" s="736"/>
      <c r="AL56" s="736"/>
      <c r="AM56" s="736"/>
      <c r="AN56" s="736"/>
      <c r="AO56" s="736"/>
      <c r="AP56" s="736"/>
      <c r="AQ56" s="736"/>
      <c r="AR56" s="736"/>
      <c r="AS56" s="736"/>
      <c r="AT56" s="736"/>
      <c r="AU56" s="736"/>
      <c r="AV56" s="736"/>
      <c r="AW56" s="736"/>
      <c r="AX56" s="736"/>
      <c r="AY56" s="736"/>
      <c r="AZ56" s="736"/>
      <c r="BA56" s="736"/>
      <c r="BB56" s="736"/>
      <c r="BC56" s="736"/>
      <c r="BD56" s="736"/>
      <c r="BE56" s="736"/>
      <c r="BF56" s="736"/>
      <c r="BG56" s="736"/>
      <c r="BH56" s="736"/>
      <c r="BI56" s="736"/>
      <c r="BJ56" s="736"/>
      <c r="BK56" s="736"/>
      <c r="BL56" s="736"/>
      <c r="BM56" s="736"/>
      <c r="BN56" s="736"/>
      <c r="BO56" s="736"/>
      <c r="BP56" s="736"/>
      <c r="BQ56" s="736"/>
      <c r="BR56" s="736"/>
      <c r="BS56" s="736"/>
      <c r="BT56" s="736"/>
    </row>
    <row r="57" spans="1:72" x14ac:dyDescent="0.25">
      <c r="A57" s="737"/>
      <c r="B57" s="737"/>
      <c r="C57" s="737"/>
      <c r="D57" s="737"/>
      <c r="E57" s="737"/>
      <c r="F57" s="737"/>
      <c r="G57" s="737"/>
      <c r="H57" s="737"/>
      <c r="I57" s="737"/>
      <c r="J57" s="737"/>
      <c r="K57" s="737"/>
      <c r="L57" s="736"/>
      <c r="M57" s="736"/>
      <c r="N57" s="736"/>
      <c r="O57" s="736"/>
      <c r="P57" s="736"/>
      <c r="Q57" s="736"/>
      <c r="R57" s="736"/>
      <c r="S57" s="736"/>
      <c r="T57" s="736"/>
      <c r="U57" s="736"/>
      <c r="V57" s="736"/>
      <c r="W57" s="736"/>
      <c r="X57" s="736"/>
      <c r="Y57" s="736"/>
      <c r="Z57" s="736"/>
      <c r="AA57" s="736"/>
      <c r="AB57" s="736"/>
      <c r="AC57" s="736"/>
      <c r="AD57" s="736"/>
      <c r="AE57" s="736"/>
      <c r="AF57" s="736"/>
      <c r="AG57" s="736"/>
      <c r="AH57" s="736"/>
      <c r="AI57" s="736"/>
      <c r="AJ57" s="736"/>
      <c r="AK57" s="736"/>
      <c r="AL57" s="736"/>
      <c r="AM57" s="736"/>
      <c r="AN57" s="736"/>
      <c r="AO57" s="736"/>
      <c r="AP57" s="736"/>
      <c r="AQ57" s="736"/>
      <c r="AR57" s="736"/>
      <c r="AS57" s="736"/>
      <c r="AT57" s="736"/>
      <c r="AU57" s="736"/>
      <c r="AV57" s="736"/>
      <c r="AW57" s="736"/>
      <c r="AX57" s="736"/>
      <c r="AY57" s="736"/>
      <c r="AZ57" s="736"/>
      <c r="BA57" s="736"/>
      <c r="BB57" s="736"/>
      <c r="BC57" s="736"/>
      <c r="BD57" s="736"/>
      <c r="BE57" s="736"/>
      <c r="BF57" s="736"/>
      <c r="BG57" s="736"/>
      <c r="BH57" s="736"/>
      <c r="BI57" s="736"/>
      <c r="BJ57" s="736"/>
      <c r="BK57" s="736"/>
      <c r="BL57" s="736"/>
      <c r="BM57" s="736"/>
      <c r="BN57" s="736"/>
      <c r="BO57" s="736"/>
      <c r="BP57" s="736"/>
      <c r="BQ57" s="736"/>
      <c r="BR57" s="736"/>
      <c r="BS57" s="736"/>
      <c r="BT57" s="736"/>
    </row>
    <row r="58" spans="1:72" x14ac:dyDescent="0.25">
      <c r="A58" s="736" t="s">
        <v>752</v>
      </c>
      <c r="B58" s="736"/>
      <c r="C58" s="736"/>
      <c r="D58" s="736"/>
      <c r="E58" s="736"/>
      <c r="F58" s="736"/>
      <c r="G58" s="736"/>
      <c r="H58" s="736"/>
      <c r="I58" s="736"/>
      <c r="J58" s="736"/>
      <c r="K58" s="736"/>
      <c r="L58" s="736"/>
      <c r="M58" s="736"/>
      <c r="N58" s="736"/>
      <c r="O58" s="736"/>
      <c r="P58" s="736"/>
      <c r="Q58" s="736"/>
      <c r="R58" s="736"/>
      <c r="S58" s="736"/>
      <c r="T58" s="736"/>
      <c r="U58" s="736"/>
      <c r="V58" s="736"/>
      <c r="W58" s="736"/>
      <c r="X58" s="736"/>
      <c r="Y58" s="736"/>
      <c r="Z58" s="736"/>
      <c r="AA58" s="736"/>
      <c r="AB58" s="736"/>
      <c r="AC58" s="736"/>
      <c r="AD58" s="736"/>
      <c r="AE58" s="736"/>
      <c r="AF58" s="736"/>
      <c r="AG58" s="736"/>
      <c r="AH58" s="736"/>
      <c r="AI58" s="736"/>
      <c r="AJ58" s="736"/>
      <c r="AK58" s="736"/>
      <c r="AL58" s="736"/>
      <c r="AM58" s="736"/>
      <c r="AN58" s="736"/>
      <c r="AO58" s="736"/>
      <c r="AP58" s="736"/>
      <c r="AQ58" s="736"/>
      <c r="AR58" s="736"/>
      <c r="AS58" s="736"/>
      <c r="AT58" s="736"/>
      <c r="AU58" s="736"/>
      <c r="AV58" s="736"/>
      <c r="AW58" s="736"/>
      <c r="AX58" s="736"/>
      <c r="AY58" s="736"/>
      <c r="AZ58" s="736"/>
      <c r="BA58" s="736"/>
      <c r="BB58" s="736"/>
      <c r="BC58" s="736"/>
      <c r="BD58" s="736"/>
      <c r="BE58" s="736"/>
      <c r="BF58" s="736"/>
      <c r="BG58" s="736"/>
      <c r="BH58" s="736"/>
      <c r="BI58" s="736"/>
      <c r="BJ58" s="736"/>
      <c r="BK58" s="736"/>
      <c r="BL58" s="736"/>
      <c r="BM58" s="736"/>
      <c r="BN58" s="736"/>
      <c r="BO58" s="736"/>
      <c r="BP58" s="736"/>
      <c r="BQ58" s="736"/>
      <c r="BR58" s="736"/>
      <c r="BS58" s="736"/>
      <c r="BT58" s="736"/>
    </row>
    <row r="59" spans="1:72" x14ac:dyDescent="0.25">
      <c r="A59" s="736" t="s">
        <v>751</v>
      </c>
      <c r="B59" s="736">
        <v>19022</v>
      </c>
      <c r="C59" s="736"/>
      <c r="D59" s="736"/>
      <c r="E59" s="736"/>
      <c r="F59" s="736"/>
      <c r="G59" s="736"/>
      <c r="H59" s="736"/>
      <c r="I59" s="736"/>
      <c r="J59" s="736"/>
      <c r="K59" s="736"/>
      <c r="L59" s="736"/>
      <c r="M59" s="736"/>
      <c r="N59" s="736"/>
      <c r="O59" s="736"/>
      <c r="P59" s="736"/>
      <c r="Q59" s="736"/>
      <c r="R59" s="736"/>
      <c r="S59" s="736"/>
      <c r="T59" s="736"/>
      <c r="U59" s="736"/>
      <c r="V59" s="736"/>
      <c r="W59" s="736"/>
      <c r="X59" s="736"/>
      <c r="Y59" s="736"/>
      <c r="Z59" s="736"/>
      <c r="AA59" s="736"/>
      <c r="AB59" s="736"/>
      <c r="AC59" s="736"/>
      <c r="AD59" s="736"/>
      <c r="AE59" s="736"/>
      <c r="AF59" s="736"/>
      <c r="AG59" s="736"/>
      <c r="AH59" s="736"/>
      <c r="AI59" s="736"/>
      <c r="AJ59" s="736"/>
      <c r="AK59" s="736"/>
      <c r="AL59" s="736"/>
      <c r="AM59" s="736"/>
      <c r="AN59" s="736"/>
      <c r="AO59" s="736"/>
      <c r="AP59" s="736"/>
      <c r="AQ59" s="736"/>
      <c r="AR59" s="736"/>
      <c r="AS59" s="736"/>
      <c r="AT59" s="736"/>
      <c r="AU59" s="736"/>
      <c r="AV59" s="736"/>
      <c r="AW59" s="736"/>
      <c r="AX59" s="736"/>
      <c r="AY59" s="736"/>
      <c r="AZ59" s="736"/>
      <c r="BA59" s="736"/>
      <c r="BB59" s="736"/>
      <c r="BC59" s="736"/>
      <c r="BD59" s="736"/>
      <c r="BE59" s="736"/>
      <c r="BF59" s="736"/>
      <c r="BG59" s="736"/>
      <c r="BH59" s="736"/>
      <c r="BI59" s="736"/>
      <c r="BJ59" s="736"/>
      <c r="BK59" s="736"/>
      <c r="BL59" s="736"/>
      <c r="BM59" s="736"/>
      <c r="BN59" s="736"/>
      <c r="BO59" s="736"/>
      <c r="BP59" s="736"/>
      <c r="BQ59" s="736"/>
      <c r="BR59" s="736"/>
      <c r="BS59" s="736"/>
      <c r="BT59" s="736"/>
    </row>
    <row r="60" spans="1:72" x14ac:dyDescent="0.25">
      <c r="A60" s="736" t="s">
        <v>750</v>
      </c>
      <c r="B60" s="736">
        <v>17700</v>
      </c>
      <c r="C60" s="736"/>
      <c r="D60" s="736"/>
      <c r="E60" s="736"/>
      <c r="F60" s="736"/>
      <c r="G60" s="736"/>
      <c r="H60" s="736"/>
      <c r="I60" s="736"/>
      <c r="J60" s="736"/>
      <c r="K60" s="736"/>
      <c r="L60" s="736"/>
      <c r="M60" s="736"/>
      <c r="N60" s="736"/>
      <c r="O60" s="736"/>
      <c r="P60" s="736"/>
      <c r="Q60" s="736"/>
      <c r="R60" s="736"/>
      <c r="S60" s="736"/>
      <c r="T60" s="736"/>
      <c r="U60" s="736"/>
      <c r="V60" s="736"/>
      <c r="W60" s="736"/>
      <c r="X60" s="736"/>
      <c r="Y60" s="736"/>
      <c r="Z60" s="736"/>
      <c r="AA60" s="736"/>
      <c r="AB60" s="736"/>
      <c r="AC60" s="736"/>
      <c r="AD60" s="736"/>
      <c r="AE60" s="736"/>
      <c r="AF60" s="736"/>
      <c r="AG60" s="736"/>
      <c r="AH60" s="736"/>
      <c r="AI60" s="736"/>
      <c r="AJ60" s="736"/>
      <c r="AK60" s="736"/>
      <c r="AL60" s="736"/>
      <c r="AM60" s="736"/>
      <c r="AN60" s="736"/>
      <c r="AO60" s="736"/>
      <c r="AP60" s="736"/>
      <c r="AQ60" s="736"/>
      <c r="AR60" s="736"/>
      <c r="AS60" s="736"/>
      <c r="AT60" s="736"/>
      <c r="AU60" s="736"/>
      <c r="AV60" s="736"/>
      <c r="AW60" s="736"/>
      <c r="AX60" s="736"/>
      <c r="AY60" s="736"/>
      <c r="AZ60" s="736"/>
      <c r="BA60" s="736"/>
      <c r="BB60" s="736"/>
      <c r="BC60" s="736"/>
      <c r="BD60" s="736"/>
      <c r="BE60" s="736"/>
      <c r="BF60" s="736"/>
      <c r="BG60" s="736"/>
      <c r="BH60" s="736"/>
      <c r="BI60" s="736"/>
      <c r="BJ60" s="736"/>
      <c r="BK60" s="736"/>
      <c r="BL60" s="736"/>
      <c r="BM60" s="736"/>
      <c r="BN60" s="736"/>
      <c r="BO60" s="736"/>
      <c r="BP60" s="736"/>
      <c r="BQ60" s="736"/>
      <c r="BR60" s="736"/>
      <c r="BS60" s="736"/>
      <c r="BT60" s="736"/>
    </row>
    <row r="61" spans="1:72" x14ac:dyDescent="0.25">
      <c r="A61" s="736" t="s">
        <v>753</v>
      </c>
      <c r="B61" s="736">
        <f>2.205/2000/B60*mmBTU_to_GJ*1000000</f>
        <v>6.5713983050847455E-2</v>
      </c>
      <c r="C61" s="736"/>
      <c r="D61" s="736"/>
      <c r="E61" s="736"/>
      <c r="F61" s="736"/>
      <c r="G61" s="736"/>
      <c r="H61" s="736"/>
      <c r="I61" s="736"/>
      <c r="J61" s="736"/>
      <c r="K61" s="736"/>
      <c r="L61" s="736"/>
      <c r="M61" s="736"/>
      <c r="N61" s="736"/>
      <c r="O61" s="736"/>
      <c r="P61" s="736"/>
      <c r="Q61" s="736"/>
      <c r="R61" s="736"/>
      <c r="S61" s="736"/>
      <c r="T61" s="736"/>
      <c r="U61" s="736"/>
      <c r="V61" s="736"/>
      <c r="W61" s="736"/>
      <c r="X61" s="736"/>
      <c r="Y61" s="736"/>
      <c r="Z61" s="736"/>
      <c r="AA61" s="736"/>
      <c r="AB61" s="736"/>
      <c r="AC61" s="736"/>
      <c r="AD61" s="736"/>
      <c r="AE61" s="736"/>
      <c r="AF61" s="736"/>
      <c r="AG61" s="736"/>
      <c r="AH61" s="736"/>
      <c r="AI61" s="736"/>
      <c r="AJ61" s="736"/>
      <c r="AK61" s="736"/>
      <c r="AL61" s="736"/>
      <c r="AM61" s="736"/>
      <c r="AN61" s="736"/>
      <c r="AO61" s="736"/>
      <c r="AP61" s="736"/>
      <c r="AQ61" s="736"/>
      <c r="AR61" s="736"/>
      <c r="AS61" s="736"/>
      <c r="AT61" s="736"/>
      <c r="AU61" s="736"/>
      <c r="AV61" s="736"/>
      <c r="AW61" s="736"/>
      <c r="AX61" s="736"/>
      <c r="AY61" s="736"/>
      <c r="AZ61" s="736"/>
      <c r="BA61" s="736"/>
      <c r="BB61" s="736"/>
      <c r="BC61" s="736"/>
      <c r="BD61" s="736"/>
      <c r="BE61" s="736"/>
      <c r="BF61" s="736"/>
      <c r="BG61" s="736"/>
      <c r="BH61" s="736"/>
      <c r="BI61" s="736"/>
      <c r="BJ61" s="736"/>
      <c r="BK61" s="736"/>
      <c r="BL61" s="736"/>
      <c r="BM61" s="736"/>
      <c r="BN61" s="736"/>
      <c r="BO61" s="736"/>
      <c r="BP61" s="736"/>
      <c r="BQ61" s="736"/>
      <c r="BR61" s="736"/>
      <c r="BS61" s="736"/>
      <c r="BT61" s="736"/>
    </row>
    <row r="62" spans="1:72" x14ac:dyDescent="0.25">
      <c r="A62" s="736"/>
      <c r="B62" s="736"/>
      <c r="C62" s="736"/>
      <c r="D62" s="736"/>
      <c r="E62" s="736"/>
      <c r="F62" s="736"/>
      <c r="G62" s="736"/>
      <c r="H62" s="736"/>
      <c r="I62" s="736"/>
      <c r="J62" s="736"/>
      <c r="K62" s="736"/>
      <c r="L62" s="736"/>
      <c r="M62" s="736"/>
      <c r="N62" s="736"/>
      <c r="O62" s="736"/>
      <c r="P62" s="736"/>
      <c r="Q62" s="736"/>
      <c r="R62" s="736"/>
      <c r="S62" s="736"/>
      <c r="T62" s="736"/>
      <c r="U62" s="736"/>
      <c r="V62" s="736"/>
      <c r="W62" s="736"/>
      <c r="X62" s="736"/>
      <c r="Y62" s="736"/>
      <c r="Z62" s="736"/>
      <c r="AA62" s="736"/>
      <c r="AB62" s="736"/>
      <c r="AC62" s="736"/>
      <c r="AD62" s="736"/>
      <c r="AE62" s="736"/>
      <c r="AF62" s="736"/>
      <c r="AG62" s="736"/>
      <c r="AH62" s="736"/>
      <c r="AI62" s="736"/>
      <c r="AJ62" s="736"/>
      <c r="AK62" s="736"/>
      <c r="AL62" s="736"/>
      <c r="AM62" s="736"/>
      <c r="AN62" s="736"/>
      <c r="AO62" s="736"/>
      <c r="AP62" s="736"/>
      <c r="AQ62" s="736"/>
      <c r="AR62" s="736"/>
      <c r="AS62" s="736"/>
      <c r="AT62" s="736"/>
      <c r="AU62" s="736"/>
      <c r="AV62" s="736"/>
      <c r="AW62" s="736"/>
      <c r="AX62" s="736"/>
      <c r="AY62" s="736"/>
      <c r="AZ62" s="736"/>
      <c r="BA62" s="736"/>
      <c r="BB62" s="736"/>
      <c r="BC62" s="736"/>
      <c r="BD62" s="736"/>
      <c r="BE62" s="736"/>
      <c r="BF62" s="736"/>
      <c r="BG62" s="736"/>
      <c r="BH62" s="736"/>
      <c r="BI62" s="736"/>
      <c r="BJ62" s="736"/>
      <c r="BK62" s="736"/>
      <c r="BL62" s="736"/>
      <c r="BM62" s="736"/>
      <c r="BN62" s="736"/>
      <c r="BO62" s="736"/>
      <c r="BP62" s="736"/>
      <c r="BQ62" s="736"/>
      <c r="BR62" s="736"/>
      <c r="BS62" s="736"/>
      <c r="BT62" s="736"/>
    </row>
    <row r="63" spans="1:72" x14ac:dyDescent="0.25">
      <c r="A63" s="736"/>
      <c r="B63" s="736"/>
      <c r="C63" s="736"/>
      <c r="D63" s="736"/>
      <c r="E63" s="736"/>
      <c r="F63" s="736"/>
      <c r="G63" s="736"/>
      <c r="H63" s="736"/>
      <c r="I63" s="736"/>
      <c r="J63" s="736"/>
      <c r="K63" s="736"/>
      <c r="L63" s="736"/>
      <c r="M63" s="736"/>
      <c r="N63" s="736"/>
      <c r="O63" s="736"/>
      <c r="P63" s="736"/>
      <c r="Q63" s="736"/>
      <c r="R63" s="736"/>
      <c r="S63" s="736"/>
      <c r="T63" s="736"/>
      <c r="U63" s="736"/>
      <c r="V63" s="736"/>
      <c r="W63" s="736"/>
      <c r="X63" s="736"/>
      <c r="Y63" s="736"/>
      <c r="Z63" s="736"/>
      <c r="AA63" s="736"/>
      <c r="AB63" s="736"/>
      <c r="AC63" s="736"/>
      <c r="AD63" s="736"/>
      <c r="AE63" s="736"/>
      <c r="AF63" s="736"/>
      <c r="AG63" s="736"/>
      <c r="AH63" s="736"/>
      <c r="AI63" s="736"/>
      <c r="AJ63" s="736"/>
      <c r="AK63" s="736"/>
      <c r="AL63" s="736"/>
      <c r="AM63" s="736"/>
      <c r="AN63" s="736"/>
      <c r="AO63" s="736"/>
      <c r="AP63" s="736"/>
      <c r="AQ63" s="736"/>
      <c r="AR63" s="736"/>
      <c r="AS63" s="736"/>
      <c r="AT63" s="736"/>
      <c r="AU63" s="736"/>
      <c r="AV63" s="736"/>
      <c r="AW63" s="736"/>
      <c r="AX63" s="736"/>
      <c r="AY63" s="736"/>
      <c r="AZ63" s="736"/>
      <c r="BA63" s="736"/>
      <c r="BB63" s="736"/>
      <c r="BC63" s="736"/>
      <c r="BD63" s="736"/>
      <c r="BE63" s="736"/>
      <c r="BF63" s="736"/>
      <c r="BG63" s="736"/>
      <c r="BH63" s="736"/>
      <c r="BI63" s="736"/>
      <c r="BJ63" s="736"/>
      <c r="BK63" s="736"/>
      <c r="BL63" s="736"/>
      <c r="BM63" s="736"/>
      <c r="BN63" s="736"/>
      <c r="BO63" s="736"/>
      <c r="BP63" s="736"/>
      <c r="BQ63" s="736"/>
      <c r="BR63" s="736"/>
      <c r="BS63" s="736"/>
      <c r="BT63" s="736"/>
    </row>
    <row r="64" spans="1:72" x14ac:dyDescent="0.25">
      <c r="A64" s="736"/>
      <c r="B64" s="736" t="s">
        <v>759</v>
      </c>
      <c r="C64" s="736" t="s">
        <v>760</v>
      </c>
      <c r="D64" s="736"/>
      <c r="E64" s="736"/>
      <c r="F64" s="736"/>
      <c r="G64" s="736"/>
      <c r="H64" s="736"/>
      <c r="I64" s="736"/>
      <c r="J64" s="736"/>
      <c r="K64" s="736"/>
      <c r="L64" s="736"/>
      <c r="M64" s="736"/>
      <c r="N64" s="736"/>
      <c r="O64" s="736"/>
      <c r="P64" s="736"/>
      <c r="Q64" s="736"/>
      <c r="R64" s="736"/>
      <c r="S64" s="736"/>
      <c r="T64" s="736"/>
      <c r="U64" s="736"/>
      <c r="V64" s="736"/>
      <c r="W64" s="736"/>
      <c r="X64" s="736"/>
      <c r="Y64" s="736"/>
      <c r="Z64" s="736"/>
      <c r="AA64" s="736"/>
      <c r="AB64" s="736"/>
      <c r="AC64" s="736"/>
      <c r="AD64" s="736"/>
      <c r="AE64" s="736"/>
      <c r="AF64" s="736"/>
      <c r="AG64" s="736"/>
      <c r="AH64" s="736"/>
      <c r="AI64" s="736"/>
      <c r="AJ64" s="736"/>
      <c r="AK64" s="736"/>
      <c r="AL64" s="736"/>
      <c r="AM64" s="736"/>
      <c r="AN64" s="736"/>
      <c r="AO64" s="736"/>
      <c r="AP64" s="736"/>
      <c r="AQ64" s="736"/>
      <c r="AR64" s="736"/>
      <c r="AS64" s="736"/>
      <c r="AT64" s="736"/>
      <c r="AU64" s="736"/>
      <c r="AV64" s="736"/>
      <c r="AW64" s="736"/>
      <c r="AX64" s="736"/>
      <c r="AY64" s="736"/>
      <c r="AZ64" s="736"/>
      <c r="BA64" s="736"/>
      <c r="BB64" s="736"/>
      <c r="BC64" s="736"/>
      <c r="BD64" s="736"/>
      <c r="BE64" s="736"/>
      <c r="BF64" s="736"/>
      <c r="BG64" s="736"/>
      <c r="BH64" s="736"/>
      <c r="BI64" s="736"/>
      <c r="BJ64" s="736"/>
      <c r="BK64" s="736"/>
      <c r="BL64" s="736"/>
      <c r="BM64" s="736"/>
      <c r="BN64" s="736"/>
      <c r="BO64" s="736"/>
      <c r="BP64" s="736"/>
      <c r="BQ64" s="736"/>
      <c r="BR64" s="736"/>
      <c r="BS64" s="736"/>
      <c r="BT64" s="736"/>
    </row>
    <row r="65" spans="1:72" x14ac:dyDescent="0.25">
      <c r="A65" s="736"/>
      <c r="B65" s="736" t="s">
        <v>761</v>
      </c>
      <c r="C65" s="736" t="s">
        <v>762</v>
      </c>
      <c r="D65" s="736"/>
      <c r="E65" s="736"/>
      <c r="F65" s="736" t="s">
        <v>763</v>
      </c>
      <c r="G65" s="736"/>
      <c r="H65" s="736"/>
      <c r="I65" s="736"/>
      <c r="J65" s="736"/>
      <c r="K65" s="736"/>
      <c r="L65" s="736"/>
      <c r="M65" s="736"/>
      <c r="N65" s="736"/>
      <c r="O65" s="736"/>
      <c r="P65" s="736"/>
      <c r="Q65" s="736"/>
      <c r="R65" s="736"/>
      <c r="S65" s="736"/>
      <c r="T65" s="736"/>
      <c r="U65" s="736"/>
      <c r="V65" s="736"/>
      <c r="W65" s="736"/>
      <c r="X65" s="736"/>
      <c r="Y65" s="736"/>
      <c r="Z65" s="736"/>
      <c r="AA65" s="736"/>
      <c r="AB65" s="736"/>
      <c r="AC65" s="736"/>
      <c r="AD65" s="736"/>
      <c r="AE65" s="736"/>
      <c r="AF65" s="736"/>
      <c r="AG65" s="736"/>
      <c r="AH65" s="736"/>
      <c r="AI65" s="736"/>
      <c r="AJ65" s="736"/>
      <c r="AK65" s="736"/>
      <c r="AL65" s="736"/>
      <c r="AM65" s="736"/>
      <c r="AN65" s="736"/>
      <c r="AO65" s="736"/>
      <c r="AP65" s="736"/>
      <c r="AQ65" s="736"/>
      <c r="AR65" s="736"/>
      <c r="AS65" s="736"/>
      <c r="AT65" s="736"/>
      <c r="AU65" s="736"/>
      <c r="AV65" s="736"/>
      <c r="AW65" s="736"/>
      <c r="AX65" s="736"/>
      <c r="AY65" s="736"/>
      <c r="AZ65" s="736"/>
      <c r="BA65" s="736"/>
      <c r="BB65" s="736"/>
      <c r="BC65" s="736"/>
      <c r="BD65" s="736"/>
      <c r="BE65" s="736"/>
      <c r="BF65" s="736"/>
      <c r="BG65" s="736"/>
      <c r="BH65" s="736"/>
      <c r="BI65" s="736"/>
      <c r="BJ65" s="736"/>
      <c r="BK65" s="736"/>
      <c r="BL65" s="736"/>
      <c r="BM65" s="736"/>
      <c r="BN65" s="736"/>
      <c r="BO65" s="736"/>
      <c r="BP65" s="736"/>
      <c r="BQ65" s="736"/>
      <c r="BR65" s="736"/>
      <c r="BS65" s="736"/>
      <c r="BT65" s="736"/>
    </row>
    <row r="66" spans="1:72" x14ac:dyDescent="0.25">
      <c r="A66" s="736"/>
      <c r="B66" s="736" t="s">
        <v>764</v>
      </c>
      <c r="C66" s="736" t="s">
        <v>765</v>
      </c>
      <c r="D66" s="736"/>
      <c r="E66" s="736"/>
      <c r="F66" s="736"/>
      <c r="G66" s="736"/>
      <c r="H66" s="736"/>
      <c r="I66" s="736"/>
      <c r="J66" s="736"/>
      <c r="K66" s="736"/>
      <c r="L66" s="736"/>
      <c r="M66" s="736"/>
      <c r="N66" s="736"/>
      <c r="O66" s="736"/>
      <c r="P66" s="736"/>
      <c r="Q66" s="736"/>
      <c r="R66" s="736"/>
      <c r="S66" s="736"/>
      <c r="T66" s="736"/>
      <c r="U66" s="736"/>
      <c r="V66" s="736"/>
      <c r="W66" s="736"/>
      <c r="X66" s="736"/>
      <c r="Y66" s="736"/>
      <c r="Z66" s="736"/>
      <c r="AA66" s="736"/>
      <c r="AB66" s="736"/>
      <c r="AC66" s="736"/>
      <c r="AD66" s="736"/>
      <c r="AE66" s="736"/>
      <c r="AF66" s="736"/>
      <c r="AG66" s="736"/>
      <c r="AH66" s="736"/>
      <c r="AI66" s="736"/>
      <c r="AJ66" s="736"/>
      <c r="AK66" s="736"/>
      <c r="AL66" s="736"/>
      <c r="AM66" s="736"/>
      <c r="AN66" s="736"/>
      <c r="AO66" s="736"/>
      <c r="AP66" s="736"/>
      <c r="AQ66" s="736"/>
      <c r="AR66" s="736"/>
      <c r="AS66" s="736"/>
      <c r="AT66" s="736"/>
      <c r="AU66" s="736"/>
      <c r="AV66" s="736"/>
      <c r="AW66" s="736"/>
      <c r="AX66" s="736"/>
      <c r="AY66" s="736"/>
      <c r="AZ66" s="736"/>
      <c r="BA66" s="736"/>
      <c r="BB66" s="736"/>
      <c r="BC66" s="736"/>
      <c r="BD66" s="736"/>
      <c r="BE66" s="736"/>
      <c r="BF66" s="736"/>
      <c r="BG66" s="736"/>
      <c r="BH66" s="736"/>
      <c r="BI66" s="736"/>
      <c r="BJ66" s="736"/>
      <c r="BK66" s="736"/>
      <c r="BL66" s="736"/>
      <c r="BM66" s="736"/>
      <c r="BN66" s="736"/>
      <c r="BO66" s="736"/>
      <c r="BP66" s="736"/>
      <c r="BQ66" s="736"/>
      <c r="BR66" s="736"/>
      <c r="BS66" s="736"/>
      <c r="BT66" s="736"/>
    </row>
    <row r="67" spans="1:72" x14ac:dyDescent="0.25">
      <c r="A67" s="736"/>
      <c r="B67" s="736" t="s">
        <v>766</v>
      </c>
      <c r="C67" s="736"/>
      <c r="D67" s="736" t="s">
        <v>767</v>
      </c>
      <c r="E67" s="736"/>
      <c r="F67" s="736"/>
      <c r="G67" s="736"/>
      <c r="H67" s="736"/>
      <c r="I67" s="736"/>
      <c r="J67" s="736"/>
      <c r="K67" s="736"/>
      <c r="L67" s="736"/>
      <c r="M67" s="736"/>
      <c r="N67" s="736"/>
      <c r="O67" s="736"/>
      <c r="P67" s="736"/>
      <c r="Q67" s="736"/>
      <c r="R67" s="736"/>
      <c r="S67" s="736"/>
      <c r="T67" s="736"/>
      <c r="U67" s="736"/>
      <c r="V67" s="736"/>
      <c r="W67" s="736"/>
      <c r="X67" s="736"/>
      <c r="Y67" s="736"/>
      <c r="Z67" s="736"/>
      <c r="AA67" s="736"/>
      <c r="AB67" s="736"/>
      <c r="AC67" s="736"/>
      <c r="AD67" s="736"/>
      <c r="AE67" s="736"/>
      <c r="AF67" s="736"/>
      <c r="AG67" s="736"/>
      <c r="AH67" s="736"/>
      <c r="AI67" s="736"/>
      <c r="AJ67" s="736"/>
      <c r="AK67" s="736"/>
      <c r="AL67" s="736"/>
      <c r="AM67" s="736"/>
      <c r="AN67" s="736"/>
      <c r="AO67" s="736"/>
      <c r="AP67" s="736"/>
      <c r="AQ67" s="736"/>
      <c r="AR67" s="736"/>
      <c r="AS67" s="736"/>
      <c r="AT67" s="736"/>
      <c r="AU67" s="736"/>
      <c r="AV67" s="736"/>
      <c r="AW67" s="736"/>
      <c r="AX67" s="736"/>
      <c r="AY67" s="736"/>
      <c r="AZ67" s="736"/>
      <c r="BA67" s="736"/>
      <c r="BB67" s="736"/>
      <c r="BC67" s="736"/>
      <c r="BD67" s="736"/>
      <c r="BE67" s="736"/>
      <c r="BF67" s="736"/>
      <c r="BG67" s="736"/>
      <c r="BH67" s="736"/>
      <c r="BI67" s="736"/>
      <c r="BJ67" s="736"/>
      <c r="BK67" s="736"/>
      <c r="BL67" s="736"/>
      <c r="BM67" s="736"/>
      <c r="BN67" s="736"/>
      <c r="BO67" s="736"/>
      <c r="BP67" s="736"/>
      <c r="BQ67" s="736"/>
      <c r="BR67" s="736"/>
      <c r="BS67" s="736"/>
      <c r="BT67" s="736"/>
    </row>
    <row r="68" spans="1:72" x14ac:dyDescent="0.25">
      <c r="A68" s="736"/>
      <c r="B68" s="736"/>
      <c r="C68" s="736"/>
      <c r="D68" s="736"/>
      <c r="E68" s="736"/>
      <c r="F68" s="736"/>
      <c r="G68" s="736"/>
      <c r="H68" s="736"/>
      <c r="I68" s="736"/>
      <c r="J68" s="736"/>
      <c r="K68" s="736"/>
      <c r="L68" s="736"/>
      <c r="M68" s="736"/>
      <c r="N68" s="736"/>
      <c r="O68" s="736"/>
      <c r="P68" s="736"/>
      <c r="Q68" s="736"/>
      <c r="R68" s="736"/>
      <c r="S68" s="736"/>
      <c r="T68" s="736"/>
      <c r="U68" s="736"/>
      <c r="V68" s="736"/>
      <c r="W68" s="736"/>
      <c r="X68" s="736"/>
      <c r="Y68" s="736"/>
      <c r="Z68" s="736"/>
      <c r="AA68" s="736"/>
      <c r="AB68" s="736"/>
      <c r="AC68" s="736"/>
      <c r="AD68" s="736"/>
      <c r="AE68" s="736"/>
      <c r="AF68" s="736"/>
      <c r="AG68" s="736"/>
      <c r="AH68" s="736"/>
      <c r="AI68" s="736"/>
      <c r="AJ68" s="736"/>
      <c r="AK68" s="736"/>
      <c r="AL68" s="736"/>
      <c r="AM68" s="736"/>
      <c r="AN68" s="736"/>
      <c r="AO68" s="736"/>
      <c r="AP68" s="736"/>
      <c r="AQ68" s="736"/>
      <c r="AR68" s="736"/>
      <c r="AS68" s="736"/>
      <c r="AT68" s="736"/>
      <c r="AU68" s="736"/>
      <c r="AV68" s="736"/>
      <c r="AW68" s="736"/>
      <c r="AX68" s="736"/>
      <c r="AY68" s="736"/>
      <c r="AZ68" s="736"/>
      <c r="BA68" s="736"/>
      <c r="BB68" s="736"/>
      <c r="BC68" s="736"/>
      <c r="BD68" s="736"/>
      <c r="BE68" s="736"/>
      <c r="BF68" s="736"/>
      <c r="BG68" s="736"/>
      <c r="BH68" s="736"/>
      <c r="BI68" s="736"/>
      <c r="BJ68" s="736"/>
      <c r="BK68" s="736"/>
      <c r="BL68" s="736"/>
      <c r="BM68" s="736"/>
      <c r="BN68" s="736"/>
      <c r="BO68" s="736"/>
      <c r="BP68" s="736"/>
      <c r="BQ68" s="736"/>
      <c r="BR68" s="736"/>
      <c r="BS68" s="736"/>
      <c r="BT68" s="736"/>
    </row>
    <row r="69" spans="1:72" x14ac:dyDescent="0.25">
      <c r="A69" s="736"/>
      <c r="B69" s="736"/>
      <c r="C69" s="736"/>
      <c r="D69" s="736"/>
      <c r="E69" s="736"/>
      <c r="F69" s="736"/>
      <c r="G69" s="736"/>
      <c r="H69" s="736"/>
      <c r="I69" s="736"/>
      <c r="J69" s="736"/>
      <c r="K69" s="736"/>
      <c r="L69" s="736"/>
      <c r="M69" s="736"/>
      <c r="N69" s="736"/>
      <c r="O69" s="736"/>
      <c r="P69" s="736"/>
      <c r="Q69" s="736"/>
      <c r="R69" s="736"/>
      <c r="S69" s="736"/>
      <c r="T69" s="736"/>
      <c r="U69" s="736"/>
      <c r="V69" s="736"/>
      <c r="W69" s="736"/>
      <c r="X69" s="736"/>
      <c r="Y69" s="736"/>
      <c r="Z69" s="736"/>
      <c r="AA69" s="736"/>
      <c r="AB69" s="736"/>
      <c r="AC69" s="736"/>
      <c r="AD69" s="736"/>
      <c r="AE69" s="736"/>
      <c r="AF69" s="736"/>
      <c r="AG69" s="736"/>
      <c r="AH69" s="736"/>
      <c r="AI69" s="736"/>
      <c r="AJ69" s="736"/>
      <c r="AK69" s="736"/>
      <c r="AL69" s="736"/>
      <c r="AM69" s="736"/>
      <c r="AN69" s="736"/>
      <c r="AO69" s="736"/>
      <c r="AP69" s="736"/>
      <c r="AQ69" s="736"/>
      <c r="AR69" s="736"/>
      <c r="AS69" s="736"/>
      <c r="AT69" s="736"/>
      <c r="AU69" s="736"/>
      <c r="AV69" s="736"/>
      <c r="AW69" s="736"/>
      <c r="AX69" s="736"/>
      <c r="AY69" s="736"/>
      <c r="AZ69" s="736"/>
      <c r="BA69" s="736"/>
      <c r="BB69" s="736"/>
      <c r="BC69" s="736"/>
      <c r="BD69" s="736"/>
      <c r="BE69" s="736"/>
      <c r="BF69" s="736"/>
      <c r="BG69" s="736"/>
      <c r="BH69" s="736"/>
      <c r="BI69" s="736"/>
      <c r="BJ69" s="736"/>
      <c r="BK69" s="736"/>
      <c r="BL69" s="736"/>
      <c r="BM69" s="736"/>
      <c r="BN69" s="736"/>
      <c r="BO69" s="736"/>
      <c r="BP69" s="736"/>
      <c r="BQ69" s="736"/>
      <c r="BR69" s="736"/>
      <c r="BS69" s="736"/>
      <c r="BT69" s="736"/>
    </row>
    <row r="70" spans="1:72" x14ac:dyDescent="0.25">
      <c r="A70" s="736"/>
      <c r="B70" s="736"/>
      <c r="C70" s="736"/>
      <c r="D70" s="736"/>
      <c r="E70" s="736"/>
      <c r="F70" s="736"/>
      <c r="G70" s="736"/>
      <c r="H70" s="736"/>
      <c r="I70" s="736"/>
      <c r="J70" s="736"/>
      <c r="K70" s="736"/>
      <c r="L70" s="736"/>
      <c r="M70" s="736"/>
      <c r="N70" s="736"/>
      <c r="O70" s="736"/>
      <c r="P70" s="736"/>
      <c r="Q70" s="736"/>
      <c r="R70" s="736"/>
      <c r="S70" s="736"/>
      <c r="T70" s="736"/>
      <c r="U70" s="736"/>
      <c r="V70" s="736"/>
      <c r="W70" s="736"/>
      <c r="X70" s="736"/>
      <c r="Y70" s="736"/>
      <c r="Z70" s="736"/>
      <c r="AA70" s="736"/>
      <c r="AB70" s="736"/>
      <c r="AC70" s="736"/>
      <c r="AD70" s="736"/>
      <c r="AE70" s="736"/>
      <c r="AF70" s="736"/>
      <c r="AG70" s="736"/>
      <c r="AH70" s="736"/>
      <c r="AI70" s="736"/>
      <c r="AJ70" s="736"/>
      <c r="AK70" s="736"/>
      <c r="AL70" s="736"/>
      <c r="AM70" s="736"/>
      <c r="AN70" s="736"/>
      <c r="AO70" s="736"/>
      <c r="AP70" s="736"/>
      <c r="AQ70" s="736"/>
      <c r="AR70" s="736"/>
      <c r="AS70" s="736"/>
      <c r="AT70" s="736"/>
      <c r="AU70" s="736"/>
      <c r="AV70" s="736"/>
      <c r="AW70" s="736"/>
      <c r="AX70" s="736"/>
      <c r="AY70" s="736"/>
      <c r="AZ70" s="736"/>
      <c r="BA70" s="736"/>
      <c r="BB70" s="736"/>
      <c r="BC70" s="736"/>
      <c r="BD70" s="736"/>
      <c r="BE70" s="736"/>
      <c r="BF70" s="736"/>
      <c r="BG70" s="736"/>
      <c r="BH70" s="736"/>
      <c r="BI70" s="736"/>
      <c r="BJ70" s="736"/>
      <c r="BK70" s="736"/>
      <c r="BL70" s="736"/>
      <c r="BM70" s="736"/>
      <c r="BN70" s="736"/>
      <c r="BO70" s="736"/>
      <c r="BP70" s="736"/>
      <c r="BQ70" s="736"/>
      <c r="BR70" s="736"/>
      <c r="BS70" s="736"/>
      <c r="BT70" s="736"/>
    </row>
    <row r="71" spans="1:72" x14ac:dyDescent="0.25">
      <c r="A71" s="736"/>
      <c r="B71" s="736"/>
      <c r="C71" s="736"/>
      <c r="D71" s="736"/>
      <c r="E71" s="736"/>
      <c r="F71" s="736"/>
      <c r="G71" s="736"/>
      <c r="H71" s="736"/>
      <c r="I71" s="736"/>
      <c r="J71" s="736"/>
      <c r="K71" s="736"/>
      <c r="L71" s="736"/>
      <c r="M71" s="736"/>
      <c r="N71" s="736"/>
      <c r="O71" s="736"/>
      <c r="P71" s="736"/>
      <c r="Q71" s="736"/>
      <c r="R71" s="736"/>
      <c r="S71" s="736"/>
      <c r="T71" s="736"/>
      <c r="U71" s="736"/>
      <c r="V71" s="736"/>
      <c r="W71" s="736"/>
      <c r="X71" s="736"/>
      <c r="Y71" s="736"/>
      <c r="Z71" s="736"/>
      <c r="AA71" s="736"/>
      <c r="AB71" s="736"/>
      <c r="AC71" s="736"/>
      <c r="AD71" s="736"/>
      <c r="AE71" s="736"/>
      <c r="AF71" s="736"/>
      <c r="AG71" s="736"/>
      <c r="AH71" s="736"/>
      <c r="AI71" s="736"/>
      <c r="AJ71" s="736"/>
      <c r="AK71" s="736"/>
      <c r="AL71" s="736"/>
      <c r="AM71" s="736"/>
      <c r="AN71" s="736"/>
      <c r="AO71" s="736"/>
      <c r="AP71" s="736"/>
      <c r="AQ71" s="736"/>
      <c r="AR71" s="736"/>
      <c r="AS71" s="736"/>
      <c r="AT71" s="736"/>
      <c r="AU71" s="736"/>
      <c r="AV71" s="736"/>
      <c r="AW71" s="736"/>
      <c r="AX71" s="736"/>
      <c r="AY71" s="736"/>
      <c r="AZ71" s="736"/>
      <c r="BA71" s="736"/>
      <c r="BB71" s="736"/>
      <c r="BC71" s="736"/>
      <c r="BD71" s="736"/>
      <c r="BE71" s="736"/>
      <c r="BF71" s="736"/>
      <c r="BG71" s="736"/>
      <c r="BH71" s="736"/>
      <c r="BI71" s="736"/>
      <c r="BJ71" s="736"/>
      <c r="BK71" s="736"/>
      <c r="BL71" s="736"/>
      <c r="BM71" s="736"/>
      <c r="BN71" s="736"/>
      <c r="BO71" s="736"/>
      <c r="BP71" s="736"/>
      <c r="BQ71" s="736"/>
      <c r="BR71" s="736"/>
      <c r="BS71" s="736"/>
      <c r="BT71" s="736"/>
    </row>
    <row r="72" spans="1:72" x14ac:dyDescent="0.25">
      <c r="A72" s="736" t="s">
        <v>768</v>
      </c>
      <c r="B72" s="736"/>
      <c r="C72" s="736"/>
      <c r="D72" s="736"/>
      <c r="E72" s="736"/>
      <c r="F72" s="736"/>
      <c r="G72" s="736"/>
      <c r="H72" s="736"/>
      <c r="I72" s="736"/>
      <c r="J72" s="736"/>
      <c r="K72" s="736"/>
      <c r="L72" s="736"/>
      <c r="M72" s="736"/>
      <c r="N72" s="736"/>
      <c r="O72" s="736"/>
      <c r="P72" s="736"/>
      <c r="Q72" s="736"/>
      <c r="R72" s="736"/>
      <c r="S72" s="736"/>
      <c r="T72" s="736"/>
      <c r="U72" s="736"/>
      <c r="V72" s="736"/>
      <c r="W72" s="736"/>
      <c r="X72" s="736"/>
      <c r="Y72" s="736"/>
      <c r="Z72" s="736"/>
      <c r="AA72" s="736"/>
      <c r="AB72" s="736"/>
      <c r="AC72" s="736"/>
      <c r="AD72" s="736"/>
      <c r="AE72" s="736"/>
      <c r="AF72" s="736"/>
      <c r="AG72" s="736"/>
      <c r="AH72" s="736"/>
      <c r="AI72" s="736"/>
      <c r="AJ72" s="736"/>
      <c r="AK72" s="736"/>
      <c r="AL72" s="736"/>
      <c r="AM72" s="736"/>
      <c r="AN72" s="736"/>
      <c r="AO72" s="736"/>
      <c r="AP72" s="736"/>
      <c r="AQ72" s="736"/>
      <c r="AR72" s="736"/>
      <c r="AS72" s="736"/>
      <c r="AT72" s="736"/>
      <c r="AU72" s="736"/>
      <c r="AV72" s="736"/>
      <c r="AW72" s="736"/>
      <c r="AX72" s="736"/>
      <c r="AY72" s="736"/>
      <c r="AZ72" s="736"/>
      <c r="BA72" s="736"/>
      <c r="BB72" s="736"/>
      <c r="BC72" s="736"/>
      <c r="BD72" s="736"/>
      <c r="BE72" s="736"/>
      <c r="BF72" s="736"/>
      <c r="BG72" s="736"/>
      <c r="BH72" s="736"/>
      <c r="BI72" s="736"/>
      <c r="BJ72" s="736"/>
      <c r="BK72" s="736"/>
      <c r="BL72" s="736"/>
      <c r="BM72" s="736"/>
      <c r="BN72" s="736"/>
      <c r="BO72" s="736"/>
      <c r="BP72" s="736"/>
      <c r="BQ72" s="736"/>
      <c r="BR72" s="736"/>
      <c r="BS72" s="736"/>
      <c r="BT72" s="736"/>
    </row>
    <row r="73" spans="1:72" x14ac:dyDescent="0.25">
      <c r="A73" s="736"/>
      <c r="B73" s="736"/>
      <c r="C73" s="736"/>
      <c r="D73" s="736"/>
      <c r="E73" s="736"/>
      <c r="F73" s="736"/>
      <c r="G73" s="736"/>
      <c r="H73" s="736"/>
      <c r="I73" s="736"/>
      <c r="J73" s="736"/>
      <c r="K73" s="736"/>
      <c r="L73" s="736"/>
      <c r="M73" s="736"/>
      <c r="N73" s="736"/>
      <c r="O73" s="736"/>
      <c r="P73" s="736"/>
      <c r="Q73" s="736"/>
      <c r="R73" s="736"/>
      <c r="S73" s="736"/>
      <c r="T73" s="736"/>
      <c r="U73" s="736"/>
      <c r="V73" s="736"/>
      <c r="W73" s="736"/>
      <c r="X73" s="736"/>
      <c r="Y73" s="736"/>
      <c r="Z73" s="736"/>
      <c r="AA73" s="736"/>
      <c r="AB73" s="736"/>
      <c r="AC73" s="736"/>
      <c r="AD73" s="736"/>
      <c r="AE73" s="736"/>
      <c r="AF73" s="736"/>
      <c r="AG73" s="736"/>
      <c r="AH73" s="736"/>
      <c r="AI73" s="736"/>
      <c r="AJ73" s="736"/>
      <c r="AK73" s="736"/>
      <c r="AL73" s="736"/>
      <c r="AM73" s="736"/>
      <c r="AN73" s="736"/>
      <c r="AO73" s="736"/>
      <c r="AP73" s="736"/>
      <c r="AQ73" s="736"/>
      <c r="AR73" s="736"/>
      <c r="AS73" s="736"/>
      <c r="AT73" s="736"/>
      <c r="AU73" s="736"/>
      <c r="AV73" s="736"/>
      <c r="AW73" s="736"/>
      <c r="AX73" s="736"/>
      <c r="AY73" s="736"/>
      <c r="AZ73" s="736"/>
      <c r="BA73" s="736"/>
      <c r="BB73" s="736"/>
      <c r="BC73" s="736"/>
      <c r="BD73" s="736"/>
      <c r="BE73" s="736"/>
      <c r="BF73" s="736"/>
      <c r="BG73" s="736"/>
      <c r="BH73" s="736"/>
      <c r="BI73" s="736"/>
      <c r="BJ73" s="736"/>
      <c r="BK73" s="736"/>
      <c r="BL73" s="736"/>
      <c r="BM73" s="736"/>
      <c r="BN73" s="736"/>
      <c r="BO73" s="736"/>
      <c r="BP73" s="736"/>
      <c r="BQ73" s="736"/>
      <c r="BR73" s="736"/>
      <c r="BS73" s="736"/>
      <c r="BT73" s="736"/>
    </row>
    <row r="74" spans="1:72" x14ac:dyDescent="0.25">
      <c r="A74" s="736" t="s">
        <v>769</v>
      </c>
      <c r="B74" s="736"/>
      <c r="C74" s="736"/>
      <c r="D74" s="736"/>
      <c r="E74" s="736"/>
      <c r="F74" s="736"/>
      <c r="G74" s="736"/>
      <c r="H74" s="736"/>
      <c r="I74" s="736"/>
      <c r="J74" s="736"/>
      <c r="K74" s="736"/>
      <c r="L74" s="736"/>
      <c r="M74" s="736"/>
      <c r="N74" s="736"/>
      <c r="O74" s="736"/>
      <c r="P74" s="736"/>
      <c r="Q74" s="736"/>
      <c r="R74" s="736"/>
      <c r="S74" s="736"/>
      <c r="T74" s="736"/>
      <c r="U74" s="736"/>
      <c r="V74" s="736"/>
      <c r="W74" s="736"/>
      <c r="X74" s="736"/>
      <c r="Y74" s="736"/>
      <c r="Z74" s="736"/>
      <c r="AA74" s="736"/>
      <c r="AB74" s="736"/>
      <c r="AC74" s="736"/>
      <c r="AD74" s="736"/>
      <c r="AE74" s="736"/>
      <c r="AF74" s="736"/>
      <c r="AG74" s="736"/>
      <c r="AH74" s="736"/>
      <c r="AI74" s="736"/>
      <c r="AJ74" s="736"/>
      <c r="AK74" s="736"/>
      <c r="AL74" s="736"/>
      <c r="AM74" s="736"/>
      <c r="AN74" s="736"/>
      <c r="AO74" s="736"/>
      <c r="AP74" s="736"/>
      <c r="AQ74" s="736"/>
      <c r="AR74" s="736"/>
      <c r="AS74" s="736"/>
      <c r="AT74" s="736"/>
      <c r="AU74" s="736"/>
      <c r="AV74" s="736"/>
      <c r="AW74" s="736"/>
      <c r="AX74" s="736"/>
      <c r="AY74" s="736"/>
      <c r="AZ74" s="736"/>
      <c r="BA74" s="736"/>
      <c r="BB74" s="736"/>
      <c r="BC74" s="736"/>
      <c r="BD74" s="736"/>
      <c r="BE74" s="736"/>
      <c r="BF74" s="736"/>
      <c r="BG74" s="736"/>
      <c r="BH74" s="736"/>
      <c r="BI74" s="736"/>
      <c r="BJ74" s="736"/>
      <c r="BK74" s="736"/>
      <c r="BL74" s="736"/>
      <c r="BM74" s="736"/>
      <c r="BN74" s="736"/>
      <c r="BO74" s="736"/>
      <c r="BP74" s="736"/>
      <c r="BQ74" s="736"/>
      <c r="BR74" s="736"/>
      <c r="BS74" s="736"/>
      <c r="BT74" s="736"/>
    </row>
    <row r="75" spans="1:72" x14ac:dyDescent="0.25">
      <c r="A75" s="736" t="s">
        <v>770</v>
      </c>
      <c r="B75" s="736"/>
      <c r="C75" s="736"/>
      <c r="D75" s="736"/>
      <c r="E75" s="736"/>
      <c r="F75" s="736"/>
      <c r="G75" s="736"/>
      <c r="H75" s="736"/>
      <c r="I75" s="736"/>
      <c r="J75" s="736"/>
      <c r="K75" s="736"/>
      <c r="L75" s="736"/>
      <c r="M75" s="736"/>
      <c r="N75" s="736"/>
      <c r="O75" s="736"/>
      <c r="P75" s="736"/>
      <c r="Q75" s="736"/>
      <c r="R75" s="736"/>
      <c r="S75" s="736"/>
      <c r="T75" s="736"/>
      <c r="U75" s="736"/>
      <c r="V75" s="736"/>
      <c r="W75" s="736"/>
      <c r="X75" s="736"/>
      <c r="Y75" s="736"/>
      <c r="Z75" s="736"/>
      <c r="AA75" s="736"/>
      <c r="AB75" s="736"/>
      <c r="AC75" s="736"/>
      <c r="AD75" s="736"/>
      <c r="AE75" s="736"/>
      <c r="AF75" s="736"/>
      <c r="AG75" s="736"/>
      <c r="AH75" s="736"/>
      <c r="AI75" s="736"/>
      <c r="AJ75" s="736"/>
      <c r="AK75" s="736"/>
      <c r="AL75" s="736"/>
      <c r="AM75" s="736"/>
      <c r="AN75" s="736"/>
      <c r="AO75" s="736"/>
      <c r="AP75" s="736"/>
      <c r="AQ75" s="736"/>
      <c r="AR75" s="736"/>
      <c r="AS75" s="736"/>
      <c r="AT75" s="736"/>
      <c r="AU75" s="736"/>
      <c r="AV75" s="736"/>
      <c r="AW75" s="736"/>
      <c r="AX75" s="736"/>
      <c r="AY75" s="736"/>
      <c r="AZ75" s="736"/>
      <c r="BA75" s="736"/>
      <c r="BB75" s="736"/>
      <c r="BC75" s="736"/>
      <c r="BD75" s="736"/>
      <c r="BE75" s="736"/>
      <c r="BF75" s="736"/>
      <c r="BG75" s="736"/>
      <c r="BH75" s="736"/>
      <c r="BI75" s="736"/>
      <c r="BJ75" s="736"/>
      <c r="BK75" s="736"/>
      <c r="BL75" s="736"/>
      <c r="BM75" s="736"/>
      <c r="BN75" s="736"/>
      <c r="BO75" s="736"/>
      <c r="BP75" s="736"/>
      <c r="BQ75" s="736"/>
      <c r="BR75" s="736"/>
      <c r="BS75" s="736"/>
      <c r="BT75" s="736"/>
    </row>
    <row r="76" spans="1:72" x14ac:dyDescent="0.25">
      <c r="A76" s="736"/>
      <c r="B76" s="736"/>
      <c r="C76" s="736"/>
      <c r="D76" s="736"/>
      <c r="E76" s="736"/>
      <c r="F76" s="736"/>
      <c r="G76" s="736"/>
      <c r="H76" s="736"/>
      <c r="I76" s="736"/>
      <c r="J76" s="736"/>
      <c r="K76" s="736"/>
      <c r="L76" s="736"/>
      <c r="M76" s="736"/>
      <c r="N76" s="736"/>
      <c r="O76" s="736"/>
      <c r="P76" s="736"/>
      <c r="Q76" s="736"/>
      <c r="R76" s="736"/>
      <c r="S76" s="736"/>
      <c r="T76" s="736"/>
      <c r="U76" s="736"/>
      <c r="V76" s="736"/>
      <c r="W76" s="736"/>
      <c r="X76" s="736"/>
      <c r="Y76" s="736"/>
      <c r="Z76" s="736"/>
      <c r="AA76" s="736"/>
      <c r="AB76" s="736"/>
      <c r="AC76" s="736"/>
      <c r="AD76" s="736"/>
      <c r="AE76" s="736" t="s">
        <v>771</v>
      </c>
      <c r="AF76" s="736"/>
      <c r="AG76" s="736"/>
      <c r="AH76" s="736"/>
      <c r="AI76" s="736"/>
      <c r="AJ76" s="736"/>
      <c r="AK76" s="736"/>
      <c r="AL76" s="736"/>
      <c r="AM76" s="736"/>
      <c r="AN76" s="736"/>
      <c r="AO76" s="736"/>
      <c r="AP76" s="736"/>
      <c r="AQ76" s="736"/>
      <c r="AR76" s="736"/>
      <c r="AS76" s="736"/>
      <c r="AT76" s="736"/>
      <c r="AU76" s="736"/>
      <c r="AV76" s="736"/>
      <c r="AW76" s="736"/>
      <c r="AX76" s="736"/>
      <c r="AY76" s="736"/>
      <c r="AZ76" s="736"/>
      <c r="BA76" s="736"/>
      <c r="BB76" s="736"/>
      <c r="BC76" s="736"/>
      <c r="BD76" s="736"/>
      <c r="BE76" s="736"/>
      <c r="BF76" s="736"/>
      <c r="BG76" s="736"/>
      <c r="BH76" s="736"/>
      <c r="BI76" s="736"/>
      <c r="BJ76" s="736"/>
      <c r="BK76" s="736"/>
      <c r="BL76" s="736"/>
      <c r="BM76" s="736"/>
      <c r="BN76" s="736"/>
      <c r="BO76" s="736"/>
      <c r="BP76" s="736"/>
      <c r="BQ76" s="736"/>
      <c r="BR76" s="736"/>
      <c r="BS76" s="736"/>
      <c r="BT76" s="736"/>
    </row>
    <row r="77" spans="1:72" x14ac:dyDescent="0.25">
      <c r="A77" s="736" t="s">
        <v>772</v>
      </c>
      <c r="B77" s="736">
        <v>2007</v>
      </c>
      <c r="C77" s="736">
        <v>2008</v>
      </c>
      <c r="D77" s="736">
        <v>2009</v>
      </c>
      <c r="E77" s="736">
        <v>2010</v>
      </c>
      <c r="F77" s="736">
        <v>2011</v>
      </c>
      <c r="G77" s="736">
        <v>2012</v>
      </c>
      <c r="H77" s="736">
        <v>2013</v>
      </c>
      <c r="I77" s="736">
        <v>2014</v>
      </c>
      <c r="J77" s="736">
        <v>2015</v>
      </c>
      <c r="K77" s="736">
        <v>2016</v>
      </c>
      <c r="L77" s="736">
        <v>2017</v>
      </c>
      <c r="M77" s="736">
        <v>2018</v>
      </c>
      <c r="N77" s="736">
        <v>2019</v>
      </c>
      <c r="O77" s="736">
        <v>2020</v>
      </c>
      <c r="P77" s="736">
        <v>2021</v>
      </c>
      <c r="Q77" s="736">
        <v>2022</v>
      </c>
      <c r="R77" s="736">
        <v>2023</v>
      </c>
      <c r="S77" s="736">
        <v>2024</v>
      </c>
      <c r="T77" s="736">
        <v>2025</v>
      </c>
      <c r="U77" s="736">
        <v>2026</v>
      </c>
      <c r="V77" s="736">
        <v>2027</v>
      </c>
      <c r="W77" s="736">
        <v>2028</v>
      </c>
      <c r="X77" s="736">
        <v>2029</v>
      </c>
      <c r="Y77" s="736">
        <v>2030</v>
      </c>
      <c r="Z77" s="736">
        <v>2031</v>
      </c>
      <c r="AA77" s="736">
        <v>2032</v>
      </c>
      <c r="AB77" s="736">
        <v>2033</v>
      </c>
      <c r="AC77" s="736">
        <v>2034</v>
      </c>
      <c r="AD77" s="736">
        <v>2035</v>
      </c>
      <c r="AE77" s="736">
        <v>2035</v>
      </c>
      <c r="AF77" s="736"/>
      <c r="AG77" s="736"/>
      <c r="AH77" s="736"/>
      <c r="AI77" s="736"/>
      <c r="AJ77" s="736"/>
      <c r="AK77" s="736"/>
      <c r="AL77" s="736"/>
      <c r="AM77" s="736"/>
      <c r="AN77" s="736"/>
      <c r="AO77" s="736"/>
      <c r="AP77" s="736"/>
      <c r="AQ77" s="736"/>
      <c r="AR77" s="736"/>
      <c r="AS77" s="736"/>
      <c r="AT77" s="736"/>
      <c r="AU77" s="736"/>
      <c r="AV77" s="736"/>
      <c r="AW77" s="736"/>
      <c r="AX77" s="736"/>
      <c r="AY77" s="736"/>
      <c r="AZ77" s="736"/>
      <c r="BA77" s="736"/>
      <c r="BB77" s="736"/>
      <c r="BC77" s="736"/>
      <c r="BD77" s="736"/>
      <c r="BE77" s="736"/>
      <c r="BF77" s="736"/>
      <c r="BG77" s="736"/>
      <c r="BH77" s="736"/>
      <c r="BI77" s="736"/>
      <c r="BJ77" s="736"/>
      <c r="BK77" s="736"/>
      <c r="BL77" s="736"/>
      <c r="BM77" s="736"/>
      <c r="BN77" s="736"/>
      <c r="BO77" s="736"/>
      <c r="BP77" s="736"/>
      <c r="BQ77" s="736"/>
      <c r="BR77" s="736"/>
      <c r="BS77" s="736"/>
      <c r="BT77" s="736"/>
    </row>
    <row r="78" spans="1:72" x14ac:dyDescent="0.25">
      <c r="A78" s="736"/>
      <c r="B78" s="736"/>
      <c r="C78" s="736"/>
      <c r="D78" s="736"/>
      <c r="E78" s="736"/>
      <c r="F78" s="736"/>
      <c r="G78" s="736"/>
      <c r="H78" s="736"/>
      <c r="I78" s="736"/>
      <c r="J78" s="736"/>
      <c r="K78" s="736"/>
      <c r="L78" s="736"/>
      <c r="M78" s="736"/>
      <c r="N78" s="736"/>
      <c r="O78" s="736"/>
      <c r="P78" s="736"/>
      <c r="Q78" s="736"/>
      <c r="R78" s="736"/>
      <c r="S78" s="736"/>
      <c r="T78" s="736"/>
      <c r="U78" s="736"/>
      <c r="V78" s="736"/>
      <c r="W78" s="736"/>
      <c r="X78" s="736"/>
      <c r="Y78" s="736"/>
      <c r="Z78" s="736"/>
      <c r="AA78" s="736"/>
      <c r="AB78" s="736"/>
      <c r="AC78" s="736"/>
      <c r="AD78" s="736"/>
      <c r="AE78" s="736"/>
      <c r="AF78" s="736"/>
      <c r="AG78" s="736"/>
      <c r="AH78" s="736"/>
      <c r="AI78" s="736"/>
      <c r="AJ78" s="736"/>
      <c r="AK78" s="736"/>
      <c r="AL78" s="736"/>
      <c r="AM78" s="736"/>
      <c r="AN78" s="736"/>
      <c r="AO78" s="736"/>
      <c r="AP78" s="736"/>
      <c r="AQ78" s="736"/>
      <c r="AR78" s="736"/>
      <c r="AS78" s="736"/>
      <c r="AT78" s="736"/>
      <c r="AU78" s="736"/>
      <c r="AV78" s="736"/>
      <c r="AW78" s="736"/>
      <c r="AX78" s="736"/>
      <c r="AY78" s="736"/>
      <c r="AZ78" s="736"/>
      <c r="BA78" s="736"/>
      <c r="BB78" s="736"/>
      <c r="BC78" s="736"/>
      <c r="BD78" s="736"/>
      <c r="BE78" s="736"/>
      <c r="BF78" s="736"/>
      <c r="BG78" s="736"/>
      <c r="BH78" s="736"/>
      <c r="BI78" s="736"/>
      <c r="BJ78" s="736"/>
      <c r="BK78" s="736"/>
      <c r="BL78" s="736"/>
      <c r="BM78" s="736"/>
      <c r="BN78" s="736"/>
      <c r="BO78" s="736"/>
      <c r="BP78" s="736"/>
      <c r="BQ78" s="736"/>
      <c r="BR78" s="736"/>
      <c r="BS78" s="736"/>
      <c r="BT78" s="736"/>
    </row>
    <row r="79" spans="1:72" x14ac:dyDescent="0.25">
      <c r="A79" s="736" t="s">
        <v>459</v>
      </c>
      <c r="B79" s="736"/>
      <c r="C79" s="736"/>
      <c r="D79" s="736"/>
      <c r="E79" s="736"/>
      <c r="F79" s="736"/>
      <c r="G79" s="736"/>
      <c r="H79" s="736"/>
      <c r="I79" s="736"/>
      <c r="J79" s="736"/>
      <c r="K79" s="736"/>
      <c r="L79" s="736"/>
      <c r="M79" s="736"/>
      <c r="N79" s="736"/>
      <c r="O79" s="736"/>
      <c r="P79" s="736"/>
      <c r="Q79" s="736"/>
      <c r="R79" s="736"/>
      <c r="S79" s="736"/>
      <c r="T79" s="736"/>
      <c r="U79" s="736"/>
      <c r="V79" s="736"/>
      <c r="W79" s="736"/>
      <c r="X79" s="736"/>
      <c r="Y79" s="736"/>
      <c r="Z79" s="736"/>
      <c r="AA79" s="736"/>
      <c r="AB79" s="736"/>
      <c r="AC79" s="736"/>
      <c r="AD79" s="736"/>
      <c r="AE79" s="736"/>
      <c r="AF79" s="736"/>
      <c r="AG79" s="736"/>
      <c r="AH79" s="736"/>
      <c r="AI79" s="736"/>
      <c r="AJ79" s="736"/>
      <c r="AK79" s="736"/>
      <c r="AL79" s="736"/>
      <c r="AM79" s="736"/>
      <c r="AN79" s="736"/>
      <c r="AO79" s="736"/>
      <c r="AP79" s="736"/>
      <c r="AQ79" s="736"/>
      <c r="AR79" s="736"/>
      <c r="AS79" s="736"/>
      <c r="AT79" s="736"/>
      <c r="AU79" s="736"/>
      <c r="AV79" s="736"/>
      <c r="AW79" s="736"/>
      <c r="AX79" s="736"/>
      <c r="AY79" s="736"/>
      <c r="AZ79" s="736"/>
      <c r="BA79" s="736"/>
      <c r="BB79" s="736"/>
      <c r="BC79" s="736"/>
      <c r="BD79" s="736"/>
      <c r="BE79" s="736"/>
      <c r="BF79" s="736"/>
      <c r="BG79" s="736"/>
      <c r="BH79" s="736"/>
      <c r="BI79" s="736"/>
      <c r="BJ79" s="736"/>
      <c r="BK79" s="736"/>
      <c r="BL79" s="736"/>
      <c r="BM79" s="736"/>
      <c r="BN79" s="736"/>
      <c r="BO79" s="736"/>
      <c r="BP79" s="736"/>
      <c r="BQ79" s="736"/>
      <c r="BR79" s="736"/>
      <c r="BS79" s="736"/>
      <c r="BT79" s="736"/>
    </row>
    <row r="80" spans="1:72" x14ac:dyDescent="0.25">
      <c r="A80" s="736" t="s">
        <v>594</v>
      </c>
      <c r="B80" s="736">
        <v>26.25</v>
      </c>
      <c r="C80" s="736">
        <v>29.35</v>
      </c>
      <c r="D80" s="736">
        <v>24.9</v>
      </c>
      <c r="E80" s="736">
        <v>24.01</v>
      </c>
      <c r="F80" s="736">
        <v>24.09</v>
      </c>
      <c r="G80" s="736">
        <v>25.25</v>
      </c>
      <c r="H80" s="736">
        <v>26.47</v>
      </c>
      <c r="I80" s="736">
        <v>27.44</v>
      </c>
      <c r="J80" s="736">
        <v>28.03</v>
      </c>
      <c r="K80" s="736">
        <v>28.67</v>
      </c>
      <c r="L80" s="736">
        <v>29.21</v>
      </c>
      <c r="M80" s="736">
        <v>29.8</v>
      </c>
      <c r="N80" s="736">
        <v>30.06</v>
      </c>
      <c r="O80" s="736">
        <v>30.29</v>
      </c>
      <c r="P80" s="736">
        <v>30.53</v>
      </c>
      <c r="Q80" s="736">
        <v>30.73</v>
      </c>
      <c r="R80" s="736">
        <v>31.01</v>
      </c>
      <c r="S80" s="736">
        <v>31.28</v>
      </c>
      <c r="T80" s="736">
        <v>31.55</v>
      </c>
      <c r="U80" s="736">
        <v>31.7</v>
      </c>
      <c r="V80" s="736">
        <v>31.98</v>
      </c>
      <c r="W80" s="736">
        <v>32.229999999999997</v>
      </c>
      <c r="X80" s="736">
        <v>32.590000000000003</v>
      </c>
      <c r="Y80" s="736">
        <v>32.81</v>
      </c>
      <c r="Z80" s="736">
        <v>33.17</v>
      </c>
      <c r="AA80" s="736">
        <v>33.51</v>
      </c>
      <c r="AB80" s="736">
        <v>33.9</v>
      </c>
      <c r="AC80" s="736">
        <v>34.26</v>
      </c>
      <c r="AD80" s="736">
        <v>34.65</v>
      </c>
      <c r="AE80" s="770">
        <v>6.0000000000000001E-3</v>
      </c>
      <c r="AF80" s="736"/>
      <c r="AG80" s="736"/>
      <c r="AH80" s="736"/>
      <c r="AI80" s="736"/>
      <c r="AJ80" s="736"/>
      <c r="AK80" s="736"/>
      <c r="AL80" s="736"/>
      <c r="AM80" s="736"/>
      <c r="AN80" s="736"/>
      <c r="AO80" s="736"/>
      <c r="AP80" s="736"/>
      <c r="AQ80" s="736"/>
      <c r="AR80" s="736"/>
      <c r="AS80" s="736"/>
      <c r="AT80" s="736"/>
      <c r="AU80" s="736"/>
      <c r="AV80" s="736"/>
      <c r="AW80" s="736"/>
      <c r="AX80" s="736"/>
      <c r="AY80" s="736"/>
      <c r="AZ80" s="736"/>
      <c r="BA80" s="736"/>
      <c r="BB80" s="736"/>
      <c r="BC80" s="736"/>
      <c r="BD80" s="736"/>
      <c r="BE80" s="736"/>
      <c r="BF80" s="736"/>
      <c r="BG80" s="736"/>
      <c r="BH80" s="736"/>
      <c r="BI80" s="736"/>
      <c r="BJ80" s="736"/>
      <c r="BK80" s="736"/>
      <c r="BL80" s="736"/>
      <c r="BM80" s="736"/>
      <c r="BN80" s="736"/>
      <c r="BO80" s="736"/>
      <c r="BP80" s="736"/>
      <c r="BQ80" s="736"/>
      <c r="BR80" s="736"/>
      <c r="BS80" s="736"/>
      <c r="BT80" s="736"/>
    </row>
    <row r="81" spans="1:72" x14ac:dyDescent="0.25">
      <c r="A81" s="736" t="s">
        <v>595</v>
      </c>
      <c r="B81" s="736">
        <v>20.3</v>
      </c>
      <c r="C81" s="736">
        <v>24.47</v>
      </c>
      <c r="D81" s="736">
        <v>17.98</v>
      </c>
      <c r="E81" s="736">
        <v>17.57</v>
      </c>
      <c r="F81" s="736">
        <v>17.72</v>
      </c>
      <c r="G81" s="736">
        <v>18.84</v>
      </c>
      <c r="H81" s="736">
        <v>19.86</v>
      </c>
      <c r="I81" s="736">
        <v>20.58</v>
      </c>
      <c r="J81" s="736">
        <v>21.08</v>
      </c>
      <c r="K81" s="736">
        <v>22</v>
      </c>
      <c r="L81" s="736">
        <v>22.66</v>
      </c>
      <c r="M81" s="736">
        <v>23.32</v>
      </c>
      <c r="N81" s="736">
        <v>23.74</v>
      </c>
      <c r="O81" s="736">
        <v>24.1</v>
      </c>
      <c r="P81" s="736">
        <v>24.24</v>
      </c>
      <c r="Q81" s="736">
        <v>24.44</v>
      </c>
      <c r="R81" s="736">
        <v>24.76</v>
      </c>
      <c r="S81" s="736">
        <v>24.94</v>
      </c>
      <c r="T81" s="736">
        <v>25.23</v>
      </c>
      <c r="U81" s="736">
        <v>25.5</v>
      </c>
      <c r="V81" s="736">
        <v>25.72</v>
      </c>
      <c r="W81" s="736">
        <v>26.04</v>
      </c>
      <c r="X81" s="736">
        <v>26.44</v>
      </c>
      <c r="Y81" s="736">
        <v>26.61</v>
      </c>
      <c r="Z81" s="736">
        <v>27.05</v>
      </c>
      <c r="AA81" s="736">
        <v>27.45</v>
      </c>
      <c r="AB81" s="736">
        <v>27.82</v>
      </c>
      <c r="AC81" s="736">
        <v>28.24</v>
      </c>
      <c r="AD81" s="736">
        <v>28.66</v>
      </c>
      <c r="AE81" s="770">
        <v>6.0000000000000001E-3</v>
      </c>
      <c r="AF81" s="736"/>
      <c r="AG81" s="736"/>
      <c r="AH81" s="736"/>
      <c r="AI81" s="736"/>
      <c r="AJ81" s="736"/>
      <c r="AK81" s="736"/>
      <c r="AL81" s="736"/>
      <c r="AM81" s="736"/>
      <c r="AN81" s="736"/>
      <c r="AO81" s="736"/>
      <c r="AP81" s="736"/>
      <c r="AQ81" s="736"/>
      <c r="AR81" s="736"/>
      <c r="AS81" s="736"/>
      <c r="AT81" s="736"/>
      <c r="AU81" s="736"/>
      <c r="AV81" s="736"/>
      <c r="AW81" s="736"/>
      <c r="AX81" s="736"/>
      <c r="AY81" s="736"/>
      <c r="AZ81" s="736"/>
      <c r="BA81" s="736"/>
      <c r="BB81" s="736"/>
      <c r="BC81" s="736"/>
      <c r="BD81" s="736"/>
      <c r="BE81" s="736"/>
      <c r="BF81" s="736"/>
      <c r="BG81" s="736"/>
      <c r="BH81" s="736"/>
      <c r="BI81" s="736"/>
      <c r="BJ81" s="736"/>
      <c r="BK81" s="736"/>
      <c r="BL81" s="736"/>
      <c r="BM81" s="736"/>
      <c r="BN81" s="736"/>
      <c r="BO81" s="736"/>
      <c r="BP81" s="736"/>
      <c r="BQ81" s="736"/>
      <c r="BR81" s="736"/>
      <c r="BS81" s="736"/>
      <c r="BT81" s="736"/>
    </row>
    <row r="82" spans="1:72" x14ac:dyDescent="0.25">
      <c r="A82" s="736" t="s">
        <v>496</v>
      </c>
      <c r="B82" s="736">
        <v>12.94</v>
      </c>
      <c r="C82" s="736">
        <v>13.48</v>
      </c>
      <c r="D82" s="736">
        <v>11.39</v>
      </c>
      <c r="E82" s="736">
        <v>10.89</v>
      </c>
      <c r="F82" s="736">
        <v>11.78</v>
      </c>
      <c r="G82" s="736">
        <v>11.87</v>
      </c>
      <c r="H82" s="736">
        <v>11.48</v>
      </c>
      <c r="I82" s="736">
        <v>11.41</v>
      </c>
      <c r="J82" s="736">
        <v>11.56</v>
      </c>
      <c r="K82" s="736">
        <v>11.65</v>
      </c>
      <c r="L82" s="736">
        <v>11.69</v>
      </c>
      <c r="M82" s="736">
        <v>11.76</v>
      </c>
      <c r="N82" s="736">
        <v>11.83</v>
      </c>
      <c r="O82" s="736">
        <v>11.95</v>
      </c>
      <c r="P82" s="736">
        <v>12.07</v>
      </c>
      <c r="Q82" s="736">
        <v>12.26</v>
      </c>
      <c r="R82" s="736">
        <v>12.29</v>
      </c>
      <c r="S82" s="736">
        <v>12.2</v>
      </c>
      <c r="T82" s="736">
        <v>12.29</v>
      </c>
      <c r="U82" s="736">
        <v>12.46</v>
      </c>
      <c r="V82" s="736">
        <v>12.66</v>
      </c>
      <c r="W82" s="736">
        <v>12.9</v>
      </c>
      <c r="X82" s="736">
        <v>13.16</v>
      </c>
      <c r="Y82" s="736">
        <v>13.44</v>
      </c>
      <c r="Z82" s="736">
        <v>13.78</v>
      </c>
      <c r="AA82" s="736">
        <v>13.93</v>
      </c>
      <c r="AB82" s="736">
        <v>14.03</v>
      </c>
      <c r="AC82" s="736">
        <v>14.25</v>
      </c>
      <c r="AD82" s="736">
        <v>14.4</v>
      </c>
      <c r="AE82" s="770">
        <v>2E-3</v>
      </c>
      <c r="AF82" s="736"/>
      <c r="AG82" s="736"/>
      <c r="AH82" s="736"/>
      <c r="AI82" s="736"/>
      <c r="AJ82" s="736"/>
      <c r="AK82" s="736"/>
      <c r="AL82" s="736"/>
      <c r="AM82" s="736"/>
      <c r="AN82" s="736"/>
      <c r="AO82" s="736"/>
      <c r="AP82" s="736"/>
      <c r="AQ82" s="736"/>
      <c r="AR82" s="736"/>
      <c r="AS82" s="736"/>
      <c r="AT82" s="736"/>
      <c r="AU82" s="736"/>
      <c r="AV82" s="736"/>
      <c r="AW82" s="736"/>
      <c r="AX82" s="736"/>
      <c r="AY82" s="736"/>
      <c r="AZ82" s="736"/>
      <c r="BA82" s="736"/>
      <c r="BB82" s="736"/>
      <c r="BC82" s="736"/>
      <c r="BD82" s="736"/>
      <c r="BE82" s="736"/>
      <c r="BF82" s="736"/>
      <c r="BG82" s="736"/>
      <c r="BH82" s="736"/>
      <c r="BI82" s="736"/>
      <c r="BJ82" s="736"/>
      <c r="BK82" s="736"/>
      <c r="BL82" s="736"/>
      <c r="BM82" s="736"/>
      <c r="BN82" s="736"/>
      <c r="BO82" s="736"/>
      <c r="BP82" s="736"/>
      <c r="BQ82" s="736"/>
      <c r="BR82" s="736"/>
      <c r="BS82" s="736"/>
      <c r="BT82" s="736"/>
    </row>
    <row r="83" spans="1:72" x14ac:dyDescent="0.25">
      <c r="A83" s="736" t="s">
        <v>465</v>
      </c>
      <c r="B83" s="736">
        <v>31.82</v>
      </c>
      <c r="C83" s="736">
        <v>33.29</v>
      </c>
      <c r="D83" s="736">
        <v>32.33</v>
      </c>
      <c r="E83" s="736">
        <v>30.94</v>
      </c>
      <c r="F83" s="736">
        <v>29.9</v>
      </c>
      <c r="G83" s="736">
        <v>31.08</v>
      </c>
      <c r="H83" s="736">
        <v>31.47</v>
      </c>
      <c r="I83" s="736">
        <v>31.49</v>
      </c>
      <c r="J83" s="736">
        <v>31.43</v>
      </c>
      <c r="K83" s="736">
        <v>31.64</v>
      </c>
      <c r="L83" s="736">
        <v>31.8</v>
      </c>
      <c r="M83" s="736">
        <v>31.78</v>
      </c>
      <c r="N83" s="736">
        <v>31.68</v>
      </c>
      <c r="O83" s="736">
        <v>31.84</v>
      </c>
      <c r="P83" s="736">
        <v>32.01</v>
      </c>
      <c r="Q83" s="736">
        <v>32.08</v>
      </c>
      <c r="R83" s="736">
        <v>32.200000000000003</v>
      </c>
      <c r="S83" s="736">
        <v>32.28</v>
      </c>
      <c r="T83" s="736">
        <v>32.26</v>
      </c>
      <c r="U83" s="736">
        <v>32.4</v>
      </c>
      <c r="V83" s="736">
        <v>32.57</v>
      </c>
      <c r="W83" s="736">
        <v>32.729999999999997</v>
      </c>
      <c r="X83" s="736">
        <v>33.130000000000003</v>
      </c>
      <c r="Y83" s="736">
        <v>33.46</v>
      </c>
      <c r="Z83" s="736">
        <v>33.81</v>
      </c>
      <c r="AA83" s="736">
        <v>34.11</v>
      </c>
      <c r="AB83" s="736">
        <v>34.26</v>
      </c>
      <c r="AC83" s="736">
        <v>34.49</v>
      </c>
      <c r="AD83" s="736">
        <v>34.71</v>
      </c>
      <c r="AE83" s="770">
        <v>2E-3</v>
      </c>
      <c r="AF83" s="736"/>
      <c r="AG83" s="736"/>
      <c r="AH83" s="736"/>
      <c r="AI83" s="736"/>
      <c r="AJ83" s="736"/>
      <c r="AK83" s="736"/>
      <c r="AL83" s="736"/>
      <c r="AM83" s="736"/>
      <c r="AN83" s="736"/>
      <c r="AO83" s="736"/>
      <c r="AP83" s="736"/>
      <c r="AQ83" s="736"/>
      <c r="AR83" s="736"/>
      <c r="AS83" s="736"/>
      <c r="AT83" s="736"/>
      <c r="AU83" s="736"/>
      <c r="AV83" s="736"/>
      <c r="AW83" s="736"/>
      <c r="AX83" s="736"/>
      <c r="AY83" s="736"/>
      <c r="AZ83" s="736"/>
      <c r="BA83" s="736"/>
      <c r="BB83" s="736"/>
      <c r="BC83" s="736"/>
      <c r="BD83" s="736"/>
      <c r="BE83" s="736"/>
      <c r="BF83" s="736"/>
      <c r="BG83" s="736"/>
      <c r="BH83" s="736"/>
      <c r="BI83" s="736"/>
      <c r="BJ83" s="736"/>
      <c r="BK83" s="736"/>
      <c r="BL83" s="736"/>
      <c r="BM83" s="736"/>
      <c r="BN83" s="736"/>
      <c r="BO83" s="736"/>
      <c r="BP83" s="736"/>
      <c r="BQ83" s="736"/>
      <c r="BR83" s="736"/>
      <c r="BS83" s="736"/>
      <c r="BT83" s="736"/>
    </row>
    <row r="84" spans="1:72" x14ac:dyDescent="0.25">
      <c r="A84" s="736"/>
      <c r="B84" s="736"/>
      <c r="C84" s="736"/>
      <c r="D84" s="736"/>
      <c r="E84" s="736"/>
      <c r="F84" s="736"/>
      <c r="G84" s="736"/>
      <c r="H84" s="736"/>
      <c r="I84" s="736"/>
      <c r="J84" s="736"/>
      <c r="K84" s="736"/>
      <c r="L84" s="736"/>
      <c r="M84" s="736"/>
      <c r="N84" s="736"/>
      <c r="O84" s="736"/>
      <c r="P84" s="736"/>
      <c r="Q84" s="736"/>
      <c r="R84" s="736"/>
      <c r="S84" s="736"/>
      <c r="T84" s="736"/>
      <c r="U84" s="736"/>
      <c r="V84" s="736"/>
      <c r="W84" s="736"/>
      <c r="X84" s="736"/>
      <c r="Y84" s="736"/>
      <c r="Z84" s="736"/>
      <c r="AA84" s="736"/>
      <c r="AB84" s="736"/>
      <c r="AC84" s="736"/>
      <c r="AD84" s="736"/>
      <c r="AE84" s="736"/>
      <c r="AF84" s="736"/>
      <c r="AG84" s="736"/>
      <c r="AH84" s="736"/>
      <c r="AI84" s="736"/>
      <c r="AJ84" s="736"/>
      <c r="AK84" s="736"/>
      <c r="AL84" s="736"/>
      <c r="AM84" s="736"/>
      <c r="AN84" s="736"/>
      <c r="AO84" s="736"/>
      <c r="AP84" s="736"/>
      <c r="AQ84" s="736"/>
      <c r="AR84" s="736"/>
      <c r="AS84" s="736"/>
      <c r="AT84" s="736"/>
      <c r="AU84" s="736"/>
      <c r="AV84" s="736"/>
      <c r="AW84" s="736"/>
      <c r="AX84" s="736"/>
      <c r="AY84" s="736"/>
      <c r="AZ84" s="736"/>
      <c r="BA84" s="736"/>
      <c r="BB84" s="736"/>
      <c r="BC84" s="736"/>
      <c r="BD84" s="736"/>
      <c r="BE84" s="736"/>
      <c r="BF84" s="736"/>
      <c r="BG84" s="736"/>
      <c r="BH84" s="736"/>
      <c r="BI84" s="736"/>
      <c r="BJ84" s="736"/>
      <c r="BK84" s="736"/>
      <c r="BL84" s="736"/>
      <c r="BM84" s="736"/>
      <c r="BN84" s="736"/>
      <c r="BO84" s="736"/>
      <c r="BP84" s="736"/>
      <c r="BQ84" s="736"/>
      <c r="BR84" s="736"/>
      <c r="BS84" s="736"/>
      <c r="BT84" s="736"/>
    </row>
    <row r="85" spans="1:72" x14ac:dyDescent="0.25">
      <c r="A85" s="736" t="s">
        <v>466</v>
      </c>
      <c r="B85" s="736"/>
      <c r="C85" s="736"/>
      <c r="D85" s="736"/>
      <c r="E85" s="736"/>
      <c r="F85" s="736"/>
      <c r="G85" s="736"/>
      <c r="H85" s="736"/>
      <c r="I85" s="736"/>
      <c r="J85" s="736"/>
      <c r="K85" s="736"/>
      <c r="L85" s="736"/>
      <c r="M85" s="736"/>
      <c r="N85" s="736"/>
      <c r="O85" s="736"/>
      <c r="P85" s="736"/>
      <c r="Q85" s="736"/>
      <c r="R85" s="736"/>
      <c r="S85" s="736"/>
      <c r="T85" s="736"/>
      <c r="U85" s="736"/>
      <c r="V85" s="736"/>
      <c r="W85" s="736"/>
      <c r="X85" s="736"/>
      <c r="Y85" s="736"/>
      <c r="Z85" s="736"/>
      <c r="AA85" s="736"/>
      <c r="AB85" s="736"/>
      <c r="AC85" s="736"/>
      <c r="AD85" s="736"/>
      <c r="AE85" s="736"/>
      <c r="AF85" s="736"/>
      <c r="AG85" s="736"/>
      <c r="AH85" s="736"/>
      <c r="AI85" s="736"/>
      <c r="AJ85" s="736"/>
      <c r="AK85" s="736"/>
      <c r="AL85" s="736"/>
      <c r="AM85" s="736"/>
      <c r="AN85" s="736"/>
      <c r="AO85" s="736"/>
      <c r="AP85" s="736"/>
      <c r="AQ85" s="736"/>
      <c r="AR85" s="736"/>
      <c r="AS85" s="736"/>
      <c r="AT85" s="736"/>
      <c r="AU85" s="736"/>
      <c r="AV85" s="736"/>
      <c r="AW85" s="736"/>
      <c r="AX85" s="736"/>
      <c r="AY85" s="736"/>
      <c r="AZ85" s="736"/>
      <c r="BA85" s="736"/>
      <c r="BB85" s="736"/>
      <c r="BC85" s="736"/>
      <c r="BD85" s="736"/>
      <c r="BE85" s="736"/>
      <c r="BF85" s="736"/>
      <c r="BG85" s="736"/>
      <c r="BH85" s="736"/>
      <c r="BI85" s="736"/>
      <c r="BJ85" s="736"/>
      <c r="BK85" s="736"/>
      <c r="BL85" s="736"/>
      <c r="BM85" s="736"/>
      <c r="BN85" s="736"/>
      <c r="BO85" s="736"/>
      <c r="BP85" s="736"/>
      <c r="BQ85" s="736"/>
      <c r="BR85" s="736"/>
      <c r="BS85" s="736"/>
      <c r="BT85" s="736"/>
    </row>
    <row r="86" spans="1:72" x14ac:dyDescent="0.25">
      <c r="A86" s="736" t="s">
        <v>594</v>
      </c>
      <c r="B86" s="736">
        <v>20.65</v>
      </c>
      <c r="C86" s="736">
        <v>26.15</v>
      </c>
      <c r="D86" s="736">
        <v>19.82</v>
      </c>
      <c r="E86" s="736">
        <v>20.78</v>
      </c>
      <c r="F86" s="736">
        <v>20.86</v>
      </c>
      <c r="G86" s="736">
        <v>22.02</v>
      </c>
      <c r="H86" s="736">
        <v>23.23</v>
      </c>
      <c r="I86" s="736">
        <v>24.19</v>
      </c>
      <c r="J86" s="736">
        <v>24.77</v>
      </c>
      <c r="K86" s="736">
        <v>25.41</v>
      </c>
      <c r="L86" s="736">
        <v>25.95</v>
      </c>
      <c r="M86" s="736">
        <v>26.53</v>
      </c>
      <c r="N86" s="736">
        <v>26.79</v>
      </c>
      <c r="O86" s="736">
        <v>27.02</v>
      </c>
      <c r="P86" s="736">
        <v>27.25</v>
      </c>
      <c r="Q86" s="736">
        <v>27.46</v>
      </c>
      <c r="R86" s="736">
        <v>27.73</v>
      </c>
      <c r="S86" s="736">
        <v>28</v>
      </c>
      <c r="T86" s="736">
        <v>28.26</v>
      </c>
      <c r="U86" s="736">
        <v>28.41</v>
      </c>
      <c r="V86" s="736">
        <v>28.68</v>
      </c>
      <c r="W86" s="736">
        <v>28.93</v>
      </c>
      <c r="X86" s="736">
        <v>29.28</v>
      </c>
      <c r="Y86" s="736">
        <v>29.5</v>
      </c>
      <c r="Z86" s="736">
        <v>29.86</v>
      </c>
      <c r="AA86" s="736">
        <v>30.19</v>
      </c>
      <c r="AB86" s="736">
        <v>30.58</v>
      </c>
      <c r="AC86" s="736">
        <v>30.94</v>
      </c>
      <c r="AD86" s="736">
        <v>31.32</v>
      </c>
      <c r="AE86" s="770">
        <v>7.0000000000000001E-3</v>
      </c>
      <c r="AF86" s="736"/>
      <c r="AG86" s="736"/>
      <c r="AH86" s="736"/>
      <c r="AI86" s="736"/>
      <c r="AJ86" s="736"/>
      <c r="AK86" s="736"/>
      <c r="AL86" s="736"/>
      <c r="AM86" s="736"/>
      <c r="AN86" s="736"/>
      <c r="AO86" s="736"/>
      <c r="AP86" s="736"/>
      <c r="AQ86" s="736"/>
      <c r="AR86" s="736"/>
      <c r="AS86" s="736"/>
      <c r="AT86" s="736"/>
      <c r="AU86" s="736"/>
      <c r="AV86" s="736"/>
      <c r="AW86" s="736"/>
      <c r="AX86" s="736"/>
      <c r="AY86" s="736"/>
      <c r="AZ86" s="736"/>
      <c r="BA86" s="736"/>
      <c r="BB86" s="736"/>
      <c r="BC86" s="736"/>
      <c r="BD86" s="736"/>
      <c r="BE86" s="736"/>
      <c r="BF86" s="736"/>
      <c r="BG86" s="736"/>
      <c r="BH86" s="736"/>
      <c r="BI86" s="736"/>
      <c r="BJ86" s="736"/>
      <c r="BK86" s="736"/>
      <c r="BL86" s="736"/>
      <c r="BM86" s="736"/>
      <c r="BN86" s="736"/>
      <c r="BO86" s="736"/>
      <c r="BP86" s="736"/>
      <c r="BQ86" s="736"/>
      <c r="BR86" s="736"/>
      <c r="BS86" s="736"/>
      <c r="BT86" s="736"/>
    </row>
    <row r="87" spans="1:72" x14ac:dyDescent="0.25">
      <c r="A87" s="736" t="s">
        <v>595</v>
      </c>
      <c r="B87" s="736">
        <v>17.48</v>
      </c>
      <c r="C87" s="736">
        <v>21.5</v>
      </c>
      <c r="D87" s="736">
        <v>15.8</v>
      </c>
      <c r="E87" s="736">
        <v>14.82</v>
      </c>
      <c r="F87" s="736">
        <v>15.24</v>
      </c>
      <c r="G87" s="736">
        <v>16.38</v>
      </c>
      <c r="H87" s="736">
        <v>17.399999999999999</v>
      </c>
      <c r="I87" s="736">
        <v>18.11</v>
      </c>
      <c r="J87" s="736">
        <v>18.72</v>
      </c>
      <c r="K87" s="736">
        <v>19.559999999999999</v>
      </c>
      <c r="L87" s="736">
        <v>20.2</v>
      </c>
      <c r="M87" s="736">
        <v>20.84</v>
      </c>
      <c r="N87" s="736">
        <v>21.26</v>
      </c>
      <c r="O87" s="736">
        <v>21.6</v>
      </c>
      <c r="P87" s="736">
        <v>21.78</v>
      </c>
      <c r="Q87" s="736">
        <v>22.04</v>
      </c>
      <c r="R87" s="736">
        <v>22.29</v>
      </c>
      <c r="S87" s="736">
        <v>22.43</v>
      </c>
      <c r="T87" s="736">
        <v>22.72</v>
      </c>
      <c r="U87" s="736">
        <v>22.97</v>
      </c>
      <c r="V87" s="736">
        <v>23.21</v>
      </c>
      <c r="W87" s="736">
        <v>23.53</v>
      </c>
      <c r="X87" s="736">
        <v>23.93</v>
      </c>
      <c r="Y87" s="736">
        <v>24.11</v>
      </c>
      <c r="Z87" s="736">
        <v>24.54</v>
      </c>
      <c r="AA87" s="736">
        <v>24.94</v>
      </c>
      <c r="AB87" s="736">
        <v>25.28</v>
      </c>
      <c r="AC87" s="736">
        <v>25.69</v>
      </c>
      <c r="AD87" s="736">
        <v>26.13</v>
      </c>
      <c r="AE87" s="770">
        <v>7.0000000000000001E-3</v>
      </c>
      <c r="AF87" s="736"/>
      <c r="AG87" s="736"/>
      <c r="AH87" s="736"/>
      <c r="AI87" s="736"/>
      <c r="AJ87" s="736"/>
      <c r="AK87" s="736"/>
      <c r="AL87" s="736"/>
      <c r="AM87" s="736"/>
      <c r="AN87" s="736"/>
      <c r="AO87" s="736"/>
      <c r="AP87" s="736"/>
      <c r="AQ87" s="736"/>
      <c r="AR87" s="736"/>
      <c r="AS87" s="736"/>
      <c r="AT87" s="736"/>
      <c r="AU87" s="736"/>
      <c r="AV87" s="736"/>
      <c r="AW87" s="736"/>
      <c r="AX87" s="736"/>
      <c r="AY87" s="736"/>
      <c r="AZ87" s="736"/>
      <c r="BA87" s="736"/>
      <c r="BB87" s="736"/>
      <c r="BC87" s="736"/>
      <c r="BD87" s="736"/>
      <c r="BE87" s="736"/>
      <c r="BF87" s="736"/>
      <c r="BG87" s="736"/>
      <c r="BH87" s="736"/>
      <c r="BI87" s="736"/>
      <c r="BJ87" s="736"/>
      <c r="BK87" s="736"/>
      <c r="BL87" s="736"/>
      <c r="BM87" s="736"/>
      <c r="BN87" s="736"/>
      <c r="BO87" s="736"/>
      <c r="BP87" s="736"/>
      <c r="BQ87" s="736"/>
      <c r="BR87" s="736"/>
      <c r="BS87" s="736"/>
      <c r="BT87" s="736"/>
    </row>
    <row r="88" spans="1:72" x14ac:dyDescent="0.25">
      <c r="A88" s="736" t="s">
        <v>708</v>
      </c>
      <c r="B88" s="736">
        <v>8.39</v>
      </c>
      <c r="C88" s="736">
        <v>15.52</v>
      </c>
      <c r="D88" s="736">
        <v>9.27</v>
      </c>
      <c r="E88" s="736">
        <v>9.4499999999999993</v>
      </c>
      <c r="F88" s="736">
        <v>9.6300000000000008</v>
      </c>
      <c r="G88" s="736">
        <v>10.85</v>
      </c>
      <c r="H88" s="736">
        <v>11.98</v>
      </c>
      <c r="I88" s="736">
        <v>12.76</v>
      </c>
      <c r="J88" s="736">
        <v>13.13</v>
      </c>
      <c r="K88" s="736">
        <v>13.68</v>
      </c>
      <c r="L88" s="736">
        <v>14.17</v>
      </c>
      <c r="M88" s="736">
        <v>14.69</v>
      </c>
      <c r="N88" s="736">
        <v>15.26</v>
      </c>
      <c r="O88" s="736">
        <v>15.46</v>
      </c>
      <c r="P88" s="736">
        <v>15.68</v>
      </c>
      <c r="Q88" s="736">
        <v>15.89</v>
      </c>
      <c r="R88" s="736">
        <v>16.12</v>
      </c>
      <c r="S88" s="736">
        <v>16.34</v>
      </c>
      <c r="T88" s="736">
        <v>16.54</v>
      </c>
      <c r="U88" s="736">
        <v>16.63</v>
      </c>
      <c r="V88" s="736">
        <v>16.82</v>
      </c>
      <c r="W88" s="736">
        <v>17.059999999999999</v>
      </c>
      <c r="X88" s="736">
        <v>17.28</v>
      </c>
      <c r="Y88" s="736">
        <v>17.54</v>
      </c>
      <c r="Z88" s="736">
        <v>17.89</v>
      </c>
      <c r="AA88" s="736">
        <v>18.12</v>
      </c>
      <c r="AB88" s="736">
        <v>18.25</v>
      </c>
      <c r="AC88" s="736">
        <v>18.68</v>
      </c>
      <c r="AD88" s="736">
        <v>18.84</v>
      </c>
      <c r="AE88" s="770">
        <v>7.0000000000000001E-3</v>
      </c>
      <c r="AF88" s="736"/>
      <c r="AG88" s="736"/>
      <c r="AH88" s="736"/>
      <c r="AI88" s="736"/>
      <c r="AJ88" s="736"/>
      <c r="AK88" s="736"/>
      <c r="AL88" s="736"/>
      <c r="AM88" s="736"/>
      <c r="AN88" s="736"/>
      <c r="AO88" s="736"/>
      <c r="AP88" s="736"/>
      <c r="AQ88" s="736"/>
      <c r="AR88" s="736"/>
      <c r="AS88" s="736"/>
      <c r="AT88" s="736"/>
      <c r="AU88" s="736"/>
      <c r="AV88" s="736"/>
      <c r="AW88" s="736"/>
      <c r="AX88" s="736"/>
      <c r="AY88" s="736"/>
      <c r="AZ88" s="736"/>
      <c r="BA88" s="736"/>
      <c r="BB88" s="736"/>
      <c r="BC88" s="736"/>
      <c r="BD88" s="736"/>
      <c r="BE88" s="736"/>
      <c r="BF88" s="736"/>
      <c r="BG88" s="736"/>
      <c r="BH88" s="736"/>
      <c r="BI88" s="736"/>
      <c r="BJ88" s="736"/>
      <c r="BK88" s="736"/>
      <c r="BL88" s="736"/>
      <c r="BM88" s="736"/>
      <c r="BN88" s="736"/>
      <c r="BO88" s="736"/>
      <c r="BP88" s="736"/>
      <c r="BQ88" s="736"/>
      <c r="BR88" s="736"/>
      <c r="BS88" s="736"/>
      <c r="BT88" s="736"/>
    </row>
    <row r="89" spans="1:72" x14ac:dyDescent="0.25">
      <c r="A89" s="736" t="s">
        <v>496</v>
      </c>
      <c r="B89" s="736">
        <v>11.2</v>
      </c>
      <c r="C89" s="736">
        <v>11.94</v>
      </c>
      <c r="D89" s="736">
        <v>9.0500000000000007</v>
      </c>
      <c r="E89" s="736">
        <v>8.67</v>
      </c>
      <c r="F89" s="736">
        <v>9.7200000000000006</v>
      </c>
      <c r="G89" s="736">
        <v>10.07</v>
      </c>
      <c r="H89" s="736">
        <v>9.92</v>
      </c>
      <c r="I89" s="736">
        <v>9.85</v>
      </c>
      <c r="J89" s="736">
        <v>9.99</v>
      </c>
      <c r="K89" s="736">
        <v>10.08</v>
      </c>
      <c r="L89" s="736">
        <v>10.11</v>
      </c>
      <c r="M89" s="736">
        <v>10.16</v>
      </c>
      <c r="N89" s="736">
        <v>10.23</v>
      </c>
      <c r="O89" s="736">
        <v>10.35</v>
      </c>
      <c r="P89" s="736">
        <v>10.46</v>
      </c>
      <c r="Q89" s="736">
        <v>10.65</v>
      </c>
      <c r="R89" s="736">
        <v>10.69</v>
      </c>
      <c r="S89" s="736">
        <v>10.62</v>
      </c>
      <c r="T89" s="736">
        <v>10.7</v>
      </c>
      <c r="U89" s="736">
        <v>10.86</v>
      </c>
      <c r="V89" s="736">
        <v>11.04</v>
      </c>
      <c r="W89" s="736">
        <v>11.28</v>
      </c>
      <c r="X89" s="736">
        <v>11.52</v>
      </c>
      <c r="Y89" s="736">
        <v>11.78</v>
      </c>
      <c r="Z89" s="736">
        <v>12.11</v>
      </c>
      <c r="AA89" s="736">
        <v>12.26</v>
      </c>
      <c r="AB89" s="736">
        <v>12.32</v>
      </c>
      <c r="AC89" s="736">
        <v>12.52</v>
      </c>
      <c r="AD89" s="736">
        <v>12.66</v>
      </c>
      <c r="AE89" s="770">
        <v>2E-3</v>
      </c>
      <c r="AF89" s="736"/>
      <c r="AG89" s="736"/>
      <c r="AH89" s="736"/>
      <c r="AI89" s="736"/>
      <c r="AJ89" s="736"/>
      <c r="AK89" s="736"/>
      <c r="AL89" s="736"/>
      <c r="AM89" s="736"/>
      <c r="AN89" s="736"/>
      <c r="AO89" s="736"/>
      <c r="AP89" s="736"/>
      <c r="AQ89" s="736"/>
      <c r="AR89" s="736"/>
      <c r="AS89" s="736"/>
      <c r="AT89" s="736"/>
      <c r="AU89" s="736"/>
      <c r="AV89" s="736"/>
      <c r="AW89" s="736"/>
      <c r="AX89" s="736"/>
      <c r="AY89" s="736"/>
      <c r="AZ89" s="736"/>
      <c r="BA89" s="736"/>
      <c r="BB89" s="736"/>
      <c r="BC89" s="736"/>
      <c r="BD89" s="736"/>
      <c r="BE89" s="736"/>
      <c r="BF89" s="736"/>
      <c r="BG89" s="736"/>
      <c r="BH89" s="736"/>
      <c r="BI89" s="736"/>
      <c r="BJ89" s="736"/>
      <c r="BK89" s="736"/>
      <c r="BL89" s="736"/>
      <c r="BM89" s="736"/>
      <c r="BN89" s="736"/>
      <c r="BO89" s="736"/>
      <c r="BP89" s="736"/>
      <c r="BQ89" s="736"/>
      <c r="BR89" s="736"/>
      <c r="BS89" s="736"/>
      <c r="BT89" s="736"/>
    </row>
    <row r="90" spans="1:72" x14ac:dyDescent="0.25">
      <c r="A90" s="736" t="s">
        <v>465</v>
      </c>
      <c r="B90" s="736">
        <v>28.81</v>
      </c>
      <c r="C90" s="736">
        <v>30.47</v>
      </c>
      <c r="D90" s="736">
        <v>28.94</v>
      </c>
      <c r="E90" s="736">
        <v>27.37</v>
      </c>
      <c r="F90" s="736">
        <v>25.72</v>
      </c>
      <c r="G90" s="736">
        <v>26.72</v>
      </c>
      <c r="H90" s="736">
        <v>26.81</v>
      </c>
      <c r="I90" s="736">
        <v>26.55</v>
      </c>
      <c r="J90" s="736">
        <v>26.55</v>
      </c>
      <c r="K90" s="736">
        <v>26.81</v>
      </c>
      <c r="L90" s="736">
        <v>26.97</v>
      </c>
      <c r="M90" s="736">
        <v>26.98</v>
      </c>
      <c r="N90" s="736">
        <v>26.93</v>
      </c>
      <c r="O90" s="736">
        <v>27.12</v>
      </c>
      <c r="P90" s="736">
        <v>27.31</v>
      </c>
      <c r="Q90" s="736">
        <v>27.42</v>
      </c>
      <c r="R90" s="736">
        <v>27.62</v>
      </c>
      <c r="S90" s="736">
        <v>27.77</v>
      </c>
      <c r="T90" s="736">
        <v>27.72</v>
      </c>
      <c r="U90" s="736">
        <v>27.87</v>
      </c>
      <c r="V90" s="736">
        <v>28.05</v>
      </c>
      <c r="W90" s="736">
        <v>28.25</v>
      </c>
      <c r="X90" s="736">
        <v>28.67</v>
      </c>
      <c r="Y90" s="736">
        <v>28.99</v>
      </c>
      <c r="Z90" s="736">
        <v>29.37</v>
      </c>
      <c r="AA90" s="736">
        <v>29.73</v>
      </c>
      <c r="AB90" s="736">
        <v>29.9</v>
      </c>
      <c r="AC90" s="736">
        <v>30.15</v>
      </c>
      <c r="AD90" s="736">
        <v>30.37</v>
      </c>
      <c r="AE90" s="770">
        <v>0</v>
      </c>
      <c r="AF90" s="736"/>
      <c r="AG90" s="736"/>
      <c r="AH90" s="736"/>
      <c r="AI90" s="736"/>
      <c r="AJ90" s="736"/>
      <c r="AK90" s="736"/>
      <c r="AL90" s="736"/>
      <c r="AM90" s="736"/>
      <c r="AN90" s="736"/>
      <c r="AO90" s="736"/>
      <c r="AP90" s="736"/>
      <c r="AQ90" s="736"/>
      <c r="AR90" s="736"/>
      <c r="AS90" s="736"/>
      <c r="AT90" s="736"/>
      <c r="AU90" s="736"/>
      <c r="AV90" s="736"/>
      <c r="AW90" s="736"/>
      <c r="AX90" s="736"/>
      <c r="AY90" s="736"/>
      <c r="AZ90" s="736"/>
      <c r="BA90" s="736"/>
      <c r="BB90" s="736"/>
      <c r="BC90" s="736"/>
      <c r="BD90" s="736"/>
      <c r="BE90" s="736"/>
      <c r="BF90" s="736"/>
      <c r="BG90" s="736"/>
      <c r="BH90" s="736"/>
      <c r="BI90" s="736"/>
      <c r="BJ90" s="736"/>
      <c r="BK90" s="736"/>
      <c r="BL90" s="736"/>
      <c r="BM90" s="736"/>
      <c r="BN90" s="736"/>
      <c r="BO90" s="736"/>
      <c r="BP90" s="736"/>
      <c r="BQ90" s="736"/>
      <c r="BR90" s="736"/>
      <c r="BS90" s="736"/>
      <c r="BT90" s="736"/>
    </row>
    <row r="91" spans="1:72" x14ac:dyDescent="0.25">
      <c r="A91" s="736"/>
      <c r="B91" s="736"/>
      <c r="C91" s="736"/>
      <c r="D91" s="736"/>
      <c r="E91" s="736"/>
      <c r="F91" s="736"/>
      <c r="G91" s="736"/>
      <c r="H91" s="736"/>
      <c r="I91" s="736"/>
      <c r="J91" s="736"/>
      <c r="K91" s="736"/>
      <c r="L91" s="736"/>
      <c r="M91" s="736"/>
      <c r="N91" s="736"/>
      <c r="O91" s="736"/>
      <c r="P91" s="736"/>
      <c r="Q91" s="736"/>
      <c r="R91" s="736"/>
      <c r="S91" s="736"/>
      <c r="T91" s="736"/>
      <c r="U91" s="736"/>
      <c r="V91" s="736"/>
      <c r="W91" s="736"/>
      <c r="X91" s="736"/>
      <c r="Y91" s="736"/>
      <c r="Z91" s="736"/>
      <c r="AA91" s="736"/>
      <c r="AB91" s="736"/>
      <c r="AC91" s="736"/>
      <c r="AD91" s="736"/>
      <c r="AE91" s="736"/>
      <c r="AF91" s="736"/>
      <c r="AG91" s="736"/>
      <c r="AH91" s="736"/>
      <c r="AI91" s="736"/>
      <c r="AJ91" s="736"/>
      <c r="AK91" s="736"/>
      <c r="AL91" s="736"/>
      <c r="AM91" s="736"/>
      <c r="AN91" s="736"/>
      <c r="AO91" s="736"/>
      <c r="AP91" s="736"/>
      <c r="AQ91" s="736"/>
      <c r="AR91" s="736"/>
      <c r="AS91" s="736"/>
      <c r="AT91" s="736"/>
      <c r="AU91" s="736"/>
      <c r="AV91" s="736"/>
      <c r="AW91" s="736"/>
      <c r="AX91" s="736"/>
      <c r="AY91" s="736"/>
      <c r="AZ91" s="736"/>
      <c r="BA91" s="736"/>
      <c r="BB91" s="736"/>
      <c r="BC91" s="736"/>
      <c r="BD91" s="736"/>
      <c r="BE91" s="736"/>
      <c r="BF91" s="736"/>
      <c r="BG91" s="736"/>
      <c r="BH91" s="736"/>
      <c r="BI91" s="736"/>
      <c r="BJ91" s="736"/>
      <c r="BK91" s="736"/>
      <c r="BL91" s="736"/>
      <c r="BM91" s="736"/>
      <c r="BN91" s="736"/>
      <c r="BO91" s="736"/>
      <c r="BP91" s="736"/>
      <c r="BQ91" s="736"/>
      <c r="BR91" s="736"/>
      <c r="BS91" s="736"/>
      <c r="BT91" s="736"/>
    </row>
    <row r="92" spans="1:72" x14ac:dyDescent="0.25">
      <c r="A92" s="736" t="s">
        <v>597</v>
      </c>
      <c r="B92" s="736"/>
      <c r="C92" s="736"/>
      <c r="D92" s="736"/>
      <c r="E92" s="736"/>
      <c r="F92" s="736"/>
      <c r="G92" s="736"/>
      <c r="H92" s="736"/>
      <c r="I92" s="736"/>
      <c r="J92" s="736"/>
      <c r="K92" s="736"/>
      <c r="L92" s="736"/>
      <c r="M92" s="736"/>
      <c r="N92" s="736"/>
      <c r="O92" s="736"/>
      <c r="P92" s="736"/>
      <c r="Q92" s="736"/>
      <c r="R92" s="736"/>
      <c r="S92" s="736"/>
      <c r="T92" s="736"/>
      <c r="U92" s="736"/>
      <c r="V92" s="736"/>
      <c r="W92" s="736"/>
      <c r="X92" s="736"/>
      <c r="Y92" s="736"/>
      <c r="Z92" s="736"/>
      <c r="AA92" s="736"/>
      <c r="AB92" s="736"/>
      <c r="AC92" s="736"/>
      <c r="AD92" s="736"/>
      <c r="AE92" s="736"/>
      <c r="AF92" s="736"/>
      <c r="AG92" s="736"/>
      <c r="AH92" s="736"/>
      <c r="AI92" s="736"/>
      <c r="AJ92" s="736"/>
      <c r="AK92" s="736"/>
      <c r="AL92" s="736"/>
      <c r="AM92" s="736"/>
      <c r="AN92" s="736"/>
      <c r="AO92" s="736"/>
      <c r="AP92" s="736"/>
      <c r="AQ92" s="736"/>
      <c r="AR92" s="736"/>
      <c r="AS92" s="736"/>
      <c r="AT92" s="736"/>
      <c r="AU92" s="736"/>
      <c r="AV92" s="736"/>
      <c r="AW92" s="736"/>
      <c r="AX92" s="736"/>
      <c r="AY92" s="736"/>
      <c r="AZ92" s="736"/>
      <c r="BA92" s="736"/>
      <c r="BB92" s="736"/>
      <c r="BC92" s="736"/>
      <c r="BD92" s="736"/>
      <c r="BE92" s="736"/>
      <c r="BF92" s="736"/>
      <c r="BG92" s="736"/>
      <c r="BH92" s="736"/>
      <c r="BI92" s="736"/>
      <c r="BJ92" s="736"/>
      <c r="BK92" s="736"/>
      <c r="BL92" s="736"/>
      <c r="BM92" s="736"/>
      <c r="BN92" s="736"/>
      <c r="BO92" s="736"/>
      <c r="BP92" s="736"/>
      <c r="BQ92" s="736"/>
      <c r="BR92" s="736"/>
      <c r="BS92" s="736"/>
      <c r="BT92" s="736"/>
    </row>
    <row r="93" spans="1:72" x14ac:dyDescent="0.25">
      <c r="A93" s="736" t="s">
        <v>594</v>
      </c>
      <c r="B93" s="736">
        <v>22.01</v>
      </c>
      <c r="C93" s="736">
        <v>24.2</v>
      </c>
      <c r="D93" s="736">
        <v>18.64</v>
      </c>
      <c r="E93" s="736">
        <v>18.36</v>
      </c>
      <c r="F93" s="736">
        <v>18.46</v>
      </c>
      <c r="G93" s="736">
        <v>19.61</v>
      </c>
      <c r="H93" s="736">
        <v>20.9</v>
      </c>
      <c r="I93" s="736">
        <v>21.9</v>
      </c>
      <c r="J93" s="736">
        <v>22.49</v>
      </c>
      <c r="K93" s="736">
        <v>23.25</v>
      </c>
      <c r="L93" s="736">
        <v>23.76</v>
      </c>
      <c r="M93" s="736">
        <v>24.31</v>
      </c>
      <c r="N93" s="736">
        <v>24.62</v>
      </c>
      <c r="O93" s="736">
        <v>24.86</v>
      </c>
      <c r="P93" s="736">
        <v>25.09</v>
      </c>
      <c r="Q93" s="736">
        <v>25.3</v>
      </c>
      <c r="R93" s="736">
        <v>25.59</v>
      </c>
      <c r="S93" s="736">
        <v>25.86</v>
      </c>
      <c r="T93" s="736">
        <v>26.12</v>
      </c>
      <c r="U93" s="736">
        <v>26.27</v>
      </c>
      <c r="V93" s="736">
        <v>26.55</v>
      </c>
      <c r="W93" s="736">
        <v>26.8</v>
      </c>
      <c r="X93" s="736">
        <v>27.15</v>
      </c>
      <c r="Y93" s="736">
        <v>27.38</v>
      </c>
      <c r="Z93" s="736">
        <v>27.74</v>
      </c>
      <c r="AA93" s="736">
        <v>28.08</v>
      </c>
      <c r="AB93" s="736">
        <v>28.48</v>
      </c>
      <c r="AC93" s="736">
        <v>28.86</v>
      </c>
      <c r="AD93" s="736">
        <v>29.25</v>
      </c>
      <c r="AE93" s="770">
        <v>7.0000000000000001E-3</v>
      </c>
      <c r="AF93" s="736"/>
      <c r="AG93" s="736"/>
      <c r="AH93" s="736"/>
      <c r="AI93" s="736"/>
      <c r="AJ93" s="736"/>
      <c r="AK93" s="736"/>
      <c r="AL93" s="736"/>
      <c r="AM93" s="736"/>
      <c r="AN93" s="736"/>
      <c r="AO93" s="736"/>
      <c r="AP93" s="736"/>
      <c r="AQ93" s="736"/>
      <c r="AR93" s="736"/>
      <c r="AS93" s="736"/>
      <c r="AT93" s="736"/>
      <c r="AU93" s="736"/>
      <c r="AV93" s="736"/>
      <c r="AW93" s="736"/>
      <c r="AX93" s="736"/>
      <c r="AY93" s="736"/>
      <c r="AZ93" s="736"/>
      <c r="BA93" s="736"/>
      <c r="BB93" s="736"/>
      <c r="BC93" s="736"/>
      <c r="BD93" s="736"/>
      <c r="BE93" s="736"/>
      <c r="BF93" s="736"/>
      <c r="BG93" s="736"/>
      <c r="BH93" s="736"/>
      <c r="BI93" s="736"/>
      <c r="BJ93" s="736"/>
      <c r="BK93" s="736"/>
      <c r="BL93" s="736"/>
      <c r="BM93" s="736"/>
      <c r="BN93" s="736"/>
      <c r="BO93" s="736"/>
      <c r="BP93" s="736"/>
      <c r="BQ93" s="736"/>
      <c r="BR93" s="736"/>
      <c r="BS93" s="736"/>
      <c r="BT93" s="736"/>
    </row>
    <row r="94" spans="1:72" x14ac:dyDescent="0.25">
      <c r="A94" s="736" t="s">
        <v>595</v>
      </c>
      <c r="B94" s="736">
        <v>18.07</v>
      </c>
      <c r="C94" s="736">
        <v>22.31</v>
      </c>
      <c r="D94" s="736">
        <v>16.399999999999999</v>
      </c>
      <c r="E94" s="736">
        <v>14.38</v>
      </c>
      <c r="F94" s="736">
        <v>15.38</v>
      </c>
      <c r="G94" s="736">
        <v>16.55</v>
      </c>
      <c r="H94" s="736">
        <v>17.59</v>
      </c>
      <c r="I94" s="736">
        <v>18.32</v>
      </c>
      <c r="J94" s="736">
        <v>19</v>
      </c>
      <c r="K94" s="736">
        <v>19.8</v>
      </c>
      <c r="L94" s="736">
        <v>20.440000000000001</v>
      </c>
      <c r="M94" s="736">
        <v>21.08</v>
      </c>
      <c r="N94" s="736">
        <v>21.49</v>
      </c>
      <c r="O94" s="736">
        <v>21.83</v>
      </c>
      <c r="P94" s="736">
        <v>22.03</v>
      </c>
      <c r="Q94" s="736">
        <v>22.36</v>
      </c>
      <c r="R94" s="736">
        <v>22.56</v>
      </c>
      <c r="S94" s="736">
        <v>22.67</v>
      </c>
      <c r="T94" s="736">
        <v>22.97</v>
      </c>
      <c r="U94" s="736">
        <v>23.22</v>
      </c>
      <c r="V94" s="736">
        <v>23.48</v>
      </c>
      <c r="W94" s="736">
        <v>23.81</v>
      </c>
      <c r="X94" s="736">
        <v>24.22</v>
      </c>
      <c r="Y94" s="736">
        <v>24.4</v>
      </c>
      <c r="Z94" s="736">
        <v>24.84</v>
      </c>
      <c r="AA94" s="736">
        <v>25.25</v>
      </c>
      <c r="AB94" s="736">
        <v>25.6</v>
      </c>
      <c r="AC94" s="736">
        <v>26.02</v>
      </c>
      <c r="AD94" s="736">
        <v>26.48</v>
      </c>
      <c r="AE94" s="770">
        <v>6.0000000000000001E-3</v>
      </c>
      <c r="AF94" s="736"/>
      <c r="AG94" s="736"/>
      <c r="AH94" s="736"/>
      <c r="AI94" s="736"/>
      <c r="AJ94" s="736"/>
      <c r="AK94" s="736"/>
      <c r="AL94" s="736"/>
      <c r="AM94" s="736"/>
      <c r="AN94" s="736"/>
      <c r="AO94" s="736"/>
      <c r="AP94" s="736"/>
      <c r="AQ94" s="736"/>
      <c r="AR94" s="736"/>
      <c r="AS94" s="736"/>
      <c r="AT94" s="736"/>
      <c r="AU94" s="736"/>
      <c r="AV94" s="736"/>
      <c r="AW94" s="736"/>
      <c r="AX94" s="736"/>
      <c r="AY94" s="736"/>
      <c r="AZ94" s="736"/>
      <c r="BA94" s="736"/>
      <c r="BB94" s="736"/>
      <c r="BC94" s="736"/>
      <c r="BD94" s="736"/>
      <c r="BE94" s="736"/>
      <c r="BF94" s="736"/>
      <c r="BG94" s="736"/>
      <c r="BH94" s="736"/>
      <c r="BI94" s="736"/>
      <c r="BJ94" s="736"/>
      <c r="BK94" s="736"/>
      <c r="BL94" s="736"/>
      <c r="BM94" s="736"/>
      <c r="BN94" s="736"/>
      <c r="BO94" s="736"/>
      <c r="BP94" s="736"/>
      <c r="BQ94" s="736"/>
      <c r="BR94" s="736"/>
      <c r="BS94" s="736"/>
      <c r="BT94" s="736"/>
    </row>
    <row r="95" spans="1:72" x14ac:dyDescent="0.25">
      <c r="A95" s="736" t="s">
        <v>596</v>
      </c>
      <c r="B95" s="736">
        <v>8.84</v>
      </c>
      <c r="C95" s="736">
        <v>16.309999999999999</v>
      </c>
      <c r="D95" s="736">
        <v>9.75</v>
      </c>
      <c r="E95" s="736">
        <v>13.12</v>
      </c>
      <c r="F95" s="736">
        <v>13.24</v>
      </c>
      <c r="G95" s="736">
        <v>14.32</v>
      </c>
      <c r="H95" s="736">
        <v>15.31</v>
      </c>
      <c r="I95" s="736">
        <v>16.079999999999998</v>
      </c>
      <c r="J95" s="736">
        <v>16.47</v>
      </c>
      <c r="K95" s="736">
        <v>16.96</v>
      </c>
      <c r="L95" s="736">
        <v>17.37</v>
      </c>
      <c r="M95" s="736">
        <v>17.82</v>
      </c>
      <c r="N95" s="736">
        <v>18.09</v>
      </c>
      <c r="O95" s="736">
        <v>18.2</v>
      </c>
      <c r="P95" s="736">
        <v>18.43</v>
      </c>
      <c r="Q95" s="736">
        <v>18.61</v>
      </c>
      <c r="R95" s="736">
        <v>18.82</v>
      </c>
      <c r="S95" s="736">
        <v>19.03</v>
      </c>
      <c r="T95" s="736">
        <v>19.23</v>
      </c>
      <c r="U95" s="736">
        <v>19.3</v>
      </c>
      <c r="V95" s="736">
        <v>19.489999999999998</v>
      </c>
      <c r="W95" s="736">
        <v>19.73</v>
      </c>
      <c r="X95" s="736">
        <v>19.98</v>
      </c>
      <c r="Y95" s="736">
        <v>20.27</v>
      </c>
      <c r="Z95" s="736">
        <v>20.61</v>
      </c>
      <c r="AA95" s="736">
        <v>20.87</v>
      </c>
      <c r="AB95" s="736">
        <v>21.12</v>
      </c>
      <c r="AC95" s="736">
        <v>21.44</v>
      </c>
      <c r="AD95" s="736">
        <v>21.72</v>
      </c>
      <c r="AE95" s="770">
        <v>1.0999999999999999E-2</v>
      </c>
      <c r="AF95" s="736"/>
      <c r="AG95" s="736"/>
      <c r="AH95" s="736"/>
      <c r="AI95" s="736"/>
      <c r="AJ95" s="736"/>
      <c r="AK95" s="736"/>
      <c r="AL95" s="736"/>
      <c r="AM95" s="736"/>
      <c r="AN95" s="736"/>
      <c r="AO95" s="736"/>
      <c r="AP95" s="736"/>
      <c r="AQ95" s="736"/>
      <c r="AR95" s="736"/>
      <c r="AS95" s="736"/>
      <c r="AT95" s="736"/>
      <c r="AU95" s="736"/>
      <c r="AV95" s="736"/>
      <c r="AW95" s="736"/>
      <c r="AX95" s="736"/>
      <c r="AY95" s="736"/>
      <c r="AZ95" s="736"/>
      <c r="BA95" s="736"/>
      <c r="BB95" s="736"/>
      <c r="BC95" s="736"/>
      <c r="BD95" s="736"/>
      <c r="BE95" s="736"/>
      <c r="BF95" s="736"/>
      <c r="BG95" s="736"/>
      <c r="BH95" s="736"/>
      <c r="BI95" s="736"/>
      <c r="BJ95" s="736"/>
      <c r="BK95" s="736"/>
      <c r="BL95" s="736"/>
      <c r="BM95" s="736"/>
      <c r="BN95" s="736"/>
      <c r="BO95" s="736"/>
      <c r="BP95" s="736"/>
      <c r="BQ95" s="736"/>
      <c r="BR95" s="736"/>
      <c r="BS95" s="736"/>
      <c r="BT95" s="736"/>
    </row>
    <row r="96" spans="1:72" x14ac:dyDescent="0.25">
      <c r="A96" s="736" t="s">
        <v>598</v>
      </c>
      <c r="B96" s="736">
        <v>7.58</v>
      </c>
      <c r="C96" s="736">
        <v>9.11</v>
      </c>
      <c r="D96" s="736">
        <v>4.2</v>
      </c>
      <c r="E96" s="736">
        <v>4.87</v>
      </c>
      <c r="F96" s="736">
        <v>5.97</v>
      </c>
      <c r="G96" s="736">
        <v>6.39</v>
      </c>
      <c r="H96" s="736">
        <v>6.33</v>
      </c>
      <c r="I96" s="736">
        <v>6.28</v>
      </c>
      <c r="J96" s="736">
        <v>6.45</v>
      </c>
      <c r="K96" s="736">
        <v>6.52</v>
      </c>
      <c r="L96" s="736">
        <v>6.51</v>
      </c>
      <c r="M96" s="736">
        <v>6.55</v>
      </c>
      <c r="N96" s="736">
        <v>6.6</v>
      </c>
      <c r="O96" s="736">
        <v>6.7</v>
      </c>
      <c r="P96" s="736">
        <v>6.78</v>
      </c>
      <c r="Q96" s="736">
        <v>6.96</v>
      </c>
      <c r="R96" s="736">
        <v>7.01</v>
      </c>
      <c r="S96" s="736">
        <v>6.96</v>
      </c>
      <c r="T96" s="736">
        <v>7.02</v>
      </c>
      <c r="U96" s="736">
        <v>7.15</v>
      </c>
      <c r="V96" s="736">
        <v>7.29</v>
      </c>
      <c r="W96" s="736">
        <v>7.51</v>
      </c>
      <c r="X96" s="736">
        <v>7.73</v>
      </c>
      <c r="Y96" s="736">
        <v>7.98</v>
      </c>
      <c r="Z96" s="736">
        <v>8.2899999999999991</v>
      </c>
      <c r="AA96" s="736">
        <v>8.4</v>
      </c>
      <c r="AB96" s="736">
        <v>8.42</v>
      </c>
      <c r="AC96" s="736">
        <v>8.61</v>
      </c>
      <c r="AD96" s="736">
        <v>8.73</v>
      </c>
      <c r="AE96" s="770">
        <v>-2E-3</v>
      </c>
      <c r="AF96" s="736"/>
      <c r="AG96" s="736"/>
      <c r="AH96" s="736"/>
      <c r="AI96" s="736"/>
      <c r="AJ96" s="736"/>
      <c r="AK96" s="736"/>
      <c r="AL96" s="736"/>
      <c r="AM96" s="736"/>
      <c r="AN96" s="736"/>
      <c r="AO96" s="736"/>
      <c r="AP96" s="736"/>
      <c r="AQ96" s="736"/>
      <c r="AR96" s="736"/>
      <c r="AS96" s="736"/>
      <c r="AT96" s="736"/>
      <c r="AU96" s="736"/>
      <c r="AV96" s="736"/>
      <c r="AW96" s="736"/>
      <c r="AX96" s="736"/>
      <c r="AY96" s="736"/>
      <c r="AZ96" s="736"/>
      <c r="BA96" s="736"/>
      <c r="BB96" s="736"/>
      <c r="BC96" s="736"/>
      <c r="BD96" s="736"/>
      <c r="BE96" s="736"/>
      <c r="BF96" s="736"/>
      <c r="BG96" s="736"/>
      <c r="BH96" s="736"/>
      <c r="BI96" s="736"/>
      <c r="BJ96" s="736"/>
      <c r="BK96" s="736"/>
      <c r="BL96" s="736"/>
      <c r="BM96" s="736"/>
      <c r="BN96" s="736"/>
      <c r="BO96" s="736"/>
      <c r="BP96" s="736"/>
      <c r="BQ96" s="736"/>
      <c r="BR96" s="736"/>
      <c r="BS96" s="736"/>
      <c r="BT96" s="736"/>
    </row>
    <row r="97" spans="1:72" x14ac:dyDescent="0.25">
      <c r="A97" s="736" t="s">
        <v>599</v>
      </c>
      <c r="B97" s="736">
        <v>3.69</v>
      </c>
      <c r="C97" s="736">
        <v>4.49</v>
      </c>
      <c r="D97" s="736">
        <v>4.72</v>
      </c>
      <c r="E97" s="736">
        <v>4.8</v>
      </c>
      <c r="F97" s="736">
        <v>4.8600000000000003</v>
      </c>
      <c r="G97" s="736">
        <v>5.0199999999999996</v>
      </c>
      <c r="H97" s="736">
        <v>5.05</v>
      </c>
      <c r="I97" s="736">
        <v>5.08</v>
      </c>
      <c r="J97" s="736">
        <v>5.08</v>
      </c>
      <c r="K97" s="736">
        <v>5.09</v>
      </c>
      <c r="L97" s="736">
        <v>5.16</v>
      </c>
      <c r="M97" s="736">
        <v>5.22</v>
      </c>
      <c r="N97" s="736">
        <v>5.29</v>
      </c>
      <c r="O97" s="736">
        <v>5.32</v>
      </c>
      <c r="P97" s="736">
        <v>5.35</v>
      </c>
      <c r="Q97" s="736">
        <v>5.36</v>
      </c>
      <c r="R97" s="736">
        <v>5.35</v>
      </c>
      <c r="S97" s="736">
        <v>5.32</v>
      </c>
      <c r="T97" s="736">
        <v>5.24</v>
      </c>
      <c r="U97" s="736">
        <v>5.16</v>
      </c>
      <c r="V97" s="736">
        <v>5.14</v>
      </c>
      <c r="W97" s="736">
        <v>5.14</v>
      </c>
      <c r="X97" s="736">
        <v>5.1100000000000003</v>
      </c>
      <c r="Y97" s="736">
        <v>5.1100000000000003</v>
      </c>
      <c r="Z97" s="736">
        <v>5.09</v>
      </c>
      <c r="AA97" s="736">
        <v>5.08</v>
      </c>
      <c r="AB97" s="736">
        <v>5.08</v>
      </c>
      <c r="AC97" s="736">
        <v>5.0599999999999996</v>
      </c>
      <c r="AD97" s="736">
        <v>5.0599999999999996</v>
      </c>
      <c r="AE97" s="770">
        <v>4.0000000000000001E-3</v>
      </c>
      <c r="AF97" s="736"/>
      <c r="AG97" s="736"/>
      <c r="AH97" s="736"/>
      <c r="AI97" s="736"/>
      <c r="AJ97" s="736"/>
      <c r="AK97" s="736"/>
      <c r="AL97" s="736"/>
      <c r="AM97" s="736"/>
      <c r="AN97" s="736"/>
      <c r="AO97" s="736"/>
      <c r="AP97" s="736"/>
      <c r="AQ97" s="736"/>
      <c r="AR97" s="736"/>
      <c r="AS97" s="736"/>
      <c r="AT97" s="736"/>
      <c r="AU97" s="736"/>
      <c r="AV97" s="736"/>
      <c r="AW97" s="736"/>
      <c r="AX97" s="736"/>
      <c r="AY97" s="736"/>
      <c r="AZ97" s="736"/>
      <c r="BA97" s="736"/>
      <c r="BB97" s="736"/>
      <c r="BC97" s="736"/>
      <c r="BD97" s="736"/>
      <c r="BE97" s="736"/>
      <c r="BF97" s="736"/>
      <c r="BG97" s="736"/>
      <c r="BH97" s="736"/>
      <c r="BI97" s="736"/>
      <c r="BJ97" s="736"/>
      <c r="BK97" s="736"/>
      <c r="BL97" s="736"/>
      <c r="BM97" s="736"/>
      <c r="BN97" s="736"/>
      <c r="BO97" s="736"/>
      <c r="BP97" s="736"/>
      <c r="BQ97" s="736"/>
      <c r="BR97" s="736"/>
      <c r="BS97" s="736"/>
      <c r="BT97" s="736"/>
    </row>
    <row r="98" spans="1:72" x14ac:dyDescent="0.25">
      <c r="A98" s="736" t="s">
        <v>600</v>
      </c>
      <c r="B98" s="736">
        <v>2.48</v>
      </c>
      <c r="C98" s="736">
        <v>2.84</v>
      </c>
      <c r="D98" s="736">
        <v>2.79</v>
      </c>
      <c r="E98" s="736">
        <v>2.69</v>
      </c>
      <c r="F98" s="736">
        <v>2.69</v>
      </c>
      <c r="G98" s="736">
        <v>2.69</v>
      </c>
      <c r="H98" s="736">
        <v>2.66</v>
      </c>
      <c r="I98" s="736">
        <v>2.68</v>
      </c>
      <c r="J98" s="736">
        <v>2.69</v>
      </c>
      <c r="K98" s="736">
        <v>2.68</v>
      </c>
      <c r="L98" s="736">
        <v>2.69</v>
      </c>
      <c r="M98" s="736">
        <v>2.68</v>
      </c>
      <c r="N98" s="736">
        <v>2.67</v>
      </c>
      <c r="O98" s="736">
        <v>2.66</v>
      </c>
      <c r="P98" s="736">
        <v>2.65</v>
      </c>
      <c r="Q98" s="736">
        <v>2.65</v>
      </c>
      <c r="R98" s="736">
        <v>2.63</v>
      </c>
      <c r="S98" s="736">
        <v>2.63</v>
      </c>
      <c r="T98" s="736">
        <v>2.63</v>
      </c>
      <c r="U98" s="736">
        <v>2.64</v>
      </c>
      <c r="V98" s="736">
        <v>2.63</v>
      </c>
      <c r="W98" s="736">
        <v>2.64</v>
      </c>
      <c r="X98" s="736">
        <v>2.65</v>
      </c>
      <c r="Y98" s="736">
        <v>2.66</v>
      </c>
      <c r="Z98" s="736">
        <v>2.67</v>
      </c>
      <c r="AA98" s="736">
        <v>2.67</v>
      </c>
      <c r="AB98" s="736">
        <v>2.69</v>
      </c>
      <c r="AC98" s="736">
        <v>2.7</v>
      </c>
      <c r="AD98" s="736">
        <v>2.71</v>
      </c>
      <c r="AE98" s="770">
        <v>-2E-3</v>
      </c>
      <c r="AF98" s="736"/>
      <c r="AG98" s="736"/>
      <c r="AH98" s="736"/>
      <c r="AI98" s="736"/>
      <c r="AJ98" s="736"/>
      <c r="AK98" s="736"/>
      <c r="AL98" s="736"/>
      <c r="AM98" s="736"/>
      <c r="AN98" s="736"/>
      <c r="AO98" s="736"/>
      <c r="AP98" s="736"/>
      <c r="AQ98" s="736"/>
      <c r="AR98" s="736"/>
      <c r="AS98" s="736"/>
      <c r="AT98" s="736"/>
      <c r="AU98" s="736"/>
      <c r="AV98" s="736"/>
      <c r="AW98" s="736"/>
      <c r="AX98" s="736"/>
      <c r="AY98" s="736"/>
      <c r="AZ98" s="736"/>
      <c r="BA98" s="736"/>
      <c r="BB98" s="736"/>
      <c r="BC98" s="736"/>
      <c r="BD98" s="736"/>
      <c r="BE98" s="736"/>
      <c r="BF98" s="736"/>
      <c r="BG98" s="736"/>
      <c r="BH98" s="736"/>
      <c r="BI98" s="736"/>
      <c r="BJ98" s="736"/>
      <c r="BK98" s="736"/>
      <c r="BL98" s="736"/>
      <c r="BM98" s="736"/>
      <c r="BN98" s="736"/>
      <c r="BO98" s="736"/>
      <c r="BP98" s="736"/>
      <c r="BQ98" s="736"/>
      <c r="BR98" s="736"/>
      <c r="BS98" s="736"/>
      <c r="BT98" s="736"/>
    </row>
    <row r="99" spans="1:72" x14ac:dyDescent="0.25">
      <c r="A99" s="736" t="s">
        <v>601</v>
      </c>
      <c r="B99" s="736" t="s">
        <v>773</v>
      </c>
      <c r="C99" s="736" t="s">
        <v>773</v>
      </c>
      <c r="D99" s="736" t="s">
        <v>773</v>
      </c>
      <c r="E99" s="736" t="s">
        <v>773</v>
      </c>
      <c r="F99" s="736">
        <v>1.26</v>
      </c>
      <c r="G99" s="736">
        <v>1.04</v>
      </c>
      <c r="H99" s="736">
        <v>1.04</v>
      </c>
      <c r="I99" s="736">
        <v>1.41</v>
      </c>
      <c r="J99" s="736">
        <v>1.42</v>
      </c>
      <c r="K99" s="736">
        <v>1.46</v>
      </c>
      <c r="L99" s="736">
        <v>1.48</v>
      </c>
      <c r="M99" s="736">
        <v>1.48</v>
      </c>
      <c r="N99" s="736">
        <v>1.47</v>
      </c>
      <c r="O99" s="736">
        <v>1.46</v>
      </c>
      <c r="P99" s="736">
        <v>1.49</v>
      </c>
      <c r="Q99" s="736">
        <v>1.5</v>
      </c>
      <c r="R99" s="736">
        <v>1.52</v>
      </c>
      <c r="S99" s="736">
        <v>1.49</v>
      </c>
      <c r="T99" s="736">
        <v>1.49</v>
      </c>
      <c r="U99" s="736">
        <v>1.47</v>
      </c>
      <c r="V99" s="736">
        <v>1.46</v>
      </c>
      <c r="W99" s="736">
        <v>1.45</v>
      </c>
      <c r="X99" s="736">
        <v>1.44</v>
      </c>
      <c r="Y99" s="736">
        <v>1.44</v>
      </c>
      <c r="Z99" s="736">
        <v>1.44</v>
      </c>
      <c r="AA99" s="736">
        <v>1.44</v>
      </c>
      <c r="AB99" s="736">
        <v>1.46</v>
      </c>
      <c r="AC99" s="736">
        <v>1.48</v>
      </c>
      <c r="AD99" s="736">
        <v>1.51</v>
      </c>
      <c r="AE99" s="736" t="s">
        <v>773</v>
      </c>
      <c r="AF99" s="736"/>
      <c r="AG99" s="736"/>
      <c r="AH99" s="736"/>
      <c r="AI99" s="736"/>
      <c r="AJ99" s="736"/>
      <c r="AK99" s="736"/>
      <c r="AL99" s="736"/>
      <c r="AM99" s="736"/>
      <c r="AN99" s="736"/>
      <c r="AO99" s="736"/>
      <c r="AP99" s="736"/>
      <c r="AQ99" s="736"/>
      <c r="AR99" s="736"/>
      <c r="AS99" s="736"/>
      <c r="AT99" s="736"/>
      <c r="AU99" s="736"/>
      <c r="AV99" s="736"/>
      <c r="AW99" s="736"/>
      <c r="AX99" s="736"/>
      <c r="AY99" s="736"/>
      <c r="AZ99" s="736"/>
      <c r="BA99" s="736"/>
      <c r="BB99" s="736"/>
      <c r="BC99" s="736"/>
      <c r="BD99" s="736"/>
      <c r="BE99" s="736"/>
      <c r="BF99" s="736"/>
      <c r="BG99" s="736"/>
      <c r="BH99" s="736"/>
      <c r="BI99" s="736"/>
      <c r="BJ99" s="736"/>
      <c r="BK99" s="736"/>
      <c r="BL99" s="736"/>
      <c r="BM99" s="736"/>
      <c r="BN99" s="736"/>
      <c r="BO99" s="736"/>
      <c r="BP99" s="736"/>
      <c r="BQ99" s="736"/>
      <c r="BR99" s="736"/>
      <c r="BS99" s="736"/>
      <c r="BT99" s="736"/>
    </row>
    <row r="100" spans="1:72" x14ac:dyDescent="0.25">
      <c r="A100" s="736" t="s">
        <v>465</v>
      </c>
      <c r="B100" s="736">
        <v>19.02</v>
      </c>
      <c r="C100" s="736">
        <v>20.21</v>
      </c>
      <c r="D100" s="736">
        <v>20.04</v>
      </c>
      <c r="E100" s="736">
        <v>19.149999999999999</v>
      </c>
      <c r="F100" s="736">
        <v>17.11</v>
      </c>
      <c r="G100" s="736">
        <v>17.73</v>
      </c>
      <c r="H100" s="736">
        <v>17.62</v>
      </c>
      <c r="I100" s="736">
        <v>17.350000000000001</v>
      </c>
      <c r="J100" s="736">
        <v>17.37</v>
      </c>
      <c r="K100" s="736">
        <v>17.62</v>
      </c>
      <c r="L100" s="736">
        <v>17.75</v>
      </c>
      <c r="M100" s="736">
        <v>17.77</v>
      </c>
      <c r="N100" s="736">
        <v>17.75</v>
      </c>
      <c r="O100" s="736">
        <v>17.920000000000002</v>
      </c>
      <c r="P100" s="736">
        <v>18.07</v>
      </c>
      <c r="Q100" s="736">
        <v>18.190000000000001</v>
      </c>
      <c r="R100" s="736">
        <v>18.38</v>
      </c>
      <c r="S100" s="736">
        <v>18.53</v>
      </c>
      <c r="T100" s="736">
        <v>18.5</v>
      </c>
      <c r="U100" s="736">
        <v>18.61</v>
      </c>
      <c r="V100" s="736">
        <v>18.78</v>
      </c>
      <c r="W100" s="736">
        <v>18.97</v>
      </c>
      <c r="X100" s="736">
        <v>19.3</v>
      </c>
      <c r="Y100" s="736">
        <v>19.579999999999998</v>
      </c>
      <c r="Z100" s="736">
        <v>19.88</v>
      </c>
      <c r="AA100" s="736">
        <v>20.16</v>
      </c>
      <c r="AB100" s="736">
        <v>20.3</v>
      </c>
      <c r="AC100" s="736">
        <v>20.52</v>
      </c>
      <c r="AD100" s="736">
        <v>20.71</v>
      </c>
      <c r="AE100" s="770">
        <v>1E-3</v>
      </c>
      <c r="AF100" s="736"/>
      <c r="AG100" s="736"/>
      <c r="AH100" s="736"/>
      <c r="AI100" s="736"/>
      <c r="AJ100" s="736"/>
      <c r="AK100" s="736"/>
      <c r="AL100" s="736"/>
      <c r="AM100" s="736"/>
      <c r="AN100" s="736"/>
      <c r="AO100" s="736"/>
      <c r="AP100" s="736"/>
      <c r="AQ100" s="736"/>
      <c r="AR100" s="736"/>
      <c r="AS100" s="736"/>
      <c r="AT100" s="736"/>
      <c r="AU100" s="736"/>
      <c r="AV100" s="736"/>
      <c r="AW100" s="736"/>
      <c r="AX100" s="736"/>
      <c r="AY100" s="736"/>
      <c r="AZ100" s="736"/>
      <c r="BA100" s="736"/>
      <c r="BB100" s="736"/>
      <c r="BC100" s="736"/>
      <c r="BD100" s="736"/>
      <c r="BE100" s="736"/>
      <c r="BF100" s="736"/>
      <c r="BG100" s="736"/>
      <c r="BH100" s="736"/>
      <c r="BI100" s="736"/>
      <c r="BJ100" s="736"/>
      <c r="BK100" s="736"/>
      <c r="BL100" s="736"/>
      <c r="BM100" s="736"/>
      <c r="BN100" s="736"/>
      <c r="BO100" s="736"/>
      <c r="BP100" s="736"/>
      <c r="BQ100" s="736"/>
      <c r="BR100" s="736"/>
      <c r="BS100" s="736"/>
      <c r="BT100" s="736"/>
    </row>
    <row r="101" spans="1:72" x14ac:dyDescent="0.25">
      <c r="A101" s="736"/>
      <c r="B101" s="736"/>
      <c r="C101" s="736"/>
      <c r="D101" s="736"/>
      <c r="E101" s="736"/>
      <c r="F101" s="736"/>
      <c r="G101" s="736"/>
      <c r="H101" s="736"/>
      <c r="I101" s="736"/>
      <c r="J101" s="736"/>
      <c r="K101" s="736"/>
      <c r="L101" s="736"/>
      <c r="M101" s="736"/>
      <c r="N101" s="736"/>
      <c r="O101" s="736"/>
      <c r="P101" s="736"/>
      <c r="Q101" s="736"/>
      <c r="R101" s="736"/>
      <c r="S101" s="736"/>
      <c r="T101" s="736"/>
      <c r="U101" s="736"/>
      <c r="V101" s="736"/>
      <c r="W101" s="736"/>
      <c r="X101" s="736"/>
      <c r="Y101" s="736"/>
      <c r="Z101" s="736"/>
      <c r="AA101" s="736"/>
      <c r="AB101" s="736"/>
      <c r="AC101" s="736"/>
      <c r="AD101" s="736"/>
      <c r="AE101" s="736"/>
      <c r="AF101" s="736"/>
      <c r="AG101" s="736"/>
      <c r="AH101" s="736"/>
      <c r="AI101" s="736"/>
      <c r="AJ101" s="736"/>
      <c r="AK101" s="736"/>
      <c r="AL101" s="736"/>
      <c r="AM101" s="736"/>
      <c r="AN101" s="736"/>
      <c r="AO101" s="736"/>
      <c r="AP101" s="736"/>
      <c r="AQ101" s="736"/>
      <c r="AR101" s="736"/>
      <c r="AS101" s="736"/>
      <c r="AT101" s="736"/>
      <c r="AU101" s="736"/>
      <c r="AV101" s="736"/>
      <c r="AW101" s="736"/>
      <c r="AX101" s="736"/>
      <c r="AY101" s="736"/>
      <c r="AZ101" s="736"/>
      <c r="BA101" s="736"/>
      <c r="BB101" s="736"/>
      <c r="BC101" s="736"/>
      <c r="BD101" s="736"/>
      <c r="BE101" s="736"/>
      <c r="BF101" s="736"/>
      <c r="BG101" s="736"/>
      <c r="BH101" s="736"/>
      <c r="BI101" s="736"/>
      <c r="BJ101" s="736"/>
      <c r="BK101" s="736"/>
      <c r="BL101" s="736"/>
      <c r="BM101" s="736"/>
      <c r="BN101" s="736"/>
      <c r="BO101" s="736"/>
      <c r="BP101" s="736"/>
      <c r="BQ101" s="736"/>
      <c r="BR101" s="736"/>
      <c r="BS101" s="736"/>
      <c r="BT101" s="736"/>
    </row>
    <row r="102" spans="1:72" x14ac:dyDescent="0.25">
      <c r="A102" s="736" t="s">
        <v>473</v>
      </c>
      <c r="B102" s="736"/>
      <c r="C102" s="736"/>
      <c r="D102" s="736"/>
      <c r="E102" s="736"/>
      <c r="F102" s="736"/>
      <c r="G102" s="736"/>
      <c r="H102" s="736"/>
      <c r="I102" s="736"/>
      <c r="J102" s="736"/>
      <c r="K102" s="736"/>
      <c r="L102" s="736"/>
      <c r="M102" s="736"/>
      <c r="N102" s="736"/>
      <c r="O102" s="736"/>
      <c r="P102" s="736"/>
      <c r="Q102" s="736"/>
      <c r="R102" s="736"/>
      <c r="S102" s="736"/>
      <c r="T102" s="736"/>
      <c r="U102" s="736"/>
      <c r="V102" s="736"/>
      <c r="W102" s="736"/>
      <c r="X102" s="736"/>
      <c r="Y102" s="736"/>
      <c r="Z102" s="736"/>
      <c r="AA102" s="736"/>
      <c r="AB102" s="736"/>
      <c r="AC102" s="736"/>
      <c r="AD102" s="736"/>
      <c r="AE102" s="736"/>
      <c r="AF102" s="736"/>
      <c r="AG102" s="736"/>
      <c r="AH102" s="736"/>
      <c r="AI102" s="736"/>
      <c r="AJ102" s="736"/>
      <c r="AK102" s="736"/>
      <c r="AL102" s="736"/>
      <c r="AM102" s="736"/>
      <c r="AN102" s="736"/>
      <c r="AO102" s="736"/>
      <c r="AP102" s="736"/>
      <c r="AQ102" s="736"/>
      <c r="AR102" s="736"/>
      <c r="AS102" s="736"/>
      <c r="AT102" s="736"/>
      <c r="AU102" s="736"/>
      <c r="AV102" s="736"/>
      <c r="AW102" s="736"/>
      <c r="AX102" s="736"/>
      <c r="AY102" s="736"/>
      <c r="AZ102" s="736"/>
      <c r="BA102" s="736"/>
      <c r="BB102" s="736"/>
      <c r="BC102" s="736"/>
      <c r="BD102" s="736"/>
      <c r="BE102" s="736"/>
      <c r="BF102" s="736"/>
      <c r="BG102" s="736"/>
      <c r="BH102" s="736"/>
      <c r="BI102" s="736"/>
      <c r="BJ102" s="736"/>
      <c r="BK102" s="736"/>
      <c r="BL102" s="736"/>
      <c r="BM102" s="736"/>
      <c r="BN102" s="736"/>
      <c r="BO102" s="736"/>
      <c r="BP102" s="736"/>
      <c r="BQ102" s="736"/>
      <c r="BR102" s="736"/>
      <c r="BS102" s="736"/>
      <c r="BT102" s="736"/>
    </row>
    <row r="103" spans="1:72" x14ac:dyDescent="0.25">
      <c r="A103" s="736" t="s">
        <v>602</v>
      </c>
      <c r="B103" s="736">
        <v>23.83</v>
      </c>
      <c r="C103" s="736">
        <v>29.93</v>
      </c>
      <c r="D103" s="736">
        <v>25.2</v>
      </c>
      <c r="E103" s="736">
        <v>23.89</v>
      </c>
      <c r="F103" s="736">
        <v>23.98</v>
      </c>
      <c r="G103" s="736">
        <v>25.13</v>
      </c>
      <c r="H103" s="736">
        <v>26.33</v>
      </c>
      <c r="I103" s="736">
        <v>27.29</v>
      </c>
      <c r="J103" s="736">
        <v>27.88</v>
      </c>
      <c r="K103" s="736">
        <v>28.53</v>
      </c>
      <c r="L103" s="736">
        <v>29.07</v>
      </c>
      <c r="M103" s="736">
        <v>29.65</v>
      </c>
      <c r="N103" s="736">
        <v>29.91</v>
      </c>
      <c r="O103" s="736">
        <v>30.13</v>
      </c>
      <c r="P103" s="736">
        <v>30.36</v>
      </c>
      <c r="Q103" s="736">
        <v>30.56</v>
      </c>
      <c r="R103" s="736">
        <v>30.83</v>
      </c>
      <c r="S103" s="736">
        <v>31.1</v>
      </c>
      <c r="T103" s="736">
        <v>31.36</v>
      </c>
      <c r="U103" s="736">
        <v>31.5</v>
      </c>
      <c r="V103" s="736">
        <v>31.77</v>
      </c>
      <c r="W103" s="736">
        <v>32.01</v>
      </c>
      <c r="X103" s="736">
        <v>32.36</v>
      </c>
      <c r="Y103" s="736">
        <v>32.58</v>
      </c>
      <c r="Z103" s="736">
        <v>32.93</v>
      </c>
      <c r="AA103" s="736">
        <v>33.26</v>
      </c>
      <c r="AB103" s="736">
        <v>33.64</v>
      </c>
      <c r="AC103" s="736">
        <v>34</v>
      </c>
      <c r="AD103" s="736">
        <v>34.380000000000003</v>
      </c>
      <c r="AE103" s="770">
        <v>5.0000000000000001E-3</v>
      </c>
      <c r="AF103" s="736"/>
      <c r="AG103" s="736"/>
      <c r="AH103" s="736"/>
      <c r="AI103" s="736"/>
      <c r="AJ103" s="736"/>
      <c r="AK103" s="736"/>
      <c r="AL103" s="736"/>
      <c r="AM103" s="736"/>
      <c r="AN103" s="736"/>
      <c r="AO103" s="736"/>
      <c r="AP103" s="736"/>
      <c r="AQ103" s="736"/>
      <c r="AR103" s="736"/>
      <c r="AS103" s="736"/>
      <c r="AT103" s="736"/>
      <c r="AU103" s="736"/>
      <c r="AV103" s="736"/>
      <c r="AW103" s="736"/>
      <c r="AX103" s="736"/>
      <c r="AY103" s="736"/>
      <c r="AZ103" s="736"/>
      <c r="BA103" s="736"/>
      <c r="BB103" s="736"/>
      <c r="BC103" s="736"/>
      <c r="BD103" s="736"/>
      <c r="BE103" s="736"/>
      <c r="BF103" s="736"/>
      <c r="BG103" s="736"/>
      <c r="BH103" s="736"/>
      <c r="BI103" s="736"/>
      <c r="BJ103" s="736"/>
      <c r="BK103" s="736"/>
      <c r="BL103" s="736"/>
      <c r="BM103" s="736"/>
      <c r="BN103" s="736"/>
      <c r="BO103" s="736"/>
      <c r="BP103" s="736"/>
      <c r="BQ103" s="736"/>
      <c r="BR103" s="736"/>
      <c r="BS103" s="736"/>
      <c r="BT103" s="736"/>
    </row>
    <row r="104" spans="1:72" x14ac:dyDescent="0.25">
      <c r="A104" s="736" t="s">
        <v>603</v>
      </c>
      <c r="B104" s="736">
        <v>27.43</v>
      </c>
      <c r="C104" s="736">
        <v>26.93</v>
      </c>
      <c r="D104" s="736">
        <v>23.29</v>
      </c>
      <c r="E104" s="736">
        <v>20.64</v>
      </c>
      <c r="F104" s="736">
        <v>20.97</v>
      </c>
      <c r="G104" s="736">
        <v>22.13</v>
      </c>
      <c r="H104" s="736">
        <v>24.21</v>
      </c>
      <c r="I104" s="736">
        <v>25.23</v>
      </c>
      <c r="J104" s="736">
        <v>25.55</v>
      </c>
      <c r="K104" s="736">
        <v>25.08</v>
      </c>
      <c r="L104" s="736">
        <v>25.9</v>
      </c>
      <c r="M104" s="736">
        <v>26.54</v>
      </c>
      <c r="N104" s="736">
        <v>26.68</v>
      </c>
      <c r="O104" s="736">
        <v>26.95</v>
      </c>
      <c r="P104" s="736">
        <v>27.32</v>
      </c>
      <c r="Q104" s="736">
        <v>27.82</v>
      </c>
      <c r="R104" s="736">
        <v>28.31</v>
      </c>
      <c r="S104" s="736">
        <v>28.55</v>
      </c>
      <c r="T104" s="736">
        <v>28.86</v>
      </c>
      <c r="U104" s="736">
        <v>29.22</v>
      </c>
      <c r="V104" s="736">
        <v>29.49</v>
      </c>
      <c r="W104" s="736">
        <v>30.03</v>
      </c>
      <c r="X104" s="736">
        <v>30.44</v>
      </c>
      <c r="Y104" s="736">
        <v>30.64</v>
      </c>
      <c r="Z104" s="736">
        <v>30.86</v>
      </c>
      <c r="AA104" s="736">
        <v>31.29</v>
      </c>
      <c r="AB104" s="736">
        <v>31.49</v>
      </c>
      <c r="AC104" s="736">
        <v>31.77</v>
      </c>
      <c r="AD104" s="736">
        <v>32.229999999999997</v>
      </c>
      <c r="AE104" s="770">
        <v>7.0000000000000001E-3</v>
      </c>
      <c r="AF104" s="736"/>
      <c r="AG104" s="736"/>
      <c r="AH104" s="736"/>
      <c r="AI104" s="736"/>
      <c r="AJ104" s="736"/>
      <c r="AK104" s="736"/>
      <c r="AL104" s="736"/>
      <c r="AM104" s="736"/>
      <c r="AN104" s="736"/>
      <c r="AO104" s="736"/>
      <c r="AP104" s="736"/>
      <c r="AQ104" s="736"/>
      <c r="AR104" s="736"/>
      <c r="AS104" s="736"/>
      <c r="AT104" s="736"/>
      <c r="AU104" s="736"/>
      <c r="AV104" s="736"/>
      <c r="AW104" s="736"/>
      <c r="AX104" s="736"/>
      <c r="AY104" s="736"/>
      <c r="AZ104" s="736"/>
      <c r="BA104" s="736"/>
      <c r="BB104" s="736"/>
      <c r="BC104" s="736"/>
      <c r="BD104" s="736"/>
      <c r="BE104" s="736"/>
      <c r="BF104" s="736"/>
      <c r="BG104" s="736"/>
      <c r="BH104" s="736"/>
      <c r="BI104" s="736"/>
      <c r="BJ104" s="736"/>
      <c r="BK104" s="736"/>
      <c r="BL104" s="736"/>
      <c r="BM104" s="736"/>
      <c r="BN104" s="736"/>
      <c r="BO104" s="736"/>
      <c r="BP104" s="736"/>
      <c r="BQ104" s="736"/>
      <c r="BR104" s="736"/>
      <c r="BS104" s="736"/>
      <c r="BT104" s="736"/>
    </row>
    <row r="105" spans="1:72" x14ac:dyDescent="0.25">
      <c r="A105" s="736" t="s">
        <v>604</v>
      </c>
      <c r="B105" s="736">
        <v>23.66</v>
      </c>
      <c r="C105" s="736">
        <v>26.76</v>
      </c>
      <c r="D105" s="736">
        <v>19.14</v>
      </c>
      <c r="E105" s="736">
        <v>20.55</v>
      </c>
      <c r="F105" s="736">
        <v>20.88</v>
      </c>
      <c r="G105" s="736">
        <v>22.03</v>
      </c>
      <c r="H105" s="736">
        <v>24.02</v>
      </c>
      <c r="I105" s="736">
        <v>24.94</v>
      </c>
      <c r="J105" s="736">
        <v>25.37</v>
      </c>
      <c r="K105" s="736">
        <v>25.94</v>
      </c>
      <c r="L105" s="736">
        <v>26.47</v>
      </c>
      <c r="M105" s="736">
        <v>26.89</v>
      </c>
      <c r="N105" s="736">
        <v>27.2</v>
      </c>
      <c r="O105" s="736">
        <v>27.59</v>
      </c>
      <c r="P105" s="736">
        <v>27.82</v>
      </c>
      <c r="Q105" s="736">
        <v>28.18</v>
      </c>
      <c r="R105" s="736">
        <v>28.42</v>
      </c>
      <c r="S105" s="736">
        <v>28.54</v>
      </c>
      <c r="T105" s="736">
        <v>28.87</v>
      </c>
      <c r="U105" s="736">
        <v>29.19</v>
      </c>
      <c r="V105" s="736">
        <v>29.47</v>
      </c>
      <c r="W105" s="736">
        <v>29.9</v>
      </c>
      <c r="X105" s="736">
        <v>30.27</v>
      </c>
      <c r="Y105" s="736">
        <v>30.42</v>
      </c>
      <c r="Z105" s="736">
        <v>30.77</v>
      </c>
      <c r="AA105" s="736">
        <v>31.16</v>
      </c>
      <c r="AB105" s="736">
        <v>31.44</v>
      </c>
      <c r="AC105" s="736">
        <v>31.81</v>
      </c>
      <c r="AD105" s="736">
        <v>32.33</v>
      </c>
      <c r="AE105" s="770">
        <v>7.0000000000000001E-3</v>
      </c>
      <c r="AF105" s="736"/>
      <c r="AG105" s="736"/>
      <c r="AH105" s="736"/>
      <c r="AI105" s="736"/>
      <c r="AJ105" s="736"/>
      <c r="AK105" s="736"/>
      <c r="AL105" s="736"/>
      <c r="AM105" s="736"/>
      <c r="AN105" s="736"/>
      <c r="AO105" s="736"/>
      <c r="AP105" s="736"/>
      <c r="AQ105" s="736"/>
      <c r="AR105" s="736"/>
      <c r="AS105" s="736"/>
      <c r="AT105" s="736"/>
      <c r="AU105" s="736"/>
      <c r="AV105" s="736"/>
      <c r="AW105" s="736"/>
      <c r="AX105" s="736"/>
      <c r="AY105" s="736"/>
      <c r="AZ105" s="736"/>
      <c r="BA105" s="736"/>
      <c r="BB105" s="736"/>
      <c r="BC105" s="736"/>
      <c r="BD105" s="736"/>
      <c r="BE105" s="736"/>
      <c r="BF105" s="736"/>
      <c r="BG105" s="736"/>
      <c r="BH105" s="736"/>
      <c r="BI105" s="736"/>
      <c r="BJ105" s="736"/>
      <c r="BK105" s="736"/>
      <c r="BL105" s="736"/>
      <c r="BM105" s="736"/>
      <c r="BN105" s="736"/>
      <c r="BO105" s="736"/>
      <c r="BP105" s="736"/>
      <c r="BQ105" s="736"/>
      <c r="BR105" s="736"/>
      <c r="BS105" s="736"/>
      <c r="BT105" s="736"/>
    </row>
    <row r="106" spans="1:72" x14ac:dyDescent="0.25">
      <c r="A106" s="736" t="s">
        <v>605</v>
      </c>
      <c r="B106" s="736">
        <v>15.77</v>
      </c>
      <c r="C106" s="736">
        <v>22.71</v>
      </c>
      <c r="D106" s="736">
        <v>12.73</v>
      </c>
      <c r="E106" s="736">
        <v>14.79</v>
      </c>
      <c r="F106" s="736">
        <v>15.16</v>
      </c>
      <c r="G106" s="736">
        <v>16.54</v>
      </c>
      <c r="H106" s="736">
        <v>17.690000000000001</v>
      </c>
      <c r="I106" s="736">
        <v>18.46</v>
      </c>
      <c r="J106" s="736">
        <v>19.04</v>
      </c>
      <c r="K106" s="736">
        <v>19.760000000000002</v>
      </c>
      <c r="L106" s="736">
        <v>20.41</v>
      </c>
      <c r="M106" s="736">
        <v>20.97</v>
      </c>
      <c r="N106" s="736">
        <v>21.35</v>
      </c>
      <c r="O106" s="736">
        <v>21.69</v>
      </c>
      <c r="P106" s="736">
        <v>21.85</v>
      </c>
      <c r="Q106" s="736">
        <v>22.09</v>
      </c>
      <c r="R106" s="736">
        <v>22.41</v>
      </c>
      <c r="S106" s="736">
        <v>22.61</v>
      </c>
      <c r="T106" s="736">
        <v>22.92</v>
      </c>
      <c r="U106" s="736">
        <v>23.19</v>
      </c>
      <c r="V106" s="736">
        <v>23.48</v>
      </c>
      <c r="W106" s="736">
        <v>23.9</v>
      </c>
      <c r="X106" s="736">
        <v>24.26</v>
      </c>
      <c r="Y106" s="736">
        <v>24.51</v>
      </c>
      <c r="Z106" s="736">
        <v>24.9</v>
      </c>
      <c r="AA106" s="736">
        <v>25.3</v>
      </c>
      <c r="AB106" s="736">
        <v>25.64</v>
      </c>
      <c r="AC106" s="736">
        <v>26.05</v>
      </c>
      <c r="AD106" s="736">
        <v>26.48</v>
      </c>
      <c r="AE106" s="770">
        <v>6.0000000000000001E-3</v>
      </c>
      <c r="AF106" s="736"/>
      <c r="AG106" s="736"/>
      <c r="AH106" s="736"/>
      <c r="AI106" s="736"/>
      <c r="AJ106" s="736"/>
      <c r="AK106" s="736"/>
      <c r="AL106" s="736"/>
      <c r="AM106" s="736"/>
      <c r="AN106" s="736"/>
      <c r="AO106" s="736"/>
      <c r="AP106" s="736"/>
      <c r="AQ106" s="736"/>
      <c r="AR106" s="736"/>
      <c r="AS106" s="736"/>
      <c r="AT106" s="736"/>
      <c r="AU106" s="736"/>
      <c r="AV106" s="736"/>
      <c r="AW106" s="736"/>
      <c r="AX106" s="736"/>
      <c r="AY106" s="736"/>
      <c r="AZ106" s="736"/>
      <c r="BA106" s="736"/>
      <c r="BB106" s="736"/>
      <c r="BC106" s="736"/>
      <c r="BD106" s="736"/>
      <c r="BE106" s="736"/>
      <c r="BF106" s="736"/>
      <c r="BG106" s="736"/>
      <c r="BH106" s="736"/>
      <c r="BI106" s="736"/>
      <c r="BJ106" s="736"/>
      <c r="BK106" s="736"/>
      <c r="BL106" s="736"/>
      <c r="BM106" s="736"/>
      <c r="BN106" s="736"/>
      <c r="BO106" s="736"/>
      <c r="BP106" s="736"/>
      <c r="BQ106" s="736"/>
      <c r="BR106" s="736"/>
      <c r="BS106" s="736"/>
      <c r="BT106" s="736"/>
    </row>
    <row r="107" spans="1:72" x14ac:dyDescent="0.25">
      <c r="A107" s="736" t="s">
        <v>709</v>
      </c>
      <c r="B107" s="736">
        <v>21.55</v>
      </c>
      <c r="C107" s="736">
        <v>27.65</v>
      </c>
      <c r="D107" s="736">
        <v>17.77</v>
      </c>
      <c r="E107" s="736">
        <v>19.12</v>
      </c>
      <c r="F107" s="736">
        <v>19.309999999999999</v>
      </c>
      <c r="G107" s="736">
        <v>20.51</v>
      </c>
      <c r="H107" s="736">
        <v>21.54</v>
      </c>
      <c r="I107" s="736">
        <v>22.25</v>
      </c>
      <c r="J107" s="736">
        <v>22.93</v>
      </c>
      <c r="K107" s="736">
        <v>23.68</v>
      </c>
      <c r="L107" s="736">
        <v>24.26</v>
      </c>
      <c r="M107" s="736">
        <v>24.91</v>
      </c>
      <c r="N107" s="736">
        <v>25.29</v>
      </c>
      <c r="O107" s="736">
        <v>25.6</v>
      </c>
      <c r="P107" s="736">
        <v>25.79</v>
      </c>
      <c r="Q107" s="736">
        <v>26.12</v>
      </c>
      <c r="R107" s="736">
        <v>26.26</v>
      </c>
      <c r="S107" s="736">
        <v>26.34</v>
      </c>
      <c r="T107" s="736">
        <v>26.63</v>
      </c>
      <c r="U107" s="736">
        <v>26.83</v>
      </c>
      <c r="V107" s="736">
        <v>27.09</v>
      </c>
      <c r="W107" s="736">
        <v>27.4</v>
      </c>
      <c r="X107" s="736">
        <v>27.8</v>
      </c>
      <c r="Y107" s="736">
        <v>27.96</v>
      </c>
      <c r="Z107" s="736">
        <v>28.38</v>
      </c>
      <c r="AA107" s="736">
        <v>28.78</v>
      </c>
      <c r="AB107" s="736">
        <v>29.09</v>
      </c>
      <c r="AC107" s="736">
        <v>29.49</v>
      </c>
      <c r="AD107" s="736">
        <v>29.96</v>
      </c>
      <c r="AE107" s="770">
        <v>3.0000000000000001E-3</v>
      </c>
      <c r="AF107" s="736"/>
      <c r="AG107" s="736"/>
      <c r="AH107" s="736"/>
      <c r="AI107" s="736"/>
      <c r="AJ107" s="736"/>
      <c r="AK107" s="736"/>
      <c r="AL107" s="736"/>
      <c r="AM107" s="736"/>
      <c r="AN107" s="736"/>
      <c r="AO107" s="736"/>
      <c r="AP107" s="736"/>
      <c r="AQ107" s="736"/>
      <c r="AR107" s="736"/>
      <c r="AS107" s="736"/>
      <c r="AT107" s="736"/>
      <c r="AU107" s="736"/>
      <c r="AV107" s="736"/>
      <c r="AW107" s="736"/>
      <c r="AX107" s="736"/>
      <c r="AY107" s="736"/>
      <c r="AZ107" s="736"/>
      <c r="BA107" s="736"/>
      <c r="BB107" s="736"/>
      <c r="BC107" s="736"/>
      <c r="BD107" s="736"/>
      <c r="BE107" s="736"/>
      <c r="BF107" s="736"/>
      <c r="BG107" s="736"/>
      <c r="BH107" s="736"/>
      <c r="BI107" s="736"/>
      <c r="BJ107" s="736"/>
      <c r="BK107" s="736"/>
      <c r="BL107" s="736"/>
      <c r="BM107" s="736"/>
      <c r="BN107" s="736"/>
      <c r="BO107" s="736"/>
      <c r="BP107" s="736"/>
      <c r="BQ107" s="736"/>
      <c r="BR107" s="736"/>
      <c r="BS107" s="736"/>
      <c r="BT107" s="736"/>
    </row>
    <row r="108" spans="1:72" x14ac:dyDescent="0.25">
      <c r="A108" s="736" t="s">
        <v>596</v>
      </c>
      <c r="B108" s="736">
        <v>9.19</v>
      </c>
      <c r="C108" s="736">
        <v>14.49</v>
      </c>
      <c r="D108" s="736">
        <v>8.86</v>
      </c>
      <c r="E108" s="736">
        <v>10.210000000000001</v>
      </c>
      <c r="F108" s="736">
        <v>10.32</v>
      </c>
      <c r="G108" s="736">
        <v>11.5</v>
      </c>
      <c r="H108" s="736">
        <v>12.44</v>
      </c>
      <c r="I108" s="736">
        <v>13.18</v>
      </c>
      <c r="J108" s="736">
        <v>13.58</v>
      </c>
      <c r="K108" s="736">
        <v>13.9</v>
      </c>
      <c r="L108" s="736">
        <v>14.43</v>
      </c>
      <c r="M108" s="736">
        <v>14.81</v>
      </c>
      <c r="N108" s="736">
        <v>14.97</v>
      </c>
      <c r="O108" s="736">
        <v>14.99</v>
      </c>
      <c r="P108" s="736">
        <v>15.23</v>
      </c>
      <c r="Q108" s="736">
        <v>15.34</v>
      </c>
      <c r="R108" s="736">
        <v>15.55</v>
      </c>
      <c r="S108" s="736">
        <v>15.75</v>
      </c>
      <c r="T108" s="736">
        <v>15.93</v>
      </c>
      <c r="U108" s="736">
        <v>15.98</v>
      </c>
      <c r="V108" s="736">
        <v>16.27</v>
      </c>
      <c r="W108" s="736">
        <v>16.5</v>
      </c>
      <c r="X108" s="736">
        <v>16.8</v>
      </c>
      <c r="Y108" s="736">
        <v>17.100000000000001</v>
      </c>
      <c r="Z108" s="736">
        <v>17.420000000000002</v>
      </c>
      <c r="AA108" s="736">
        <v>17.690000000000001</v>
      </c>
      <c r="AB108" s="736">
        <v>17.93</v>
      </c>
      <c r="AC108" s="736">
        <v>18.239999999999998</v>
      </c>
      <c r="AD108" s="736">
        <v>18.600000000000001</v>
      </c>
      <c r="AE108" s="770">
        <v>8.9999999999999993E-3</v>
      </c>
      <c r="AF108" s="736"/>
      <c r="AG108" s="736"/>
      <c r="AH108" s="736"/>
      <c r="AI108" s="736"/>
      <c r="AJ108" s="736"/>
      <c r="AK108" s="736"/>
      <c r="AL108" s="736"/>
      <c r="AM108" s="736"/>
      <c r="AN108" s="736"/>
      <c r="AO108" s="736"/>
      <c r="AP108" s="736"/>
      <c r="AQ108" s="736"/>
      <c r="AR108" s="736"/>
      <c r="AS108" s="736"/>
      <c r="AT108" s="736"/>
      <c r="AU108" s="736"/>
      <c r="AV108" s="736"/>
      <c r="AW108" s="736"/>
      <c r="AX108" s="736"/>
      <c r="AY108" s="736"/>
      <c r="AZ108" s="736"/>
      <c r="BA108" s="736"/>
      <c r="BB108" s="736"/>
      <c r="BC108" s="736"/>
      <c r="BD108" s="736"/>
      <c r="BE108" s="736"/>
      <c r="BF108" s="736"/>
      <c r="BG108" s="736"/>
      <c r="BH108" s="736"/>
      <c r="BI108" s="736"/>
      <c r="BJ108" s="736"/>
      <c r="BK108" s="736"/>
      <c r="BL108" s="736"/>
      <c r="BM108" s="736"/>
      <c r="BN108" s="736"/>
      <c r="BO108" s="736"/>
      <c r="BP108" s="736"/>
      <c r="BQ108" s="736"/>
      <c r="BR108" s="736"/>
      <c r="BS108" s="736"/>
      <c r="BT108" s="736"/>
    </row>
    <row r="109" spans="1:72" x14ac:dyDescent="0.25">
      <c r="A109" s="736" t="s">
        <v>607</v>
      </c>
      <c r="B109" s="736">
        <v>13.84</v>
      </c>
      <c r="C109" s="736">
        <v>15.96</v>
      </c>
      <c r="D109" s="736">
        <v>11.36</v>
      </c>
      <c r="E109" s="736">
        <v>12</v>
      </c>
      <c r="F109" s="736">
        <v>13.09</v>
      </c>
      <c r="G109" s="736">
        <v>13.49</v>
      </c>
      <c r="H109" s="736">
        <v>13.36</v>
      </c>
      <c r="I109" s="736">
        <v>13.25</v>
      </c>
      <c r="J109" s="736">
        <v>13.37</v>
      </c>
      <c r="K109" s="736">
        <v>13.41</v>
      </c>
      <c r="L109" s="736">
        <v>13.38</v>
      </c>
      <c r="M109" s="736">
        <v>13.37</v>
      </c>
      <c r="N109" s="736">
        <v>13.38</v>
      </c>
      <c r="O109" s="736">
        <v>13.44</v>
      </c>
      <c r="P109" s="736">
        <v>13.46</v>
      </c>
      <c r="Q109" s="736">
        <v>13.58</v>
      </c>
      <c r="R109" s="736">
        <v>13.54</v>
      </c>
      <c r="S109" s="736">
        <v>13.41</v>
      </c>
      <c r="T109" s="736">
        <v>13.43</v>
      </c>
      <c r="U109" s="736">
        <v>13.54</v>
      </c>
      <c r="V109" s="736">
        <v>13.65</v>
      </c>
      <c r="W109" s="736">
        <v>13.83</v>
      </c>
      <c r="X109" s="736">
        <v>14</v>
      </c>
      <c r="Y109" s="736">
        <v>14.19</v>
      </c>
      <c r="Z109" s="736">
        <v>14.46</v>
      </c>
      <c r="AA109" s="736">
        <v>14.54</v>
      </c>
      <c r="AB109" s="736">
        <v>14.55</v>
      </c>
      <c r="AC109" s="736">
        <v>14.7</v>
      </c>
      <c r="AD109" s="736">
        <v>14.78</v>
      </c>
      <c r="AE109" s="770">
        <v>-3.0000000000000001E-3</v>
      </c>
      <c r="AF109" s="736"/>
      <c r="AG109" s="736"/>
      <c r="AH109" s="736"/>
      <c r="AI109" s="736"/>
      <c r="AJ109" s="736"/>
      <c r="AK109" s="736"/>
      <c r="AL109" s="736"/>
      <c r="AM109" s="736"/>
      <c r="AN109" s="736"/>
      <c r="AO109" s="736"/>
      <c r="AP109" s="736"/>
      <c r="AQ109" s="736"/>
      <c r="AR109" s="736"/>
      <c r="AS109" s="736"/>
      <c r="AT109" s="736"/>
      <c r="AU109" s="736"/>
      <c r="AV109" s="736"/>
      <c r="AW109" s="736"/>
      <c r="AX109" s="736"/>
      <c r="AY109" s="736"/>
      <c r="AZ109" s="736"/>
      <c r="BA109" s="736"/>
      <c r="BB109" s="736"/>
      <c r="BC109" s="736"/>
      <c r="BD109" s="736"/>
      <c r="BE109" s="736"/>
      <c r="BF109" s="736"/>
      <c r="BG109" s="736"/>
      <c r="BH109" s="736"/>
      <c r="BI109" s="736"/>
      <c r="BJ109" s="736"/>
      <c r="BK109" s="736"/>
      <c r="BL109" s="736"/>
      <c r="BM109" s="736"/>
      <c r="BN109" s="736"/>
      <c r="BO109" s="736"/>
      <c r="BP109" s="736"/>
      <c r="BQ109" s="736"/>
      <c r="BR109" s="736"/>
      <c r="BS109" s="736"/>
      <c r="BT109" s="736"/>
    </row>
    <row r="110" spans="1:72" x14ac:dyDescent="0.25">
      <c r="A110" s="736" t="s">
        <v>465</v>
      </c>
      <c r="B110" s="736">
        <v>32.03</v>
      </c>
      <c r="C110" s="736">
        <v>33.729999999999997</v>
      </c>
      <c r="D110" s="736">
        <v>32.299999999999997</v>
      </c>
      <c r="E110" s="736">
        <v>30.29</v>
      </c>
      <c r="F110" s="736">
        <v>27.63</v>
      </c>
      <c r="G110" s="736">
        <v>29.66</v>
      </c>
      <c r="H110" s="736">
        <v>29.72</v>
      </c>
      <c r="I110" s="736">
        <v>29.07</v>
      </c>
      <c r="J110" s="736">
        <v>28.79</v>
      </c>
      <c r="K110" s="736">
        <v>29.01</v>
      </c>
      <c r="L110" s="736">
        <v>29.04</v>
      </c>
      <c r="M110" s="736">
        <v>28.87</v>
      </c>
      <c r="N110" s="736">
        <v>28.59</v>
      </c>
      <c r="O110" s="736">
        <v>28.55</v>
      </c>
      <c r="P110" s="736">
        <v>28.54</v>
      </c>
      <c r="Q110" s="736">
        <v>28.43</v>
      </c>
      <c r="R110" s="736">
        <v>28.48</v>
      </c>
      <c r="S110" s="736">
        <v>28.64</v>
      </c>
      <c r="T110" s="736">
        <v>28.63</v>
      </c>
      <c r="U110" s="736">
        <v>28.88</v>
      </c>
      <c r="V110" s="736">
        <v>29.32</v>
      </c>
      <c r="W110" s="736">
        <v>29.79</v>
      </c>
      <c r="X110" s="736">
        <v>30.51</v>
      </c>
      <c r="Y110" s="736">
        <v>31.01</v>
      </c>
      <c r="Z110" s="736">
        <v>31.61</v>
      </c>
      <c r="AA110" s="736">
        <v>32.15</v>
      </c>
      <c r="AB110" s="736">
        <v>32.47</v>
      </c>
      <c r="AC110" s="736">
        <v>32.89</v>
      </c>
      <c r="AD110" s="736">
        <v>33.26</v>
      </c>
      <c r="AE110" s="770">
        <v>-1E-3</v>
      </c>
      <c r="AF110" s="736"/>
      <c r="AG110" s="736"/>
      <c r="AH110" s="736"/>
      <c r="AI110" s="736"/>
      <c r="AJ110" s="736"/>
      <c r="AK110" s="736"/>
      <c r="AL110" s="736"/>
      <c r="AM110" s="736"/>
      <c r="AN110" s="736"/>
      <c r="AO110" s="736"/>
      <c r="AP110" s="736"/>
      <c r="AQ110" s="736"/>
      <c r="AR110" s="736"/>
      <c r="AS110" s="736"/>
      <c r="AT110" s="736"/>
      <c r="AU110" s="736"/>
      <c r="AV110" s="736"/>
      <c r="AW110" s="736"/>
      <c r="AX110" s="736"/>
      <c r="AY110" s="736"/>
      <c r="AZ110" s="736"/>
      <c r="BA110" s="736"/>
      <c r="BB110" s="736"/>
      <c r="BC110" s="736"/>
      <c r="BD110" s="736"/>
      <c r="BE110" s="736"/>
      <c r="BF110" s="736"/>
      <c r="BG110" s="736"/>
      <c r="BH110" s="736"/>
      <c r="BI110" s="736"/>
      <c r="BJ110" s="736"/>
      <c r="BK110" s="736"/>
      <c r="BL110" s="736"/>
      <c r="BM110" s="736"/>
      <c r="BN110" s="736"/>
      <c r="BO110" s="736"/>
      <c r="BP110" s="736"/>
      <c r="BQ110" s="736"/>
      <c r="BR110" s="736"/>
      <c r="BS110" s="736"/>
      <c r="BT110" s="736"/>
    </row>
    <row r="111" spans="1:72" x14ac:dyDescent="0.25">
      <c r="A111" s="736"/>
      <c r="B111" s="736"/>
      <c r="C111" s="736"/>
      <c r="D111" s="736"/>
      <c r="E111" s="736"/>
      <c r="F111" s="736"/>
      <c r="G111" s="736"/>
      <c r="H111" s="736"/>
      <c r="I111" s="736"/>
      <c r="J111" s="736"/>
      <c r="K111" s="736"/>
      <c r="L111" s="736"/>
      <c r="M111" s="736"/>
      <c r="N111" s="736"/>
      <c r="O111" s="736"/>
      <c r="P111" s="736"/>
      <c r="Q111" s="736"/>
      <c r="R111" s="736"/>
      <c r="S111" s="736"/>
      <c r="T111" s="736"/>
      <c r="U111" s="736"/>
      <c r="V111" s="736"/>
      <c r="W111" s="736"/>
      <c r="X111" s="736"/>
      <c r="Y111" s="736"/>
      <c r="Z111" s="736"/>
      <c r="AA111" s="736"/>
      <c r="AB111" s="736"/>
      <c r="AC111" s="736"/>
      <c r="AD111" s="736"/>
      <c r="AE111" s="736"/>
      <c r="AF111" s="736"/>
      <c r="AG111" s="736"/>
      <c r="AH111" s="736"/>
      <c r="AI111" s="736"/>
      <c r="AJ111" s="736"/>
      <c r="AK111" s="736"/>
      <c r="AL111" s="736"/>
      <c r="AM111" s="736"/>
      <c r="AN111" s="736"/>
      <c r="AO111" s="736"/>
      <c r="AP111" s="736"/>
      <c r="AQ111" s="736"/>
      <c r="AR111" s="736"/>
      <c r="AS111" s="736"/>
      <c r="AT111" s="736"/>
      <c r="AU111" s="736"/>
      <c r="AV111" s="736"/>
      <c r="AW111" s="736"/>
      <c r="AX111" s="736"/>
      <c r="AY111" s="736"/>
      <c r="AZ111" s="736"/>
      <c r="BA111" s="736"/>
      <c r="BB111" s="736"/>
      <c r="BC111" s="736"/>
      <c r="BD111" s="736"/>
      <c r="BE111" s="736"/>
      <c r="BF111" s="736"/>
      <c r="BG111" s="736"/>
      <c r="BH111" s="736"/>
      <c r="BI111" s="736"/>
      <c r="BJ111" s="736"/>
      <c r="BK111" s="736"/>
      <c r="BL111" s="736"/>
      <c r="BM111" s="736"/>
      <c r="BN111" s="736"/>
      <c r="BO111" s="736"/>
      <c r="BP111" s="736"/>
      <c r="BQ111" s="736"/>
      <c r="BR111" s="736"/>
      <c r="BS111" s="736"/>
      <c r="BT111" s="736"/>
    </row>
    <row r="112" spans="1:72" x14ac:dyDescent="0.25">
      <c r="A112" s="736" t="s">
        <v>608</v>
      </c>
      <c r="B112" s="736"/>
      <c r="C112" s="736"/>
      <c r="D112" s="736"/>
      <c r="E112" s="736"/>
      <c r="F112" s="736"/>
      <c r="G112" s="736"/>
      <c r="H112" s="736"/>
      <c r="I112" s="736"/>
      <c r="J112" s="736"/>
      <c r="K112" s="736"/>
      <c r="L112" s="736"/>
      <c r="M112" s="736"/>
      <c r="N112" s="736"/>
      <c r="O112" s="736"/>
      <c r="P112" s="736"/>
      <c r="Q112" s="736"/>
      <c r="R112" s="736"/>
      <c r="S112" s="736"/>
      <c r="T112" s="736"/>
      <c r="U112" s="736"/>
      <c r="V112" s="736"/>
      <c r="W112" s="736"/>
      <c r="X112" s="736"/>
      <c r="Y112" s="736"/>
      <c r="Z112" s="736"/>
      <c r="AA112" s="736"/>
      <c r="AB112" s="736"/>
      <c r="AC112" s="736"/>
      <c r="AD112" s="736"/>
      <c r="AE112" s="736"/>
      <c r="AF112" s="736"/>
      <c r="AG112" s="736"/>
      <c r="AH112" s="736"/>
      <c r="AI112" s="736"/>
      <c r="AJ112" s="736"/>
      <c r="AK112" s="736"/>
      <c r="AL112" s="736"/>
      <c r="AM112" s="736"/>
      <c r="AN112" s="736"/>
      <c r="AO112" s="736"/>
      <c r="AP112" s="736"/>
      <c r="AQ112" s="736"/>
      <c r="AR112" s="736"/>
      <c r="AS112" s="736"/>
      <c r="AT112" s="736"/>
      <c r="AU112" s="736"/>
      <c r="AV112" s="736"/>
      <c r="AW112" s="736"/>
      <c r="AX112" s="736"/>
      <c r="AY112" s="736"/>
      <c r="AZ112" s="736"/>
      <c r="BA112" s="736"/>
      <c r="BB112" s="736"/>
      <c r="BC112" s="736"/>
      <c r="BD112" s="736"/>
      <c r="BE112" s="736"/>
      <c r="BF112" s="736"/>
      <c r="BG112" s="736"/>
      <c r="BH112" s="736"/>
      <c r="BI112" s="736"/>
      <c r="BJ112" s="736"/>
      <c r="BK112" s="736"/>
      <c r="BL112" s="736"/>
      <c r="BM112" s="736"/>
      <c r="BN112" s="736"/>
      <c r="BO112" s="736"/>
      <c r="BP112" s="736"/>
      <c r="BQ112" s="736"/>
      <c r="BR112" s="736"/>
      <c r="BS112" s="736"/>
      <c r="BT112" s="736"/>
    </row>
    <row r="113" spans="1:72" x14ac:dyDescent="0.25">
      <c r="A113" s="736" t="s">
        <v>595</v>
      </c>
      <c r="B113" s="736">
        <v>15.75</v>
      </c>
      <c r="C113" s="736">
        <v>19.37</v>
      </c>
      <c r="D113" s="736">
        <v>14.24</v>
      </c>
      <c r="E113" s="736">
        <v>13.91</v>
      </c>
      <c r="F113" s="736">
        <v>14.06</v>
      </c>
      <c r="G113" s="736">
        <v>15.2</v>
      </c>
      <c r="H113" s="736">
        <v>16.21</v>
      </c>
      <c r="I113" s="736">
        <v>16.89</v>
      </c>
      <c r="J113" s="736">
        <v>17.36</v>
      </c>
      <c r="K113" s="736">
        <v>18.22</v>
      </c>
      <c r="L113" s="736">
        <v>18.88</v>
      </c>
      <c r="M113" s="736">
        <v>19.510000000000002</v>
      </c>
      <c r="N113" s="736">
        <v>19.920000000000002</v>
      </c>
      <c r="O113" s="736">
        <v>20.25</v>
      </c>
      <c r="P113" s="736">
        <v>20.399999999999999</v>
      </c>
      <c r="Q113" s="736">
        <v>20.58</v>
      </c>
      <c r="R113" s="736">
        <v>20.89</v>
      </c>
      <c r="S113" s="736">
        <v>21.07</v>
      </c>
      <c r="T113" s="736">
        <v>21.35</v>
      </c>
      <c r="U113" s="736">
        <v>21.6</v>
      </c>
      <c r="V113" s="736">
        <v>21.83</v>
      </c>
      <c r="W113" s="736">
        <v>22.14</v>
      </c>
      <c r="X113" s="736">
        <v>22.54</v>
      </c>
      <c r="Y113" s="736">
        <v>22.71</v>
      </c>
      <c r="Z113" s="736">
        <v>23.14</v>
      </c>
      <c r="AA113" s="736">
        <v>23.54</v>
      </c>
      <c r="AB113" s="736">
        <v>23.87</v>
      </c>
      <c r="AC113" s="736">
        <v>24.28</v>
      </c>
      <c r="AD113" s="736">
        <v>24.7</v>
      </c>
      <c r="AE113" s="770">
        <v>8.9999999999999993E-3</v>
      </c>
      <c r="AF113" s="736"/>
      <c r="AG113" s="736"/>
      <c r="AH113" s="736"/>
      <c r="AI113" s="736"/>
      <c r="AJ113" s="736"/>
      <c r="AK113" s="736"/>
      <c r="AL113" s="736"/>
      <c r="AM113" s="736"/>
      <c r="AN113" s="736"/>
      <c r="AO113" s="736"/>
      <c r="AP113" s="736"/>
      <c r="AQ113" s="736"/>
      <c r="AR113" s="736"/>
      <c r="AS113" s="736"/>
      <c r="AT113" s="736"/>
      <c r="AU113" s="736"/>
      <c r="AV113" s="736"/>
      <c r="AW113" s="736"/>
      <c r="AX113" s="736"/>
      <c r="AY113" s="736"/>
      <c r="AZ113" s="736"/>
      <c r="BA113" s="736"/>
      <c r="BB113" s="736"/>
      <c r="BC113" s="736"/>
      <c r="BD113" s="736"/>
      <c r="BE113" s="736"/>
      <c r="BF113" s="736"/>
      <c r="BG113" s="736"/>
      <c r="BH113" s="736"/>
      <c r="BI113" s="736"/>
      <c r="BJ113" s="736"/>
      <c r="BK113" s="736"/>
      <c r="BL113" s="736"/>
      <c r="BM113" s="736"/>
      <c r="BN113" s="736"/>
      <c r="BO113" s="736"/>
      <c r="BP113" s="736"/>
      <c r="BQ113" s="736"/>
      <c r="BR113" s="736"/>
      <c r="BS113" s="736"/>
      <c r="BT113" s="736"/>
    </row>
    <row r="114" spans="1:72" x14ac:dyDescent="0.25">
      <c r="A114" s="736" t="s">
        <v>596</v>
      </c>
      <c r="B114" s="736">
        <v>9.0399999999999991</v>
      </c>
      <c r="C114" s="736">
        <v>14.56</v>
      </c>
      <c r="D114" s="736">
        <v>8.7799999999999994</v>
      </c>
      <c r="E114" s="736">
        <v>12</v>
      </c>
      <c r="F114" s="736">
        <v>12.17</v>
      </c>
      <c r="G114" s="736">
        <v>13.34</v>
      </c>
      <c r="H114" s="736">
        <v>14.37</v>
      </c>
      <c r="I114" s="736">
        <v>15.11</v>
      </c>
      <c r="J114" s="736">
        <v>15.53</v>
      </c>
      <c r="K114" s="736">
        <v>15.93</v>
      </c>
      <c r="L114" s="736">
        <v>16.45</v>
      </c>
      <c r="M114" s="736">
        <v>16.89</v>
      </c>
      <c r="N114" s="736">
        <v>17.14</v>
      </c>
      <c r="O114" s="736">
        <v>17.22</v>
      </c>
      <c r="P114" s="736">
        <v>17.47</v>
      </c>
      <c r="Q114" s="736">
        <v>17.63</v>
      </c>
      <c r="R114" s="736">
        <v>17.850000000000001</v>
      </c>
      <c r="S114" s="736">
        <v>18.079999999999998</v>
      </c>
      <c r="T114" s="736">
        <v>18.3</v>
      </c>
      <c r="U114" s="736">
        <v>18.38</v>
      </c>
      <c r="V114" s="736">
        <v>18.68</v>
      </c>
      <c r="W114" s="736">
        <v>18.940000000000001</v>
      </c>
      <c r="X114" s="736">
        <v>19.23</v>
      </c>
      <c r="Y114" s="736">
        <v>19.55</v>
      </c>
      <c r="Z114" s="736">
        <v>19.899999999999999</v>
      </c>
      <c r="AA114" s="736">
        <v>20.190000000000001</v>
      </c>
      <c r="AB114" s="736">
        <v>20.43</v>
      </c>
      <c r="AC114" s="736">
        <v>20.77</v>
      </c>
      <c r="AD114" s="736">
        <v>21.12</v>
      </c>
      <c r="AE114" s="770">
        <v>1.4E-2</v>
      </c>
      <c r="AF114" s="736"/>
      <c r="AG114" s="736"/>
      <c r="AH114" s="736"/>
      <c r="AI114" s="736"/>
      <c r="AJ114" s="736"/>
      <c r="AK114" s="736"/>
      <c r="AL114" s="736"/>
      <c r="AM114" s="736"/>
      <c r="AN114" s="736"/>
      <c r="AO114" s="736"/>
      <c r="AP114" s="736"/>
      <c r="AQ114" s="736"/>
      <c r="AR114" s="736"/>
      <c r="AS114" s="736"/>
      <c r="AT114" s="736"/>
      <c r="AU114" s="736"/>
      <c r="AV114" s="736"/>
      <c r="AW114" s="736"/>
      <c r="AX114" s="736"/>
      <c r="AY114" s="736"/>
      <c r="AZ114" s="736"/>
      <c r="BA114" s="736"/>
      <c r="BB114" s="736"/>
      <c r="BC114" s="736"/>
      <c r="BD114" s="736"/>
      <c r="BE114" s="736"/>
      <c r="BF114" s="736"/>
      <c r="BG114" s="736"/>
      <c r="BH114" s="736"/>
      <c r="BI114" s="736"/>
      <c r="BJ114" s="736"/>
      <c r="BK114" s="736"/>
      <c r="BL114" s="736"/>
      <c r="BM114" s="736"/>
      <c r="BN114" s="736"/>
      <c r="BO114" s="736"/>
      <c r="BP114" s="736"/>
      <c r="BQ114" s="736"/>
      <c r="BR114" s="736"/>
      <c r="BS114" s="736"/>
      <c r="BT114" s="736"/>
    </row>
    <row r="115" spans="1:72" x14ac:dyDescent="0.25">
      <c r="A115" s="736" t="s">
        <v>496</v>
      </c>
      <c r="B115" s="736">
        <v>7.26</v>
      </c>
      <c r="C115" s="736">
        <v>9.09</v>
      </c>
      <c r="D115" s="736">
        <v>4.1399999999999997</v>
      </c>
      <c r="E115" s="736">
        <v>4.8499999999999996</v>
      </c>
      <c r="F115" s="736">
        <v>5.82</v>
      </c>
      <c r="G115" s="736">
        <v>6.17</v>
      </c>
      <c r="H115" s="736">
        <v>5.94</v>
      </c>
      <c r="I115" s="736">
        <v>5.9</v>
      </c>
      <c r="J115" s="736">
        <v>6.08</v>
      </c>
      <c r="K115" s="736">
        <v>6.16</v>
      </c>
      <c r="L115" s="736">
        <v>6.17</v>
      </c>
      <c r="M115" s="736">
        <v>6.22</v>
      </c>
      <c r="N115" s="736">
        <v>6.29</v>
      </c>
      <c r="O115" s="736">
        <v>6.42</v>
      </c>
      <c r="P115" s="736">
        <v>6.52</v>
      </c>
      <c r="Q115" s="736">
        <v>6.69</v>
      </c>
      <c r="R115" s="736">
        <v>6.74</v>
      </c>
      <c r="S115" s="736">
        <v>6.7</v>
      </c>
      <c r="T115" s="736">
        <v>6.75</v>
      </c>
      <c r="U115" s="736">
        <v>6.91</v>
      </c>
      <c r="V115" s="736">
        <v>7.05</v>
      </c>
      <c r="W115" s="736">
        <v>7.27</v>
      </c>
      <c r="X115" s="736">
        <v>7.51</v>
      </c>
      <c r="Y115" s="736">
        <v>7.73</v>
      </c>
      <c r="Z115" s="736">
        <v>8.02</v>
      </c>
      <c r="AA115" s="736">
        <v>8.14</v>
      </c>
      <c r="AB115" s="736">
        <v>8.17</v>
      </c>
      <c r="AC115" s="736">
        <v>8.35</v>
      </c>
      <c r="AD115" s="736">
        <v>8.4600000000000009</v>
      </c>
      <c r="AE115" s="770">
        <v>-3.0000000000000001E-3</v>
      </c>
      <c r="AF115" s="736"/>
      <c r="AG115" s="736"/>
      <c r="AH115" s="736"/>
      <c r="AI115" s="736"/>
      <c r="AJ115" s="736"/>
      <c r="AK115" s="736"/>
      <c r="AL115" s="736"/>
      <c r="AM115" s="736"/>
      <c r="AN115" s="736"/>
      <c r="AO115" s="736"/>
      <c r="AP115" s="736"/>
      <c r="AQ115" s="736"/>
      <c r="AR115" s="736"/>
      <c r="AS115" s="736"/>
      <c r="AT115" s="736"/>
      <c r="AU115" s="736"/>
      <c r="AV115" s="736"/>
      <c r="AW115" s="736"/>
      <c r="AX115" s="736"/>
      <c r="AY115" s="736"/>
      <c r="AZ115" s="736"/>
      <c r="BA115" s="736"/>
      <c r="BB115" s="736"/>
      <c r="BC115" s="736"/>
      <c r="BD115" s="736"/>
      <c r="BE115" s="736"/>
      <c r="BF115" s="736"/>
      <c r="BG115" s="736"/>
      <c r="BH115" s="736"/>
      <c r="BI115" s="736"/>
      <c r="BJ115" s="736"/>
      <c r="BK115" s="736"/>
      <c r="BL115" s="736"/>
      <c r="BM115" s="736"/>
      <c r="BN115" s="736"/>
      <c r="BO115" s="736"/>
      <c r="BP115" s="736"/>
      <c r="BQ115" s="736"/>
      <c r="BR115" s="736"/>
      <c r="BS115" s="736"/>
      <c r="BT115" s="736"/>
    </row>
    <row r="116" spans="1:72" x14ac:dyDescent="0.25">
      <c r="A116" s="736" t="s">
        <v>609</v>
      </c>
      <c r="B116" s="736">
        <v>1.8</v>
      </c>
      <c r="C116" s="736">
        <v>2.0499999999999998</v>
      </c>
      <c r="D116" s="736">
        <v>2.15</v>
      </c>
      <c r="E116" s="736">
        <v>1.99</v>
      </c>
      <c r="F116" s="736">
        <v>1.98</v>
      </c>
      <c r="G116" s="736">
        <v>1.99</v>
      </c>
      <c r="H116" s="736">
        <v>1.99</v>
      </c>
      <c r="I116" s="736">
        <v>1.99</v>
      </c>
      <c r="J116" s="736">
        <v>2.0099999999999998</v>
      </c>
      <c r="K116" s="736">
        <v>1.99</v>
      </c>
      <c r="L116" s="736">
        <v>2</v>
      </c>
      <c r="M116" s="736">
        <v>1.99</v>
      </c>
      <c r="N116" s="736">
        <v>1.99</v>
      </c>
      <c r="O116" s="736">
        <v>1.98</v>
      </c>
      <c r="P116" s="736">
        <v>1.98</v>
      </c>
      <c r="Q116" s="736">
        <v>1.99</v>
      </c>
      <c r="R116" s="736">
        <v>1.99</v>
      </c>
      <c r="S116" s="736">
        <v>1.99</v>
      </c>
      <c r="T116" s="736">
        <v>1.99</v>
      </c>
      <c r="U116" s="736">
        <v>2</v>
      </c>
      <c r="V116" s="736">
        <v>2</v>
      </c>
      <c r="W116" s="736">
        <v>2.0099999999999998</v>
      </c>
      <c r="X116" s="736">
        <v>2.02</v>
      </c>
      <c r="Y116" s="736">
        <v>2.0299999999999998</v>
      </c>
      <c r="Z116" s="736">
        <v>2.04</v>
      </c>
      <c r="AA116" s="736">
        <v>2.0499999999999998</v>
      </c>
      <c r="AB116" s="736">
        <v>2.06</v>
      </c>
      <c r="AC116" s="736">
        <v>2.0699999999999998</v>
      </c>
      <c r="AD116" s="736">
        <v>2.09</v>
      </c>
      <c r="AE116" s="770">
        <v>1E-3</v>
      </c>
      <c r="AF116" s="736"/>
      <c r="AG116" s="736"/>
      <c r="AH116" s="736"/>
      <c r="AI116" s="736"/>
      <c r="AJ116" s="736"/>
      <c r="AK116" s="736"/>
      <c r="AL116" s="736"/>
      <c r="AM116" s="736"/>
      <c r="AN116" s="736"/>
      <c r="AO116" s="736"/>
      <c r="AP116" s="736"/>
      <c r="AQ116" s="736"/>
      <c r="AR116" s="736"/>
      <c r="AS116" s="736"/>
      <c r="AT116" s="736"/>
      <c r="AU116" s="736"/>
      <c r="AV116" s="736"/>
      <c r="AW116" s="736"/>
      <c r="AX116" s="736"/>
      <c r="AY116" s="736"/>
      <c r="AZ116" s="736"/>
      <c r="BA116" s="736"/>
      <c r="BB116" s="736"/>
      <c r="BC116" s="736"/>
      <c r="BD116" s="736"/>
      <c r="BE116" s="736"/>
      <c r="BF116" s="736"/>
      <c r="BG116" s="736"/>
      <c r="BH116" s="736"/>
      <c r="BI116" s="736"/>
      <c r="BJ116" s="736"/>
      <c r="BK116" s="736"/>
      <c r="BL116" s="736"/>
      <c r="BM116" s="736"/>
      <c r="BN116" s="736"/>
      <c r="BO116" s="736"/>
      <c r="BP116" s="736"/>
      <c r="BQ116" s="736"/>
      <c r="BR116" s="736"/>
      <c r="BS116" s="736"/>
      <c r="BT116" s="736"/>
    </row>
    <row r="117" spans="1:72" x14ac:dyDescent="0.25">
      <c r="A117" s="736"/>
      <c r="B117" s="736"/>
      <c r="C117" s="736"/>
      <c r="D117" s="736"/>
      <c r="E117" s="736"/>
      <c r="F117" s="736"/>
      <c r="G117" s="736"/>
      <c r="H117" s="736"/>
      <c r="I117" s="736"/>
      <c r="J117" s="736"/>
      <c r="K117" s="736"/>
      <c r="L117" s="736"/>
      <c r="M117" s="736"/>
      <c r="N117" s="736"/>
      <c r="O117" s="736"/>
      <c r="P117" s="736"/>
      <c r="Q117" s="736"/>
      <c r="R117" s="736"/>
      <c r="S117" s="736"/>
      <c r="T117" s="736"/>
      <c r="U117" s="736"/>
      <c r="V117" s="736"/>
      <c r="W117" s="736"/>
      <c r="X117" s="736"/>
      <c r="Y117" s="736"/>
      <c r="Z117" s="736"/>
      <c r="AA117" s="736"/>
      <c r="AB117" s="736"/>
      <c r="AC117" s="736"/>
      <c r="AD117" s="736"/>
      <c r="AE117" s="736"/>
      <c r="AF117" s="736"/>
      <c r="AG117" s="736"/>
      <c r="AH117" s="736"/>
      <c r="AI117" s="736"/>
      <c r="AJ117" s="736"/>
      <c r="AK117" s="736"/>
      <c r="AL117" s="736"/>
      <c r="AM117" s="736"/>
      <c r="AN117" s="736"/>
      <c r="AO117" s="736"/>
      <c r="AP117" s="736"/>
      <c r="AQ117" s="736"/>
      <c r="AR117" s="736"/>
      <c r="AS117" s="736"/>
      <c r="AT117" s="736"/>
      <c r="AU117" s="736"/>
      <c r="AV117" s="736"/>
      <c r="AW117" s="736"/>
      <c r="AX117" s="736"/>
      <c r="AY117" s="736"/>
      <c r="AZ117" s="736"/>
      <c r="BA117" s="736"/>
      <c r="BB117" s="736"/>
      <c r="BC117" s="736"/>
      <c r="BD117" s="736"/>
      <c r="BE117" s="736"/>
      <c r="BF117" s="736"/>
      <c r="BG117" s="736"/>
      <c r="BH117" s="736"/>
      <c r="BI117" s="736"/>
      <c r="BJ117" s="736"/>
      <c r="BK117" s="736"/>
      <c r="BL117" s="736"/>
      <c r="BM117" s="736"/>
      <c r="BN117" s="736"/>
      <c r="BO117" s="736"/>
      <c r="BP117" s="736"/>
      <c r="BQ117" s="736"/>
      <c r="BR117" s="736"/>
      <c r="BS117" s="736"/>
      <c r="BT117" s="736"/>
    </row>
    <row r="118" spans="1:72" x14ac:dyDescent="0.25">
      <c r="A118" s="736" t="s">
        <v>610</v>
      </c>
      <c r="B118" s="736"/>
      <c r="C118" s="736"/>
      <c r="D118" s="736"/>
      <c r="E118" s="736"/>
      <c r="F118" s="736"/>
      <c r="G118" s="736"/>
      <c r="H118" s="736"/>
      <c r="I118" s="736"/>
      <c r="J118" s="736"/>
      <c r="K118" s="736"/>
      <c r="L118" s="736"/>
      <c r="M118" s="736"/>
      <c r="N118" s="736"/>
      <c r="O118" s="736"/>
      <c r="P118" s="736"/>
      <c r="Q118" s="736"/>
      <c r="R118" s="736"/>
      <c r="S118" s="736"/>
      <c r="T118" s="736"/>
      <c r="U118" s="736"/>
      <c r="V118" s="736"/>
      <c r="W118" s="736"/>
      <c r="X118" s="736"/>
      <c r="Y118" s="736"/>
      <c r="Z118" s="736"/>
      <c r="AA118" s="736"/>
      <c r="AB118" s="736"/>
      <c r="AC118" s="736"/>
      <c r="AD118" s="736"/>
      <c r="AE118" s="736"/>
      <c r="AF118" s="736"/>
      <c r="AG118" s="736"/>
      <c r="AH118" s="736"/>
      <c r="AI118" s="736"/>
      <c r="AJ118" s="736"/>
      <c r="AK118" s="736"/>
      <c r="AL118" s="736"/>
      <c r="AM118" s="736"/>
      <c r="AN118" s="736"/>
      <c r="AO118" s="736"/>
      <c r="AP118" s="736"/>
      <c r="AQ118" s="736"/>
      <c r="AR118" s="736"/>
      <c r="AS118" s="736"/>
      <c r="AT118" s="736"/>
      <c r="AU118" s="736"/>
      <c r="AV118" s="736"/>
      <c r="AW118" s="736"/>
      <c r="AX118" s="736"/>
      <c r="AY118" s="736"/>
      <c r="AZ118" s="736"/>
      <c r="BA118" s="736"/>
      <c r="BB118" s="736"/>
      <c r="BC118" s="736"/>
      <c r="BD118" s="736"/>
      <c r="BE118" s="736"/>
      <c r="BF118" s="736"/>
      <c r="BG118" s="736"/>
      <c r="BH118" s="736"/>
      <c r="BI118" s="736"/>
      <c r="BJ118" s="736"/>
      <c r="BK118" s="736"/>
      <c r="BL118" s="736"/>
      <c r="BM118" s="736"/>
      <c r="BN118" s="736"/>
      <c r="BO118" s="736"/>
      <c r="BP118" s="736"/>
      <c r="BQ118" s="736"/>
      <c r="BR118" s="736"/>
      <c r="BS118" s="736"/>
      <c r="BT118" s="736"/>
    </row>
    <row r="119" spans="1:72" x14ac:dyDescent="0.25">
      <c r="A119" s="736" t="s">
        <v>594</v>
      </c>
      <c r="B119" s="736">
        <v>18.940000000000001</v>
      </c>
      <c r="C119" s="736">
        <v>20.190000000000001</v>
      </c>
      <c r="D119" s="736">
        <v>18.36</v>
      </c>
      <c r="E119" s="736">
        <v>16.850000000000001</v>
      </c>
      <c r="F119" s="736">
        <v>16.87</v>
      </c>
      <c r="G119" s="736">
        <v>17.87</v>
      </c>
      <c r="H119" s="736">
        <v>18.97</v>
      </c>
      <c r="I119" s="736">
        <v>19.82</v>
      </c>
      <c r="J119" s="736">
        <v>20.3</v>
      </c>
      <c r="K119" s="736">
        <v>20.84</v>
      </c>
      <c r="L119" s="736">
        <v>21.26</v>
      </c>
      <c r="M119" s="736">
        <v>21.71</v>
      </c>
      <c r="N119" s="736">
        <v>21.93</v>
      </c>
      <c r="O119" s="736">
        <v>22.15</v>
      </c>
      <c r="P119" s="736">
        <v>22.36</v>
      </c>
      <c r="Q119" s="736">
        <v>22.56</v>
      </c>
      <c r="R119" s="736">
        <v>22.83</v>
      </c>
      <c r="S119" s="736">
        <v>23.09</v>
      </c>
      <c r="T119" s="736">
        <v>23.34</v>
      </c>
      <c r="U119" s="736">
        <v>23.49</v>
      </c>
      <c r="V119" s="736">
        <v>23.75</v>
      </c>
      <c r="W119" s="736">
        <v>24</v>
      </c>
      <c r="X119" s="736">
        <v>24.34</v>
      </c>
      <c r="Y119" s="736">
        <v>24.55</v>
      </c>
      <c r="Z119" s="736">
        <v>24.91</v>
      </c>
      <c r="AA119" s="736">
        <v>25.25</v>
      </c>
      <c r="AB119" s="736">
        <v>25.63</v>
      </c>
      <c r="AC119" s="736">
        <v>25.99</v>
      </c>
      <c r="AD119" s="736">
        <v>26.37</v>
      </c>
      <c r="AE119" s="770">
        <v>0.01</v>
      </c>
      <c r="AF119" s="736"/>
      <c r="AG119" s="736"/>
      <c r="AH119" s="736"/>
      <c r="AI119" s="736"/>
      <c r="AJ119" s="736"/>
      <c r="AK119" s="736"/>
      <c r="AL119" s="736"/>
      <c r="AM119" s="736"/>
      <c r="AN119" s="736"/>
      <c r="AO119" s="736"/>
      <c r="AP119" s="736"/>
      <c r="AQ119" s="736"/>
      <c r="AR119" s="736"/>
      <c r="AS119" s="736"/>
      <c r="AT119" s="736"/>
      <c r="AU119" s="736"/>
      <c r="AV119" s="736"/>
      <c r="AW119" s="736"/>
      <c r="AX119" s="736"/>
      <c r="AY119" s="736"/>
      <c r="AZ119" s="736"/>
      <c r="BA119" s="736"/>
      <c r="BB119" s="736"/>
      <c r="BC119" s="736"/>
      <c r="BD119" s="736"/>
      <c r="BE119" s="736"/>
      <c r="BF119" s="736"/>
      <c r="BG119" s="736"/>
      <c r="BH119" s="736"/>
      <c r="BI119" s="736"/>
      <c r="BJ119" s="736"/>
      <c r="BK119" s="736"/>
      <c r="BL119" s="736"/>
      <c r="BM119" s="736"/>
      <c r="BN119" s="736"/>
      <c r="BO119" s="736"/>
      <c r="BP119" s="736"/>
      <c r="BQ119" s="736"/>
      <c r="BR119" s="736"/>
      <c r="BS119" s="736"/>
      <c r="BT119" s="736"/>
    </row>
    <row r="120" spans="1:72" x14ac:dyDescent="0.25">
      <c r="A120" s="736" t="s">
        <v>603</v>
      </c>
      <c r="B120" s="736">
        <v>27.43</v>
      </c>
      <c r="C120" s="736">
        <v>26.93</v>
      </c>
      <c r="D120" s="736">
        <v>23.29</v>
      </c>
      <c r="E120" s="736">
        <v>20.64</v>
      </c>
      <c r="F120" s="736">
        <v>20.97</v>
      </c>
      <c r="G120" s="736">
        <v>22.13</v>
      </c>
      <c r="H120" s="736">
        <v>24.21</v>
      </c>
      <c r="I120" s="736">
        <v>25.23</v>
      </c>
      <c r="J120" s="736">
        <v>25.55</v>
      </c>
      <c r="K120" s="736">
        <v>25.08</v>
      </c>
      <c r="L120" s="736">
        <v>25.9</v>
      </c>
      <c r="M120" s="736">
        <v>26.54</v>
      </c>
      <c r="N120" s="736">
        <v>26.68</v>
      </c>
      <c r="O120" s="736">
        <v>26.95</v>
      </c>
      <c r="P120" s="736">
        <v>27.32</v>
      </c>
      <c r="Q120" s="736">
        <v>27.82</v>
      </c>
      <c r="R120" s="736">
        <v>28.31</v>
      </c>
      <c r="S120" s="736">
        <v>28.55</v>
      </c>
      <c r="T120" s="736">
        <v>28.86</v>
      </c>
      <c r="U120" s="736">
        <v>29.22</v>
      </c>
      <c r="V120" s="736">
        <v>29.49</v>
      </c>
      <c r="W120" s="736">
        <v>30.03</v>
      </c>
      <c r="X120" s="736">
        <v>30.44</v>
      </c>
      <c r="Y120" s="736">
        <v>30.64</v>
      </c>
      <c r="Z120" s="736">
        <v>30.86</v>
      </c>
      <c r="AA120" s="736">
        <v>31.29</v>
      </c>
      <c r="AB120" s="736">
        <v>31.49</v>
      </c>
      <c r="AC120" s="736">
        <v>31.77</v>
      </c>
      <c r="AD120" s="736">
        <v>32.229999999999997</v>
      </c>
      <c r="AE120" s="770">
        <v>7.0000000000000001E-3</v>
      </c>
      <c r="AF120" s="736"/>
      <c r="AG120" s="736"/>
      <c r="AH120" s="736"/>
      <c r="AI120" s="736"/>
      <c r="AJ120" s="736"/>
      <c r="AK120" s="736"/>
      <c r="AL120" s="736"/>
      <c r="AM120" s="736"/>
      <c r="AN120" s="736"/>
      <c r="AO120" s="736"/>
      <c r="AP120" s="736"/>
      <c r="AQ120" s="736"/>
      <c r="AR120" s="736"/>
      <c r="AS120" s="736"/>
      <c r="AT120" s="736"/>
      <c r="AU120" s="736"/>
      <c r="AV120" s="736"/>
      <c r="AW120" s="736"/>
      <c r="AX120" s="736"/>
      <c r="AY120" s="736"/>
      <c r="AZ120" s="736"/>
      <c r="BA120" s="736"/>
      <c r="BB120" s="736"/>
      <c r="BC120" s="736"/>
      <c r="BD120" s="736"/>
      <c r="BE120" s="736"/>
      <c r="BF120" s="736"/>
      <c r="BG120" s="736"/>
      <c r="BH120" s="736"/>
      <c r="BI120" s="736"/>
      <c r="BJ120" s="736"/>
      <c r="BK120" s="736"/>
      <c r="BL120" s="736"/>
      <c r="BM120" s="736"/>
      <c r="BN120" s="736"/>
      <c r="BO120" s="736"/>
      <c r="BP120" s="736"/>
      <c r="BQ120" s="736"/>
      <c r="BR120" s="736"/>
      <c r="BS120" s="736"/>
      <c r="BT120" s="736"/>
    </row>
    <row r="121" spans="1:72" x14ac:dyDescent="0.25">
      <c r="A121" s="736" t="s">
        <v>604</v>
      </c>
      <c r="B121" s="736">
        <v>23.55</v>
      </c>
      <c r="C121" s="736">
        <v>26.54</v>
      </c>
      <c r="D121" s="736">
        <v>19.149999999999999</v>
      </c>
      <c r="E121" s="736">
        <v>20.55</v>
      </c>
      <c r="F121" s="736">
        <v>20.88</v>
      </c>
      <c r="G121" s="736">
        <v>22.03</v>
      </c>
      <c r="H121" s="736">
        <v>24.01</v>
      </c>
      <c r="I121" s="736">
        <v>24.94</v>
      </c>
      <c r="J121" s="736">
        <v>25.36</v>
      </c>
      <c r="K121" s="736">
        <v>25.93</v>
      </c>
      <c r="L121" s="736">
        <v>26.46</v>
      </c>
      <c r="M121" s="736">
        <v>26.89</v>
      </c>
      <c r="N121" s="736">
        <v>27.2</v>
      </c>
      <c r="O121" s="736">
        <v>27.59</v>
      </c>
      <c r="P121" s="736">
        <v>27.82</v>
      </c>
      <c r="Q121" s="736">
        <v>28.17</v>
      </c>
      <c r="R121" s="736">
        <v>28.41</v>
      </c>
      <c r="S121" s="736">
        <v>28.54</v>
      </c>
      <c r="T121" s="736">
        <v>28.87</v>
      </c>
      <c r="U121" s="736">
        <v>29.18</v>
      </c>
      <c r="V121" s="736">
        <v>29.47</v>
      </c>
      <c r="W121" s="736">
        <v>29.9</v>
      </c>
      <c r="X121" s="736">
        <v>30.27</v>
      </c>
      <c r="Y121" s="736">
        <v>30.41</v>
      </c>
      <c r="Z121" s="736">
        <v>30.76</v>
      </c>
      <c r="AA121" s="736">
        <v>31.16</v>
      </c>
      <c r="AB121" s="736">
        <v>31.43</v>
      </c>
      <c r="AC121" s="736">
        <v>31.81</v>
      </c>
      <c r="AD121" s="736">
        <v>32.32</v>
      </c>
      <c r="AE121" s="770">
        <v>7.0000000000000001E-3</v>
      </c>
      <c r="AF121" s="736"/>
      <c r="AG121" s="736"/>
      <c r="AH121" s="736"/>
      <c r="AI121" s="736"/>
      <c r="AJ121" s="736"/>
      <c r="AK121" s="736"/>
      <c r="AL121" s="736"/>
      <c r="AM121" s="736"/>
      <c r="AN121" s="736"/>
      <c r="AO121" s="736"/>
      <c r="AP121" s="736"/>
      <c r="AQ121" s="736"/>
      <c r="AR121" s="736"/>
      <c r="AS121" s="736"/>
      <c r="AT121" s="736"/>
      <c r="AU121" s="736"/>
      <c r="AV121" s="736"/>
      <c r="AW121" s="736"/>
      <c r="AX121" s="736"/>
      <c r="AY121" s="736"/>
      <c r="AZ121" s="736"/>
      <c r="BA121" s="736"/>
      <c r="BB121" s="736"/>
      <c r="BC121" s="736"/>
      <c r="BD121" s="736"/>
      <c r="BE121" s="736"/>
      <c r="BF121" s="736"/>
      <c r="BG121" s="736"/>
      <c r="BH121" s="736"/>
      <c r="BI121" s="736"/>
      <c r="BJ121" s="736"/>
      <c r="BK121" s="736"/>
      <c r="BL121" s="736"/>
      <c r="BM121" s="736"/>
      <c r="BN121" s="736"/>
      <c r="BO121" s="736"/>
      <c r="BP121" s="736"/>
      <c r="BQ121" s="736"/>
      <c r="BR121" s="736"/>
      <c r="BS121" s="736"/>
      <c r="BT121" s="736"/>
    </row>
    <row r="122" spans="1:72" x14ac:dyDescent="0.25">
      <c r="A122" s="736" t="s">
        <v>611</v>
      </c>
      <c r="B122" s="736">
        <v>15.77</v>
      </c>
      <c r="C122" s="736">
        <v>22.71</v>
      </c>
      <c r="D122" s="736">
        <v>12.73</v>
      </c>
      <c r="E122" s="736">
        <v>14.79</v>
      </c>
      <c r="F122" s="736">
        <v>15.16</v>
      </c>
      <c r="G122" s="736">
        <v>16.54</v>
      </c>
      <c r="H122" s="736">
        <v>17.690000000000001</v>
      </c>
      <c r="I122" s="736">
        <v>18.46</v>
      </c>
      <c r="J122" s="736">
        <v>19.04</v>
      </c>
      <c r="K122" s="736">
        <v>19.760000000000002</v>
      </c>
      <c r="L122" s="736">
        <v>20.41</v>
      </c>
      <c r="M122" s="736">
        <v>20.97</v>
      </c>
      <c r="N122" s="736">
        <v>21.35</v>
      </c>
      <c r="O122" s="736">
        <v>21.69</v>
      </c>
      <c r="P122" s="736">
        <v>21.85</v>
      </c>
      <c r="Q122" s="736">
        <v>22.09</v>
      </c>
      <c r="R122" s="736">
        <v>22.41</v>
      </c>
      <c r="S122" s="736">
        <v>22.61</v>
      </c>
      <c r="T122" s="736">
        <v>22.92</v>
      </c>
      <c r="U122" s="736">
        <v>23.19</v>
      </c>
      <c r="V122" s="736">
        <v>23.48</v>
      </c>
      <c r="W122" s="736">
        <v>23.9</v>
      </c>
      <c r="X122" s="736">
        <v>24.26</v>
      </c>
      <c r="Y122" s="736">
        <v>24.51</v>
      </c>
      <c r="Z122" s="736">
        <v>24.9</v>
      </c>
      <c r="AA122" s="736">
        <v>25.3</v>
      </c>
      <c r="AB122" s="736">
        <v>25.64</v>
      </c>
      <c r="AC122" s="736">
        <v>26.05</v>
      </c>
      <c r="AD122" s="736">
        <v>26.48</v>
      </c>
      <c r="AE122" s="770">
        <v>6.0000000000000001E-3</v>
      </c>
      <c r="AF122" s="736"/>
      <c r="AG122" s="736"/>
      <c r="AH122" s="736"/>
      <c r="AI122" s="736"/>
      <c r="AJ122" s="736"/>
      <c r="AK122" s="736"/>
      <c r="AL122" s="736"/>
      <c r="AM122" s="736"/>
      <c r="AN122" s="736"/>
      <c r="AO122" s="736"/>
      <c r="AP122" s="736"/>
      <c r="AQ122" s="736"/>
      <c r="AR122" s="736"/>
      <c r="AS122" s="736"/>
      <c r="AT122" s="736"/>
      <c r="AU122" s="736"/>
      <c r="AV122" s="736"/>
      <c r="AW122" s="736"/>
      <c r="AX122" s="736"/>
      <c r="AY122" s="736"/>
      <c r="AZ122" s="736"/>
      <c r="BA122" s="736"/>
      <c r="BB122" s="736"/>
      <c r="BC122" s="736"/>
      <c r="BD122" s="736"/>
      <c r="BE122" s="736"/>
      <c r="BF122" s="736"/>
      <c r="BG122" s="736"/>
      <c r="BH122" s="736"/>
      <c r="BI122" s="736"/>
      <c r="BJ122" s="736"/>
      <c r="BK122" s="736"/>
      <c r="BL122" s="736"/>
      <c r="BM122" s="736"/>
      <c r="BN122" s="736"/>
      <c r="BO122" s="736"/>
      <c r="BP122" s="736"/>
      <c r="BQ122" s="736"/>
      <c r="BR122" s="736"/>
      <c r="BS122" s="736"/>
      <c r="BT122" s="736"/>
    </row>
    <row r="123" spans="1:72" x14ac:dyDescent="0.25">
      <c r="A123" s="736" t="s">
        <v>595</v>
      </c>
      <c r="B123" s="736">
        <v>20.71</v>
      </c>
      <c r="C123" s="736">
        <v>26.27</v>
      </c>
      <c r="D123" s="736">
        <v>17.46</v>
      </c>
      <c r="E123" s="736">
        <v>17.73</v>
      </c>
      <c r="F123" s="736">
        <v>18.149999999999999</v>
      </c>
      <c r="G123" s="736">
        <v>19.45</v>
      </c>
      <c r="H123" s="736">
        <v>20.62</v>
      </c>
      <c r="I123" s="736">
        <v>21.35</v>
      </c>
      <c r="J123" s="736">
        <v>22.03</v>
      </c>
      <c r="K123" s="736">
        <v>22.8</v>
      </c>
      <c r="L123" s="736">
        <v>23.45</v>
      </c>
      <c r="M123" s="736">
        <v>24.07</v>
      </c>
      <c r="N123" s="736">
        <v>24.47</v>
      </c>
      <c r="O123" s="736">
        <v>24.79</v>
      </c>
      <c r="P123" s="736">
        <v>24.99</v>
      </c>
      <c r="Q123" s="736">
        <v>25.32</v>
      </c>
      <c r="R123" s="736">
        <v>25.5</v>
      </c>
      <c r="S123" s="736">
        <v>25.59</v>
      </c>
      <c r="T123" s="736">
        <v>25.89</v>
      </c>
      <c r="U123" s="736">
        <v>26.12</v>
      </c>
      <c r="V123" s="736">
        <v>26.38</v>
      </c>
      <c r="W123" s="736">
        <v>26.71</v>
      </c>
      <c r="X123" s="736">
        <v>27.11</v>
      </c>
      <c r="Y123" s="736">
        <v>27.29</v>
      </c>
      <c r="Z123" s="736">
        <v>27.73</v>
      </c>
      <c r="AA123" s="736">
        <v>28.13</v>
      </c>
      <c r="AB123" s="736">
        <v>28.46</v>
      </c>
      <c r="AC123" s="736">
        <v>28.87</v>
      </c>
      <c r="AD123" s="736">
        <v>29.34</v>
      </c>
      <c r="AE123" s="770">
        <v>4.0000000000000001E-3</v>
      </c>
      <c r="AF123" s="736"/>
      <c r="AG123" s="736"/>
      <c r="AH123" s="736"/>
      <c r="AI123" s="736"/>
      <c r="AJ123" s="736"/>
      <c r="AK123" s="736"/>
      <c r="AL123" s="736"/>
      <c r="AM123" s="736"/>
      <c r="AN123" s="736"/>
      <c r="AO123" s="736"/>
      <c r="AP123" s="736"/>
      <c r="AQ123" s="736"/>
      <c r="AR123" s="736"/>
      <c r="AS123" s="736"/>
      <c r="AT123" s="736"/>
      <c r="AU123" s="736"/>
      <c r="AV123" s="736"/>
      <c r="AW123" s="736"/>
      <c r="AX123" s="736"/>
      <c r="AY123" s="736"/>
      <c r="AZ123" s="736"/>
      <c r="BA123" s="736"/>
      <c r="BB123" s="736"/>
      <c r="BC123" s="736"/>
      <c r="BD123" s="736"/>
      <c r="BE123" s="736"/>
      <c r="BF123" s="736"/>
      <c r="BG123" s="736"/>
      <c r="BH123" s="736"/>
      <c r="BI123" s="736"/>
      <c r="BJ123" s="736"/>
      <c r="BK123" s="736"/>
      <c r="BL123" s="736"/>
      <c r="BM123" s="736"/>
      <c r="BN123" s="736"/>
      <c r="BO123" s="736"/>
      <c r="BP123" s="736"/>
      <c r="BQ123" s="736"/>
      <c r="BR123" s="736"/>
      <c r="BS123" s="736"/>
      <c r="BT123" s="736"/>
    </row>
    <row r="124" spans="1:72" x14ac:dyDescent="0.25">
      <c r="A124" s="736" t="s">
        <v>596</v>
      </c>
      <c r="B124" s="736">
        <v>9.07</v>
      </c>
      <c r="C124" s="736">
        <v>14.77</v>
      </c>
      <c r="D124" s="736">
        <v>8.9600000000000009</v>
      </c>
      <c r="E124" s="736">
        <v>10.9</v>
      </c>
      <c r="F124" s="736">
        <v>11.01</v>
      </c>
      <c r="G124" s="736">
        <v>12.17</v>
      </c>
      <c r="H124" s="736">
        <v>13.13</v>
      </c>
      <c r="I124" s="736">
        <v>13.86</v>
      </c>
      <c r="J124" s="736">
        <v>14.26</v>
      </c>
      <c r="K124" s="736">
        <v>14.63</v>
      </c>
      <c r="L124" s="736">
        <v>15.14</v>
      </c>
      <c r="M124" s="736">
        <v>15.55</v>
      </c>
      <c r="N124" s="736">
        <v>15.76</v>
      </c>
      <c r="O124" s="736">
        <v>15.81</v>
      </c>
      <c r="P124" s="736">
        <v>16.05</v>
      </c>
      <c r="Q124" s="736">
        <v>16.190000000000001</v>
      </c>
      <c r="R124" s="736">
        <v>16.399999999999999</v>
      </c>
      <c r="S124" s="736">
        <v>16.600000000000001</v>
      </c>
      <c r="T124" s="736">
        <v>16.8</v>
      </c>
      <c r="U124" s="736">
        <v>16.850000000000001</v>
      </c>
      <c r="V124" s="736">
        <v>17.13</v>
      </c>
      <c r="W124" s="736">
        <v>17.37</v>
      </c>
      <c r="X124" s="736">
        <v>17.66</v>
      </c>
      <c r="Y124" s="736">
        <v>17.96</v>
      </c>
      <c r="Z124" s="736">
        <v>18.3</v>
      </c>
      <c r="AA124" s="736">
        <v>18.559999999999999</v>
      </c>
      <c r="AB124" s="736">
        <v>18.79</v>
      </c>
      <c r="AC124" s="736">
        <v>19.12</v>
      </c>
      <c r="AD124" s="736">
        <v>19.46</v>
      </c>
      <c r="AE124" s="770">
        <v>0.01</v>
      </c>
      <c r="AF124" s="736"/>
      <c r="AG124" s="736"/>
      <c r="AH124" s="736"/>
      <c r="AI124" s="736"/>
      <c r="AJ124" s="736"/>
      <c r="AK124" s="736"/>
      <c r="AL124" s="736"/>
      <c r="AM124" s="736"/>
      <c r="AN124" s="736"/>
      <c r="AO124" s="736"/>
      <c r="AP124" s="736"/>
      <c r="AQ124" s="736"/>
      <c r="AR124" s="736"/>
      <c r="AS124" s="736"/>
      <c r="AT124" s="736"/>
      <c r="AU124" s="736"/>
      <c r="AV124" s="736"/>
      <c r="AW124" s="736"/>
      <c r="AX124" s="736"/>
      <c r="AY124" s="736"/>
      <c r="AZ124" s="736"/>
      <c r="BA124" s="736"/>
      <c r="BB124" s="736"/>
      <c r="BC124" s="736"/>
      <c r="BD124" s="736"/>
      <c r="BE124" s="736"/>
      <c r="BF124" s="736"/>
      <c r="BG124" s="736"/>
      <c r="BH124" s="736"/>
      <c r="BI124" s="736"/>
      <c r="BJ124" s="736"/>
      <c r="BK124" s="736"/>
      <c r="BL124" s="736"/>
      <c r="BM124" s="736"/>
      <c r="BN124" s="736"/>
      <c r="BO124" s="736"/>
      <c r="BP124" s="736"/>
      <c r="BQ124" s="736"/>
      <c r="BR124" s="736"/>
      <c r="BS124" s="736"/>
      <c r="BT124" s="736"/>
    </row>
    <row r="125" spans="1:72" x14ac:dyDescent="0.25">
      <c r="A125" s="736" t="s">
        <v>496</v>
      </c>
      <c r="B125" s="736">
        <v>9.19</v>
      </c>
      <c r="C125" s="736">
        <v>10.53</v>
      </c>
      <c r="D125" s="736">
        <v>6.57</v>
      </c>
      <c r="E125" s="736">
        <v>6.87</v>
      </c>
      <c r="F125" s="736">
        <v>7.87</v>
      </c>
      <c r="G125" s="736">
        <v>8.1999999999999993</v>
      </c>
      <c r="H125" s="736">
        <v>8.0500000000000007</v>
      </c>
      <c r="I125" s="736">
        <v>8.02</v>
      </c>
      <c r="J125" s="736">
        <v>8.14</v>
      </c>
      <c r="K125" s="736">
        <v>8.2200000000000006</v>
      </c>
      <c r="L125" s="736">
        <v>8.2200000000000006</v>
      </c>
      <c r="M125" s="736">
        <v>8.27</v>
      </c>
      <c r="N125" s="736">
        <v>8.33</v>
      </c>
      <c r="O125" s="736">
        <v>8.44</v>
      </c>
      <c r="P125" s="736">
        <v>8.5500000000000007</v>
      </c>
      <c r="Q125" s="736">
        <v>8.73</v>
      </c>
      <c r="R125" s="736">
        <v>8.77</v>
      </c>
      <c r="S125" s="736">
        <v>8.68</v>
      </c>
      <c r="T125" s="736">
        <v>8.75</v>
      </c>
      <c r="U125" s="736">
        <v>8.89</v>
      </c>
      <c r="V125" s="736">
        <v>9.0399999999999991</v>
      </c>
      <c r="W125" s="736">
        <v>9.26</v>
      </c>
      <c r="X125" s="736">
        <v>9.49</v>
      </c>
      <c r="Y125" s="736">
        <v>9.74</v>
      </c>
      <c r="Z125" s="736">
        <v>10.050000000000001</v>
      </c>
      <c r="AA125" s="736">
        <v>10.17</v>
      </c>
      <c r="AB125" s="736">
        <v>10.210000000000001</v>
      </c>
      <c r="AC125" s="736">
        <v>10.4</v>
      </c>
      <c r="AD125" s="736">
        <v>10.54</v>
      </c>
      <c r="AE125" s="770">
        <v>0</v>
      </c>
      <c r="AF125" s="736"/>
      <c r="AG125" s="736"/>
      <c r="AH125" s="736"/>
      <c r="AI125" s="736"/>
      <c r="AJ125" s="736"/>
      <c r="AK125" s="736"/>
      <c r="AL125" s="736"/>
      <c r="AM125" s="736"/>
      <c r="AN125" s="736"/>
      <c r="AO125" s="736"/>
      <c r="AP125" s="736"/>
      <c r="AQ125" s="736"/>
      <c r="AR125" s="736"/>
      <c r="AS125" s="736"/>
      <c r="AT125" s="736"/>
      <c r="AU125" s="736"/>
      <c r="AV125" s="736"/>
      <c r="AW125" s="736"/>
      <c r="AX125" s="736"/>
      <c r="AY125" s="736"/>
      <c r="AZ125" s="736"/>
      <c r="BA125" s="736"/>
      <c r="BB125" s="736"/>
      <c r="BC125" s="736"/>
      <c r="BD125" s="736"/>
      <c r="BE125" s="736"/>
      <c r="BF125" s="736"/>
      <c r="BG125" s="736"/>
      <c r="BH125" s="736"/>
      <c r="BI125" s="736"/>
      <c r="BJ125" s="736"/>
      <c r="BK125" s="736"/>
      <c r="BL125" s="736"/>
      <c r="BM125" s="736"/>
      <c r="BN125" s="736"/>
      <c r="BO125" s="736"/>
      <c r="BP125" s="736"/>
      <c r="BQ125" s="736"/>
      <c r="BR125" s="736"/>
      <c r="BS125" s="736"/>
      <c r="BT125" s="736"/>
    </row>
    <row r="126" spans="1:72" x14ac:dyDescent="0.25">
      <c r="A126" s="736" t="s">
        <v>599</v>
      </c>
      <c r="B126" s="736">
        <v>3.69</v>
      </c>
      <c r="C126" s="736">
        <v>4.49</v>
      </c>
      <c r="D126" s="736">
        <v>4.72</v>
      </c>
      <c r="E126" s="736">
        <v>4.8</v>
      </c>
      <c r="F126" s="736">
        <v>4.8600000000000003</v>
      </c>
      <c r="G126" s="736">
        <v>5.0199999999999996</v>
      </c>
      <c r="H126" s="736">
        <v>5.05</v>
      </c>
      <c r="I126" s="736">
        <v>5.08</v>
      </c>
      <c r="J126" s="736">
        <v>5.08</v>
      </c>
      <c r="K126" s="736">
        <v>5.09</v>
      </c>
      <c r="L126" s="736">
        <v>5.16</v>
      </c>
      <c r="M126" s="736">
        <v>5.22</v>
      </c>
      <c r="N126" s="736">
        <v>5.29</v>
      </c>
      <c r="O126" s="736">
        <v>5.32</v>
      </c>
      <c r="P126" s="736">
        <v>5.35</v>
      </c>
      <c r="Q126" s="736">
        <v>5.36</v>
      </c>
      <c r="R126" s="736">
        <v>5.35</v>
      </c>
      <c r="S126" s="736">
        <v>5.32</v>
      </c>
      <c r="T126" s="736">
        <v>5.24</v>
      </c>
      <c r="U126" s="736">
        <v>5.16</v>
      </c>
      <c r="V126" s="736">
        <v>5.14</v>
      </c>
      <c r="W126" s="736">
        <v>5.14</v>
      </c>
      <c r="X126" s="736">
        <v>5.1100000000000003</v>
      </c>
      <c r="Y126" s="736">
        <v>5.1100000000000003</v>
      </c>
      <c r="Z126" s="736">
        <v>5.09</v>
      </c>
      <c r="AA126" s="736">
        <v>5.08</v>
      </c>
      <c r="AB126" s="736">
        <v>5.08</v>
      </c>
      <c r="AC126" s="736">
        <v>5.0599999999999996</v>
      </c>
      <c r="AD126" s="736">
        <v>5.0599999999999996</v>
      </c>
      <c r="AE126" s="770">
        <v>4.0000000000000001E-3</v>
      </c>
      <c r="AF126" s="736"/>
      <c r="AG126" s="736"/>
      <c r="AH126" s="736"/>
      <c r="AI126" s="736"/>
      <c r="AJ126" s="736"/>
      <c r="AK126" s="736"/>
      <c r="AL126" s="736"/>
      <c r="AM126" s="736"/>
      <c r="AN126" s="736"/>
      <c r="AO126" s="736"/>
      <c r="AP126" s="736"/>
      <c r="AQ126" s="736"/>
      <c r="AR126" s="736"/>
      <c r="AS126" s="736"/>
      <c r="AT126" s="736"/>
      <c r="AU126" s="736"/>
      <c r="AV126" s="736"/>
      <c r="AW126" s="736"/>
      <c r="AX126" s="736"/>
      <c r="AY126" s="736"/>
      <c r="AZ126" s="736"/>
      <c r="BA126" s="736"/>
      <c r="BB126" s="736"/>
      <c r="BC126" s="736"/>
      <c r="BD126" s="736"/>
      <c r="BE126" s="736"/>
      <c r="BF126" s="736"/>
      <c r="BG126" s="736"/>
      <c r="BH126" s="736"/>
      <c r="BI126" s="736"/>
      <c r="BJ126" s="736"/>
      <c r="BK126" s="736"/>
      <c r="BL126" s="736"/>
      <c r="BM126" s="736"/>
      <c r="BN126" s="736"/>
      <c r="BO126" s="736"/>
      <c r="BP126" s="736"/>
      <c r="BQ126" s="736"/>
      <c r="BR126" s="736"/>
      <c r="BS126" s="736"/>
      <c r="BT126" s="736"/>
    </row>
    <row r="127" spans="1:72" x14ac:dyDescent="0.25">
      <c r="A127" s="736" t="s">
        <v>612</v>
      </c>
      <c r="B127" s="736">
        <v>1.84</v>
      </c>
      <c r="C127" s="736">
        <v>2.1</v>
      </c>
      <c r="D127" s="736">
        <v>2.19</v>
      </c>
      <c r="E127" s="736">
        <v>2.0299999999999998</v>
      </c>
      <c r="F127" s="736">
        <v>2.02</v>
      </c>
      <c r="G127" s="736">
        <v>2.0299999999999998</v>
      </c>
      <c r="H127" s="736">
        <v>2.0299999999999998</v>
      </c>
      <c r="I127" s="736">
        <v>2.0299999999999998</v>
      </c>
      <c r="J127" s="736">
        <v>2.0499999999999998</v>
      </c>
      <c r="K127" s="736">
        <v>2.0299999999999998</v>
      </c>
      <c r="L127" s="736">
        <v>2.04</v>
      </c>
      <c r="M127" s="736">
        <v>2.0299999999999998</v>
      </c>
      <c r="N127" s="736">
        <v>2.02</v>
      </c>
      <c r="O127" s="736">
        <v>2.02</v>
      </c>
      <c r="P127" s="736">
        <v>2.02</v>
      </c>
      <c r="Q127" s="736">
        <v>2.0299999999999998</v>
      </c>
      <c r="R127" s="736">
        <v>2.02</v>
      </c>
      <c r="S127" s="736">
        <v>2.02</v>
      </c>
      <c r="T127" s="736">
        <v>2.02</v>
      </c>
      <c r="U127" s="736">
        <v>2.0299999999999998</v>
      </c>
      <c r="V127" s="736">
        <v>2.0299999999999998</v>
      </c>
      <c r="W127" s="736">
        <v>2.04</v>
      </c>
      <c r="X127" s="736">
        <v>2.0499999999999998</v>
      </c>
      <c r="Y127" s="736">
        <v>2.06</v>
      </c>
      <c r="Z127" s="736">
        <v>2.0699999999999998</v>
      </c>
      <c r="AA127" s="736">
        <v>2.08</v>
      </c>
      <c r="AB127" s="736">
        <v>2.09</v>
      </c>
      <c r="AC127" s="736">
        <v>2.1</v>
      </c>
      <c r="AD127" s="736">
        <v>2.12</v>
      </c>
      <c r="AE127" s="770">
        <v>0</v>
      </c>
      <c r="AF127" s="736"/>
      <c r="AG127" s="736"/>
      <c r="AH127" s="736"/>
      <c r="AI127" s="736"/>
      <c r="AJ127" s="736"/>
      <c r="AK127" s="736"/>
      <c r="AL127" s="736"/>
      <c r="AM127" s="736"/>
      <c r="AN127" s="736"/>
      <c r="AO127" s="736"/>
      <c r="AP127" s="736"/>
      <c r="AQ127" s="736"/>
      <c r="AR127" s="736"/>
      <c r="AS127" s="736"/>
      <c r="AT127" s="736"/>
      <c r="AU127" s="736"/>
      <c r="AV127" s="736"/>
      <c r="AW127" s="736"/>
      <c r="AX127" s="736"/>
      <c r="AY127" s="736"/>
      <c r="AZ127" s="736"/>
      <c r="BA127" s="736"/>
      <c r="BB127" s="736"/>
      <c r="BC127" s="736"/>
      <c r="BD127" s="736"/>
      <c r="BE127" s="736"/>
      <c r="BF127" s="736"/>
      <c r="BG127" s="736"/>
      <c r="BH127" s="736"/>
      <c r="BI127" s="736"/>
      <c r="BJ127" s="736"/>
      <c r="BK127" s="736"/>
      <c r="BL127" s="736"/>
      <c r="BM127" s="736"/>
      <c r="BN127" s="736"/>
      <c r="BO127" s="736"/>
      <c r="BP127" s="736"/>
      <c r="BQ127" s="736"/>
      <c r="BR127" s="736"/>
      <c r="BS127" s="736"/>
      <c r="BT127" s="736"/>
    </row>
    <row r="128" spans="1:72" x14ac:dyDescent="0.25">
      <c r="A128" s="736" t="s">
        <v>601</v>
      </c>
      <c r="B128" s="736" t="s">
        <v>773</v>
      </c>
      <c r="C128" s="736" t="s">
        <v>773</v>
      </c>
      <c r="D128" s="736" t="s">
        <v>773</v>
      </c>
      <c r="E128" s="736" t="s">
        <v>773</v>
      </c>
      <c r="F128" s="736">
        <v>1.26</v>
      </c>
      <c r="G128" s="736">
        <v>1.04</v>
      </c>
      <c r="H128" s="736">
        <v>1.04</v>
      </c>
      <c r="I128" s="736">
        <v>1.41</v>
      </c>
      <c r="J128" s="736">
        <v>1.42</v>
      </c>
      <c r="K128" s="736">
        <v>1.46</v>
      </c>
      <c r="L128" s="736">
        <v>1.48</v>
      </c>
      <c r="M128" s="736">
        <v>1.48</v>
      </c>
      <c r="N128" s="736">
        <v>1.47</v>
      </c>
      <c r="O128" s="736">
        <v>1.46</v>
      </c>
      <c r="P128" s="736">
        <v>1.49</v>
      </c>
      <c r="Q128" s="736">
        <v>1.5</v>
      </c>
      <c r="R128" s="736">
        <v>1.52</v>
      </c>
      <c r="S128" s="736">
        <v>1.49</v>
      </c>
      <c r="T128" s="736">
        <v>1.49</v>
      </c>
      <c r="U128" s="736">
        <v>1.47</v>
      </c>
      <c r="V128" s="736">
        <v>1.46</v>
      </c>
      <c r="W128" s="736">
        <v>1.45</v>
      </c>
      <c r="X128" s="736">
        <v>1.44</v>
      </c>
      <c r="Y128" s="736">
        <v>1.44</v>
      </c>
      <c r="Z128" s="736">
        <v>1.44</v>
      </c>
      <c r="AA128" s="736">
        <v>1.44</v>
      </c>
      <c r="AB128" s="736">
        <v>1.46</v>
      </c>
      <c r="AC128" s="736">
        <v>1.48</v>
      </c>
      <c r="AD128" s="736">
        <v>1.51</v>
      </c>
      <c r="AE128" s="736" t="s">
        <v>773</v>
      </c>
      <c r="AF128" s="736"/>
      <c r="AG128" s="736"/>
      <c r="AH128" s="736"/>
      <c r="AI128" s="736"/>
      <c r="AJ128" s="736"/>
      <c r="AK128" s="736"/>
      <c r="AL128" s="736"/>
      <c r="AM128" s="736"/>
      <c r="AN128" s="736"/>
      <c r="AO128" s="736"/>
      <c r="AP128" s="736"/>
      <c r="AQ128" s="736"/>
      <c r="AR128" s="736"/>
      <c r="AS128" s="736"/>
      <c r="AT128" s="736"/>
      <c r="AU128" s="736"/>
      <c r="AV128" s="736"/>
      <c r="AW128" s="736"/>
      <c r="AX128" s="736"/>
      <c r="AY128" s="736"/>
      <c r="AZ128" s="736"/>
      <c r="BA128" s="736"/>
      <c r="BB128" s="736"/>
      <c r="BC128" s="736"/>
      <c r="BD128" s="736"/>
      <c r="BE128" s="736"/>
      <c r="BF128" s="736"/>
      <c r="BG128" s="736"/>
      <c r="BH128" s="736"/>
      <c r="BI128" s="736"/>
      <c r="BJ128" s="736"/>
      <c r="BK128" s="736"/>
      <c r="BL128" s="736"/>
      <c r="BM128" s="736"/>
      <c r="BN128" s="736"/>
      <c r="BO128" s="736"/>
      <c r="BP128" s="736"/>
      <c r="BQ128" s="736"/>
      <c r="BR128" s="736"/>
      <c r="BS128" s="736"/>
      <c r="BT128" s="736"/>
    </row>
    <row r="129" spans="1:72" x14ac:dyDescent="0.25">
      <c r="A129" s="736" t="s">
        <v>465</v>
      </c>
      <c r="B129" s="736">
        <v>27.25</v>
      </c>
      <c r="C129" s="736">
        <v>28.81</v>
      </c>
      <c r="D129" s="736">
        <v>28.07</v>
      </c>
      <c r="E129" s="736">
        <v>26.77</v>
      </c>
      <c r="F129" s="736">
        <v>25.2</v>
      </c>
      <c r="G129" s="736">
        <v>26.1</v>
      </c>
      <c r="H129" s="736">
        <v>26.17</v>
      </c>
      <c r="I129" s="736">
        <v>25.97</v>
      </c>
      <c r="J129" s="736">
        <v>25.95</v>
      </c>
      <c r="K129" s="736">
        <v>26.2</v>
      </c>
      <c r="L129" s="736">
        <v>26.36</v>
      </c>
      <c r="M129" s="736">
        <v>26.37</v>
      </c>
      <c r="N129" s="736">
        <v>26.31</v>
      </c>
      <c r="O129" s="736">
        <v>26.51</v>
      </c>
      <c r="P129" s="736">
        <v>26.7</v>
      </c>
      <c r="Q129" s="736">
        <v>26.84</v>
      </c>
      <c r="R129" s="736">
        <v>27.04</v>
      </c>
      <c r="S129" s="736">
        <v>27.19</v>
      </c>
      <c r="T129" s="736">
        <v>27.17</v>
      </c>
      <c r="U129" s="736">
        <v>27.33</v>
      </c>
      <c r="V129" s="736">
        <v>27.53</v>
      </c>
      <c r="W129" s="736">
        <v>27.74</v>
      </c>
      <c r="X129" s="736">
        <v>28.16</v>
      </c>
      <c r="Y129" s="736">
        <v>28.49</v>
      </c>
      <c r="Z129" s="736">
        <v>28.86</v>
      </c>
      <c r="AA129" s="736">
        <v>29.21</v>
      </c>
      <c r="AB129" s="736">
        <v>29.38</v>
      </c>
      <c r="AC129" s="736">
        <v>29.64</v>
      </c>
      <c r="AD129" s="736">
        <v>29.87</v>
      </c>
      <c r="AE129" s="770">
        <v>1E-3</v>
      </c>
      <c r="AF129" s="736"/>
      <c r="AG129" s="736"/>
      <c r="AH129" s="736"/>
      <c r="AI129" s="736"/>
      <c r="AJ129" s="736"/>
      <c r="AK129" s="736"/>
      <c r="AL129" s="736"/>
      <c r="AM129" s="736"/>
      <c r="AN129" s="736"/>
      <c r="AO129" s="736"/>
      <c r="AP129" s="736"/>
      <c r="AQ129" s="736"/>
      <c r="AR129" s="736"/>
      <c r="AS129" s="736"/>
      <c r="AT129" s="736"/>
      <c r="AU129" s="736"/>
      <c r="AV129" s="736"/>
      <c r="AW129" s="736"/>
      <c r="AX129" s="736"/>
      <c r="AY129" s="736"/>
      <c r="AZ129" s="736"/>
      <c r="BA129" s="736"/>
      <c r="BB129" s="736"/>
      <c r="BC129" s="736"/>
      <c r="BD129" s="736"/>
      <c r="BE129" s="736"/>
      <c r="BF129" s="736"/>
      <c r="BG129" s="736"/>
      <c r="BH129" s="736"/>
      <c r="BI129" s="736"/>
      <c r="BJ129" s="736"/>
      <c r="BK129" s="736"/>
      <c r="BL129" s="736"/>
      <c r="BM129" s="736"/>
      <c r="BN129" s="736"/>
      <c r="BO129" s="736"/>
      <c r="BP129" s="736"/>
      <c r="BQ129" s="736"/>
      <c r="BR129" s="736"/>
      <c r="BS129" s="736"/>
      <c r="BT129" s="736"/>
    </row>
    <row r="130" spans="1:72" x14ac:dyDescent="0.25">
      <c r="A130" s="736"/>
      <c r="B130" s="736"/>
      <c r="C130" s="736"/>
      <c r="D130" s="736"/>
      <c r="E130" s="736"/>
      <c r="F130" s="736"/>
      <c r="G130" s="736"/>
      <c r="H130" s="736"/>
      <c r="I130" s="736"/>
      <c r="J130" s="736"/>
      <c r="K130" s="736"/>
      <c r="L130" s="736"/>
      <c r="M130" s="736"/>
      <c r="N130" s="736"/>
      <c r="O130" s="736"/>
      <c r="P130" s="736"/>
      <c r="Q130" s="736"/>
      <c r="R130" s="736"/>
      <c r="S130" s="736"/>
      <c r="T130" s="736"/>
      <c r="U130" s="736"/>
      <c r="V130" s="736"/>
      <c r="W130" s="736"/>
      <c r="X130" s="736"/>
      <c r="Y130" s="736"/>
      <c r="Z130" s="736"/>
      <c r="AA130" s="736"/>
      <c r="AB130" s="736"/>
      <c r="AC130" s="736"/>
      <c r="AD130" s="736"/>
      <c r="AE130" s="736"/>
      <c r="AF130" s="736"/>
      <c r="AG130" s="736"/>
      <c r="AH130" s="736"/>
      <c r="AI130" s="736"/>
      <c r="AJ130" s="736"/>
      <c r="AK130" s="736"/>
      <c r="AL130" s="736"/>
      <c r="AM130" s="736"/>
      <c r="AN130" s="736"/>
      <c r="AO130" s="736"/>
      <c r="AP130" s="736"/>
      <c r="AQ130" s="736"/>
      <c r="AR130" s="736"/>
      <c r="AS130" s="736"/>
      <c r="AT130" s="736"/>
      <c r="AU130" s="736"/>
      <c r="AV130" s="736"/>
      <c r="AW130" s="736"/>
      <c r="AX130" s="736"/>
      <c r="AY130" s="736"/>
      <c r="AZ130" s="736"/>
      <c r="BA130" s="736"/>
      <c r="BB130" s="736"/>
      <c r="BC130" s="736"/>
      <c r="BD130" s="736"/>
      <c r="BE130" s="736"/>
      <c r="BF130" s="736"/>
      <c r="BG130" s="736"/>
      <c r="BH130" s="736"/>
      <c r="BI130" s="736"/>
      <c r="BJ130" s="736"/>
      <c r="BK130" s="736"/>
      <c r="BL130" s="736"/>
      <c r="BM130" s="736"/>
      <c r="BN130" s="736"/>
      <c r="BO130" s="736"/>
      <c r="BP130" s="736"/>
      <c r="BQ130" s="736"/>
      <c r="BR130" s="736"/>
      <c r="BS130" s="736"/>
      <c r="BT130" s="736"/>
    </row>
    <row r="131" spans="1:72" x14ac:dyDescent="0.25">
      <c r="A131" s="736" t="s">
        <v>499</v>
      </c>
      <c r="B131" s="736"/>
      <c r="C131" s="736"/>
      <c r="D131" s="736"/>
      <c r="E131" s="736"/>
      <c r="F131" s="736"/>
      <c r="G131" s="736"/>
      <c r="H131" s="736"/>
      <c r="I131" s="736"/>
      <c r="J131" s="736"/>
      <c r="K131" s="736"/>
      <c r="L131" s="736"/>
      <c r="M131" s="736"/>
      <c r="N131" s="736"/>
      <c r="O131" s="736"/>
      <c r="P131" s="736"/>
      <c r="Q131" s="736"/>
      <c r="R131" s="736"/>
      <c r="S131" s="736"/>
      <c r="T131" s="736"/>
      <c r="U131" s="736"/>
      <c r="V131" s="736"/>
      <c r="W131" s="736"/>
      <c r="X131" s="736"/>
      <c r="Y131" s="736"/>
      <c r="Z131" s="736"/>
      <c r="AA131" s="736"/>
      <c r="AB131" s="736"/>
      <c r="AC131" s="736"/>
      <c r="AD131" s="736"/>
      <c r="AE131" s="736"/>
      <c r="AF131" s="736"/>
      <c r="AG131" s="736"/>
      <c r="AH131" s="736"/>
      <c r="AI131" s="736"/>
      <c r="AJ131" s="736"/>
      <c r="AK131" s="736"/>
      <c r="AL131" s="736"/>
      <c r="AM131" s="736"/>
      <c r="AN131" s="736"/>
      <c r="AO131" s="736"/>
      <c r="AP131" s="736"/>
      <c r="AQ131" s="736"/>
      <c r="AR131" s="736"/>
      <c r="AS131" s="736"/>
      <c r="AT131" s="736"/>
      <c r="AU131" s="736"/>
      <c r="AV131" s="736"/>
      <c r="AW131" s="736"/>
      <c r="AX131" s="736"/>
      <c r="AY131" s="736"/>
      <c r="AZ131" s="736"/>
      <c r="BA131" s="736"/>
      <c r="BB131" s="736"/>
      <c r="BC131" s="736"/>
      <c r="BD131" s="736"/>
      <c r="BE131" s="736"/>
      <c r="BF131" s="736"/>
      <c r="BG131" s="736"/>
      <c r="BH131" s="736"/>
      <c r="BI131" s="736"/>
      <c r="BJ131" s="736"/>
      <c r="BK131" s="736"/>
      <c r="BL131" s="736"/>
      <c r="BM131" s="736"/>
      <c r="BN131" s="736"/>
      <c r="BO131" s="736"/>
      <c r="BP131" s="736"/>
      <c r="BQ131" s="736"/>
      <c r="BR131" s="736"/>
      <c r="BS131" s="736"/>
      <c r="BT131" s="736"/>
    </row>
    <row r="132" spans="1:72" x14ac:dyDescent="0.25">
      <c r="A132" s="736" t="s">
        <v>774</v>
      </c>
      <c r="B132" s="736"/>
      <c r="C132" s="736"/>
      <c r="D132" s="736"/>
      <c r="E132" s="736"/>
      <c r="F132" s="736"/>
      <c r="G132" s="736"/>
      <c r="H132" s="736"/>
      <c r="I132" s="736"/>
      <c r="J132" s="736"/>
      <c r="K132" s="736"/>
      <c r="L132" s="736"/>
      <c r="M132" s="736"/>
      <c r="N132" s="736"/>
      <c r="O132" s="736"/>
      <c r="P132" s="736"/>
      <c r="Q132" s="736"/>
      <c r="R132" s="736"/>
      <c r="S132" s="736"/>
      <c r="T132" s="736"/>
      <c r="U132" s="736"/>
      <c r="V132" s="736"/>
      <c r="W132" s="736"/>
      <c r="X132" s="736"/>
      <c r="Y132" s="736"/>
      <c r="Z132" s="736"/>
      <c r="AA132" s="736"/>
      <c r="AB132" s="736"/>
      <c r="AC132" s="736"/>
      <c r="AD132" s="736"/>
      <c r="AE132" s="736"/>
      <c r="AF132" s="736"/>
      <c r="AG132" s="736"/>
      <c r="AH132" s="736"/>
      <c r="AI132" s="736"/>
      <c r="AJ132" s="736"/>
      <c r="AK132" s="736"/>
      <c r="AL132" s="736"/>
      <c r="AM132" s="736"/>
      <c r="AN132" s="736"/>
      <c r="AO132" s="736"/>
      <c r="AP132" s="736"/>
      <c r="AQ132" s="736"/>
      <c r="AR132" s="736"/>
      <c r="AS132" s="736"/>
      <c r="AT132" s="736"/>
      <c r="AU132" s="736"/>
      <c r="AV132" s="736"/>
      <c r="AW132" s="736"/>
      <c r="AX132" s="736"/>
      <c r="AY132" s="736"/>
      <c r="AZ132" s="736"/>
      <c r="BA132" s="736"/>
      <c r="BB132" s="736"/>
      <c r="BC132" s="736"/>
      <c r="BD132" s="736"/>
      <c r="BE132" s="736"/>
      <c r="BF132" s="736"/>
      <c r="BG132" s="736"/>
      <c r="BH132" s="736"/>
      <c r="BI132" s="736"/>
      <c r="BJ132" s="736"/>
      <c r="BK132" s="736"/>
      <c r="BL132" s="736"/>
      <c r="BM132" s="736"/>
      <c r="BN132" s="736"/>
      <c r="BO132" s="736"/>
      <c r="BP132" s="736"/>
      <c r="BQ132" s="736"/>
      <c r="BR132" s="736"/>
      <c r="BS132" s="736"/>
      <c r="BT132" s="736"/>
    </row>
    <row r="133" spans="1:72" x14ac:dyDescent="0.25">
      <c r="A133" s="736" t="s">
        <v>459</v>
      </c>
      <c r="B133" s="736">
        <v>241.67</v>
      </c>
      <c r="C133" s="736">
        <v>254.66</v>
      </c>
      <c r="D133" s="736">
        <v>231.65</v>
      </c>
      <c r="E133" s="736">
        <v>223.76</v>
      </c>
      <c r="F133" s="736">
        <v>222.61</v>
      </c>
      <c r="G133" s="736">
        <v>230.62</v>
      </c>
      <c r="H133" s="736">
        <v>228.9</v>
      </c>
      <c r="I133" s="736">
        <v>229.4</v>
      </c>
      <c r="J133" s="736">
        <v>230.89</v>
      </c>
      <c r="K133" s="736">
        <v>234.53</v>
      </c>
      <c r="L133" s="736">
        <v>236.76</v>
      </c>
      <c r="M133" s="736">
        <v>239.14</v>
      </c>
      <c r="N133" s="736">
        <v>241.36</v>
      </c>
      <c r="O133" s="736">
        <v>245.14</v>
      </c>
      <c r="P133" s="736">
        <v>247.96</v>
      </c>
      <c r="Q133" s="736">
        <v>251.14</v>
      </c>
      <c r="R133" s="736">
        <v>253.92</v>
      </c>
      <c r="S133" s="736">
        <v>256.67</v>
      </c>
      <c r="T133" s="736">
        <v>258.7</v>
      </c>
      <c r="U133" s="736">
        <v>262.54000000000002</v>
      </c>
      <c r="V133" s="736">
        <v>266.58999999999997</v>
      </c>
      <c r="W133" s="736">
        <v>271.26</v>
      </c>
      <c r="X133" s="736">
        <v>275.8</v>
      </c>
      <c r="Y133" s="736">
        <v>280.39999999999998</v>
      </c>
      <c r="Z133" s="736">
        <v>285.83</v>
      </c>
      <c r="AA133" s="736">
        <v>290.58999999999997</v>
      </c>
      <c r="AB133" s="736">
        <v>292.89999999999998</v>
      </c>
      <c r="AC133" s="736">
        <v>297.16000000000003</v>
      </c>
      <c r="AD133" s="736">
        <v>301.11</v>
      </c>
      <c r="AE133" s="770">
        <v>6.0000000000000001E-3</v>
      </c>
      <c r="AF133" s="736"/>
      <c r="AG133" s="736"/>
      <c r="AH133" s="736"/>
      <c r="AI133" s="736"/>
      <c r="AJ133" s="736"/>
      <c r="AK133" s="736"/>
      <c r="AL133" s="736"/>
      <c r="AM133" s="736"/>
      <c r="AN133" s="736"/>
      <c r="AO133" s="736"/>
      <c r="AP133" s="736"/>
      <c r="AQ133" s="736"/>
      <c r="AR133" s="736"/>
      <c r="AS133" s="736"/>
      <c r="AT133" s="736"/>
      <c r="AU133" s="736"/>
      <c r="AV133" s="736"/>
      <c r="AW133" s="736"/>
      <c r="AX133" s="736"/>
      <c r="AY133" s="736"/>
      <c r="AZ133" s="736"/>
      <c r="BA133" s="736"/>
      <c r="BB133" s="736"/>
      <c r="BC133" s="736"/>
      <c r="BD133" s="736"/>
      <c r="BE133" s="736"/>
      <c r="BF133" s="736"/>
      <c r="BG133" s="736"/>
      <c r="BH133" s="736"/>
      <c r="BI133" s="736"/>
      <c r="BJ133" s="736"/>
      <c r="BK133" s="736"/>
      <c r="BL133" s="736"/>
      <c r="BM133" s="736"/>
      <c r="BN133" s="736"/>
      <c r="BO133" s="736"/>
      <c r="BP133" s="736"/>
      <c r="BQ133" s="736"/>
      <c r="BR133" s="736"/>
      <c r="BS133" s="736"/>
      <c r="BT133" s="736"/>
    </row>
    <row r="134" spans="1:72" x14ac:dyDescent="0.25">
      <c r="A134" s="736" t="s">
        <v>466</v>
      </c>
      <c r="B134" s="736">
        <v>176.61</v>
      </c>
      <c r="C134" s="736">
        <v>191.19</v>
      </c>
      <c r="D134" s="736">
        <v>168.7</v>
      </c>
      <c r="E134" s="736">
        <v>163.43</v>
      </c>
      <c r="F134" s="736">
        <v>163.69</v>
      </c>
      <c r="G134" s="736">
        <v>172.64</v>
      </c>
      <c r="H134" s="736">
        <v>173.85</v>
      </c>
      <c r="I134" s="736">
        <v>174.18</v>
      </c>
      <c r="J134" s="736">
        <v>176.9</v>
      </c>
      <c r="K134" s="736">
        <v>180.82</v>
      </c>
      <c r="L134" s="736">
        <v>184.11</v>
      </c>
      <c r="M134" s="736">
        <v>186.86</v>
      </c>
      <c r="N134" s="736">
        <v>189.36</v>
      </c>
      <c r="O134" s="736">
        <v>193.15</v>
      </c>
      <c r="P134" s="736">
        <v>196.83</v>
      </c>
      <c r="Q134" s="736">
        <v>200.4</v>
      </c>
      <c r="R134" s="736">
        <v>204.1</v>
      </c>
      <c r="S134" s="736">
        <v>207.27</v>
      </c>
      <c r="T134" s="736">
        <v>210.07</v>
      </c>
      <c r="U134" s="736">
        <v>214.23</v>
      </c>
      <c r="V134" s="736">
        <v>218.63</v>
      </c>
      <c r="W134" s="736">
        <v>223.34</v>
      </c>
      <c r="X134" s="736">
        <v>229.36</v>
      </c>
      <c r="Y134" s="736">
        <v>234.79</v>
      </c>
      <c r="Z134" s="736">
        <v>240.94</v>
      </c>
      <c r="AA134" s="736">
        <v>246.37</v>
      </c>
      <c r="AB134" s="736">
        <v>250.61</v>
      </c>
      <c r="AC134" s="736">
        <v>256.01</v>
      </c>
      <c r="AD134" s="736">
        <v>261.07</v>
      </c>
      <c r="AE134" s="770">
        <v>1.2E-2</v>
      </c>
      <c r="AF134" s="736"/>
      <c r="AG134" s="736"/>
      <c r="AH134" s="736"/>
      <c r="AI134" s="736"/>
      <c r="AJ134" s="736"/>
      <c r="AK134" s="736"/>
      <c r="AL134" s="736"/>
      <c r="AM134" s="736"/>
      <c r="AN134" s="736"/>
      <c r="AO134" s="736"/>
      <c r="AP134" s="736"/>
      <c r="AQ134" s="736"/>
      <c r="AR134" s="736"/>
      <c r="AS134" s="736"/>
      <c r="AT134" s="736"/>
      <c r="AU134" s="736"/>
      <c r="AV134" s="736"/>
      <c r="AW134" s="736"/>
      <c r="AX134" s="736"/>
      <c r="AY134" s="736"/>
      <c r="AZ134" s="736"/>
      <c r="BA134" s="736"/>
      <c r="BB134" s="736"/>
      <c r="BC134" s="736"/>
      <c r="BD134" s="736"/>
      <c r="BE134" s="736"/>
      <c r="BF134" s="736"/>
      <c r="BG134" s="736"/>
      <c r="BH134" s="736"/>
      <c r="BI134" s="736"/>
      <c r="BJ134" s="736"/>
      <c r="BK134" s="736"/>
      <c r="BL134" s="736"/>
      <c r="BM134" s="736"/>
      <c r="BN134" s="736"/>
      <c r="BO134" s="736"/>
      <c r="BP134" s="736"/>
      <c r="BQ134" s="736"/>
      <c r="BR134" s="736"/>
      <c r="BS134" s="736"/>
      <c r="BT134" s="736"/>
    </row>
    <row r="135" spans="1:72" x14ac:dyDescent="0.25">
      <c r="A135" s="736" t="s">
        <v>501</v>
      </c>
      <c r="B135" s="736">
        <v>219.69</v>
      </c>
      <c r="C135" s="736">
        <v>244.81</v>
      </c>
      <c r="D135" s="736">
        <v>175.42</v>
      </c>
      <c r="E135" s="736">
        <v>163.24</v>
      </c>
      <c r="F135" s="736">
        <v>173.51</v>
      </c>
      <c r="G135" s="736">
        <v>191.66</v>
      </c>
      <c r="H135" s="736">
        <v>201.52</v>
      </c>
      <c r="I135" s="736">
        <v>207.49</v>
      </c>
      <c r="J135" s="736">
        <v>213.14</v>
      </c>
      <c r="K135" s="736">
        <v>218.86</v>
      </c>
      <c r="L135" s="736">
        <v>223.15</v>
      </c>
      <c r="M135" s="736">
        <v>228.05</v>
      </c>
      <c r="N135" s="736">
        <v>231.33</v>
      </c>
      <c r="O135" s="736">
        <v>234.86</v>
      </c>
      <c r="P135" s="736">
        <v>236.42</v>
      </c>
      <c r="Q135" s="736">
        <v>237.67</v>
      </c>
      <c r="R135" s="736">
        <v>239.07</v>
      </c>
      <c r="S135" s="736">
        <v>240.3</v>
      </c>
      <c r="T135" s="736">
        <v>241.75</v>
      </c>
      <c r="U135" s="736">
        <v>242.96</v>
      </c>
      <c r="V135" s="736">
        <v>245.17</v>
      </c>
      <c r="W135" s="736">
        <v>247.67</v>
      </c>
      <c r="X135" s="736">
        <v>250.95</v>
      </c>
      <c r="Y135" s="736">
        <v>253.51</v>
      </c>
      <c r="Z135" s="736">
        <v>257.7</v>
      </c>
      <c r="AA135" s="736">
        <v>259.55</v>
      </c>
      <c r="AB135" s="736">
        <v>261.58</v>
      </c>
      <c r="AC135" s="736">
        <v>265.05</v>
      </c>
      <c r="AD135" s="736">
        <v>267.18</v>
      </c>
      <c r="AE135" s="770">
        <v>3.0000000000000001E-3</v>
      </c>
      <c r="AF135" s="736"/>
      <c r="AG135" s="736"/>
      <c r="AH135" s="736"/>
      <c r="AI135" s="736"/>
      <c r="AJ135" s="736"/>
      <c r="AK135" s="736"/>
      <c r="AL135" s="736"/>
      <c r="AM135" s="736"/>
      <c r="AN135" s="736"/>
      <c r="AO135" s="736"/>
      <c r="AP135" s="736"/>
      <c r="AQ135" s="736"/>
      <c r="AR135" s="736"/>
      <c r="AS135" s="736"/>
      <c r="AT135" s="736"/>
      <c r="AU135" s="736"/>
      <c r="AV135" s="736"/>
      <c r="AW135" s="736"/>
      <c r="AX135" s="736"/>
      <c r="AY135" s="736"/>
      <c r="AZ135" s="736"/>
      <c r="BA135" s="736"/>
      <c r="BB135" s="736"/>
      <c r="BC135" s="736"/>
      <c r="BD135" s="736"/>
      <c r="BE135" s="736"/>
      <c r="BF135" s="736"/>
      <c r="BG135" s="736"/>
      <c r="BH135" s="736"/>
      <c r="BI135" s="736"/>
      <c r="BJ135" s="736"/>
      <c r="BK135" s="736"/>
      <c r="BL135" s="736"/>
      <c r="BM135" s="736"/>
      <c r="BN135" s="736"/>
      <c r="BO135" s="736"/>
      <c r="BP135" s="736"/>
      <c r="BQ135" s="736"/>
      <c r="BR135" s="736"/>
      <c r="BS135" s="736"/>
      <c r="BT135" s="736"/>
    </row>
    <row r="136" spans="1:72" x14ac:dyDescent="0.25">
      <c r="A136" s="736" t="s">
        <v>473</v>
      </c>
      <c r="B136" s="736">
        <v>613.37</v>
      </c>
      <c r="C136" s="736">
        <v>705.86</v>
      </c>
      <c r="D136" s="736">
        <v>465.68</v>
      </c>
      <c r="E136" s="736">
        <v>508.22</v>
      </c>
      <c r="F136" s="736">
        <v>528.5</v>
      </c>
      <c r="G136" s="736">
        <v>567.33000000000004</v>
      </c>
      <c r="H136" s="736">
        <v>615.79</v>
      </c>
      <c r="I136" s="736">
        <v>640.91999999999996</v>
      </c>
      <c r="J136" s="736">
        <v>655.77</v>
      </c>
      <c r="K136" s="736">
        <v>671.91</v>
      </c>
      <c r="L136" s="736">
        <v>690.32</v>
      </c>
      <c r="M136" s="736">
        <v>704.34</v>
      </c>
      <c r="N136" s="736">
        <v>717.08</v>
      </c>
      <c r="O136" s="736">
        <v>729.77</v>
      </c>
      <c r="P136" s="736">
        <v>737.71</v>
      </c>
      <c r="Q136" s="736">
        <v>743.52</v>
      </c>
      <c r="R136" s="736">
        <v>757.24</v>
      </c>
      <c r="S136" s="736">
        <v>767.89</v>
      </c>
      <c r="T136" s="736">
        <v>782.71</v>
      </c>
      <c r="U136" s="736">
        <v>795.25</v>
      </c>
      <c r="V136" s="736">
        <v>808.06</v>
      </c>
      <c r="W136" s="736">
        <v>822.03</v>
      </c>
      <c r="X136" s="736">
        <v>834.45</v>
      </c>
      <c r="Y136" s="736">
        <v>846.64</v>
      </c>
      <c r="Z136" s="736">
        <v>856.24</v>
      </c>
      <c r="AA136" s="736">
        <v>869.12</v>
      </c>
      <c r="AB136" s="736">
        <v>883.55</v>
      </c>
      <c r="AC136" s="736">
        <v>894.05</v>
      </c>
      <c r="AD136" s="736">
        <v>908.01</v>
      </c>
      <c r="AE136" s="770">
        <v>8.9999999999999993E-3</v>
      </c>
      <c r="AF136" s="736"/>
      <c r="AG136" s="736"/>
      <c r="AH136" s="736"/>
      <c r="AI136" s="736"/>
      <c r="AJ136" s="736"/>
      <c r="AK136" s="736"/>
      <c r="AL136" s="736"/>
      <c r="AM136" s="736"/>
      <c r="AN136" s="736"/>
      <c r="AO136" s="736"/>
      <c r="AP136" s="736"/>
      <c r="AQ136" s="736"/>
      <c r="AR136" s="736"/>
      <c r="AS136" s="736"/>
      <c r="AT136" s="736"/>
      <c r="AU136" s="736"/>
      <c r="AV136" s="736"/>
      <c r="AW136" s="736"/>
      <c r="AX136" s="736"/>
      <c r="AY136" s="736"/>
      <c r="AZ136" s="736"/>
      <c r="BA136" s="736"/>
      <c r="BB136" s="736"/>
      <c r="BC136" s="736"/>
      <c r="BD136" s="736"/>
      <c r="BE136" s="736"/>
      <c r="BF136" s="736"/>
      <c r="BG136" s="736"/>
      <c r="BH136" s="736"/>
      <c r="BI136" s="736"/>
      <c r="BJ136" s="736"/>
      <c r="BK136" s="736"/>
      <c r="BL136" s="736"/>
      <c r="BM136" s="736"/>
      <c r="BN136" s="736"/>
      <c r="BO136" s="736"/>
      <c r="BP136" s="736"/>
      <c r="BQ136" s="736"/>
      <c r="BR136" s="736"/>
      <c r="BS136" s="736"/>
      <c r="BT136" s="736"/>
    </row>
    <row r="137" spans="1:72" x14ac:dyDescent="0.25">
      <c r="A137" s="736" t="s">
        <v>502</v>
      </c>
      <c r="B137" s="736">
        <v>1251.3499999999999</v>
      </c>
      <c r="C137" s="736">
        <v>1396.52</v>
      </c>
      <c r="D137" s="736">
        <v>1041.45</v>
      </c>
      <c r="E137" s="736">
        <v>1058.6500000000001</v>
      </c>
      <c r="F137" s="736">
        <v>1088.31</v>
      </c>
      <c r="G137" s="736">
        <v>1162.25</v>
      </c>
      <c r="H137" s="736">
        <v>1220.05</v>
      </c>
      <c r="I137" s="736">
        <v>1251.99</v>
      </c>
      <c r="J137" s="736">
        <v>1276.69</v>
      </c>
      <c r="K137" s="736">
        <v>1306.1199999999999</v>
      </c>
      <c r="L137" s="736">
        <v>1334.33</v>
      </c>
      <c r="M137" s="736">
        <v>1358.39</v>
      </c>
      <c r="N137" s="736">
        <v>1379.14</v>
      </c>
      <c r="O137" s="736">
        <v>1402.91</v>
      </c>
      <c r="P137" s="736">
        <v>1418.92</v>
      </c>
      <c r="Q137" s="736">
        <v>1432.73</v>
      </c>
      <c r="R137" s="736">
        <v>1454.32</v>
      </c>
      <c r="S137" s="736">
        <v>1472.13</v>
      </c>
      <c r="T137" s="736">
        <v>1493.23</v>
      </c>
      <c r="U137" s="736">
        <v>1514.98</v>
      </c>
      <c r="V137" s="736">
        <v>1538.45</v>
      </c>
      <c r="W137" s="736">
        <v>1564.3</v>
      </c>
      <c r="X137" s="736">
        <v>1590.55</v>
      </c>
      <c r="Y137" s="736">
        <v>1615.34</v>
      </c>
      <c r="Z137" s="736">
        <v>1640.71</v>
      </c>
      <c r="AA137" s="736">
        <v>1665.62</v>
      </c>
      <c r="AB137" s="736">
        <v>1688.65</v>
      </c>
      <c r="AC137" s="736">
        <v>1712.28</v>
      </c>
      <c r="AD137" s="736">
        <v>1737.37</v>
      </c>
      <c r="AE137" s="770">
        <v>8.0000000000000002E-3</v>
      </c>
      <c r="AF137" s="736"/>
      <c r="AG137" s="736"/>
      <c r="AH137" s="736"/>
      <c r="AI137" s="736"/>
      <c r="AJ137" s="736"/>
      <c r="AK137" s="736"/>
      <c r="AL137" s="736"/>
      <c r="AM137" s="736"/>
      <c r="AN137" s="736"/>
      <c r="AO137" s="736"/>
      <c r="AP137" s="736"/>
      <c r="AQ137" s="736"/>
      <c r="AR137" s="736"/>
      <c r="AS137" s="736"/>
      <c r="AT137" s="736"/>
      <c r="AU137" s="736"/>
      <c r="AV137" s="736"/>
      <c r="AW137" s="736"/>
      <c r="AX137" s="736"/>
      <c r="AY137" s="736"/>
      <c r="AZ137" s="736"/>
      <c r="BA137" s="736"/>
      <c r="BB137" s="736"/>
      <c r="BC137" s="736"/>
      <c r="BD137" s="736"/>
      <c r="BE137" s="736"/>
      <c r="BF137" s="736"/>
      <c r="BG137" s="736"/>
      <c r="BH137" s="736"/>
      <c r="BI137" s="736"/>
      <c r="BJ137" s="736"/>
      <c r="BK137" s="736"/>
      <c r="BL137" s="736"/>
      <c r="BM137" s="736"/>
      <c r="BN137" s="736"/>
      <c r="BO137" s="736"/>
      <c r="BP137" s="736"/>
      <c r="BQ137" s="736"/>
      <c r="BR137" s="736"/>
      <c r="BS137" s="736"/>
      <c r="BT137" s="736"/>
    </row>
    <row r="138" spans="1:72" x14ac:dyDescent="0.25">
      <c r="A138" s="736" t="s">
        <v>614</v>
      </c>
      <c r="B138" s="736">
        <v>0.05</v>
      </c>
      <c r="C138" s="736">
        <v>0.17</v>
      </c>
      <c r="D138" s="736">
        <v>0.04</v>
      </c>
      <c r="E138" s="736">
        <v>0.09</v>
      </c>
      <c r="F138" s="736">
        <v>0.11</v>
      </c>
      <c r="G138" s="736">
        <v>0.13</v>
      </c>
      <c r="H138" s="736">
        <v>0.15</v>
      </c>
      <c r="I138" s="736">
        <v>0.17</v>
      </c>
      <c r="J138" s="736">
        <v>0.21</v>
      </c>
      <c r="K138" s="736">
        <v>2.34</v>
      </c>
      <c r="L138" s="736">
        <v>3.15</v>
      </c>
      <c r="M138" s="736">
        <v>4</v>
      </c>
      <c r="N138" s="736">
        <v>5.31</v>
      </c>
      <c r="O138" s="736">
        <v>7.12</v>
      </c>
      <c r="P138" s="736">
        <v>9.59</v>
      </c>
      <c r="Q138" s="736">
        <v>17.39</v>
      </c>
      <c r="R138" s="736">
        <v>15.56</v>
      </c>
      <c r="S138" s="736">
        <v>14.53</v>
      </c>
      <c r="T138" s="736">
        <v>15.06</v>
      </c>
      <c r="U138" s="736">
        <v>16.98</v>
      </c>
      <c r="V138" s="736">
        <v>18.95</v>
      </c>
      <c r="W138" s="736">
        <v>20.57</v>
      </c>
      <c r="X138" s="736">
        <v>23.66</v>
      </c>
      <c r="Y138" s="736">
        <v>25.05</v>
      </c>
      <c r="Z138" s="736">
        <v>31.91</v>
      </c>
      <c r="AA138" s="736">
        <v>36.74</v>
      </c>
      <c r="AB138" s="736">
        <v>40.74</v>
      </c>
      <c r="AC138" s="736">
        <v>48.35</v>
      </c>
      <c r="AD138" s="736">
        <v>56.42</v>
      </c>
      <c r="AE138" s="770">
        <v>0.24099999999999999</v>
      </c>
      <c r="AF138" s="736"/>
      <c r="AG138" s="736"/>
      <c r="AH138" s="736"/>
      <c r="AI138" s="736"/>
      <c r="AJ138" s="736"/>
      <c r="AK138" s="736"/>
      <c r="AL138" s="736"/>
      <c r="AM138" s="736"/>
      <c r="AN138" s="736"/>
      <c r="AO138" s="736"/>
      <c r="AP138" s="736"/>
      <c r="AQ138" s="736"/>
      <c r="AR138" s="736"/>
      <c r="AS138" s="736"/>
      <c r="AT138" s="736"/>
      <c r="AU138" s="736"/>
      <c r="AV138" s="736"/>
      <c r="AW138" s="736"/>
      <c r="AX138" s="736"/>
      <c r="AY138" s="736"/>
      <c r="AZ138" s="736"/>
      <c r="BA138" s="736"/>
      <c r="BB138" s="736"/>
      <c r="BC138" s="736"/>
      <c r="BD138" s="736"/>
      <c r="BE138" s="736"/>
      <c r="BF138" s="736"/>
      <c r="BG138" s="736"/>
      <c r="BH138" s="736"/>
      <c r="BI138" s="736"/>
      <c r="BJ138" s="736"/>
      <c r="BK138" s="736"/>
      <c r="BL138" s="736"/>
      <c r="BM138" s="736"/>
      <c r="BN138" s="736"/>
      <c r="BO138" s="736"/>
      <c r="BP138" s="736"/>
      <c r="BQ138" s="736"/>
      <c r="BR138" s="736"/>
      <c r="BS138" s="736"/>
      <c r="BT138" s="736"/>
    </row>
    <row r="139" spans="1:72" x14ac:dyDescent="0.25">
      <c r="A139" s="736" t="s">
        <v>504</v>
      </c>
      <c r="B139" s="736">
        <v>1251.3900000000001</v>
      </c>
      <c r="C139" s="736">
        <v>1396.69</v>
      </c>
      <c r="D139" s="736">
        <v>1041.49</v>
      </c>
      <c r="E139" s="736">
        <v>1058.74</v>
      </c>
      <c r="F139" s="736">
        <v>1088.42</v>
      </c>
      <c r="G139" s="736">
        <v>1162.3699999999999</v>
      </c>
      <c r="H139" s="736">
        <v>1220.2</v>
      </c>
      <c r="I139" s="736">
        <v>1252.1600000000001</v>
      </c>
      <c r="J139" s="736">
        <v>1276.9000000000001</v>
      </c>
      <c r="K139" s="736">
        <v>1308.46</v>
      </c>
      <c r="L139" s="736">
        <v>1337.48</v>
      </c>
      <c r="M139" s="736">
        <v>1362.4</v>
      </c>
      <c r="N139" s="736">
        <v>1384.44</v>
      </c>
      <c r="O139" s="736">
        <v>1410.03</v>
      </c>
      <c r="P139" s="736">
        <v>1428.51</v>
      </c>
      <c r="Q139" s="736">
        <v>1450.12</v>
      </c>
      <c r="R139" s="736">
        <v>1469.88</v>
      </c>
      <c r="S139" s="736">
        <v>1486.66</v>
      </c>
      <c r="T139" s="736">
        <v>1508.29</v>
      </c>
      <c r="U139" s="736">
        <v>1531.96</v>
      </c>
      <c r="V139" s="736">
        <v>1557.41</v>
      </c>
      <c r="W139" s="736">
        <v>1584.86</v>
      </c>
      <c r="X139" s="736">
        <v>1614.21</v>
      </c>
      <c r="Y139" s="736">
        <v>1640.39</v>
      </c>
      <c r="Z139" s="736">
        <v>1672.62</v>
      </c>
      <c r="AA139" s="736">
        <v>1702.37</v>
      </c>
      <c r="AB139" s="736">
        <v>1729.39</v>
      </c>
      <c r="AC139" s="736">
        <v>1760.62</v>
      </c>
      <c r="AD139" s="736">
        <v>1793.79</v>
      </c>
      <c r="AE139" s="770">
        <v>8.9999999999999993E-3</v>
      </c>
      <c r="AF139" s="736"/>
      <c r="AG139" s="736"/>
      <c r="AH139" s="736"/>
      <c r="AI139" s="736"/>
      <c r="AJ139" s="736"/>
      <c r="AK139" s="736"/>
      <c r="AL139" s="736"/>
      <c r="AM139" s="736"/>
      <c r="AN139" s="736"/>
      <c r="AO139" s="736"/>
      <c r="AP139" s="736"/>
      <c r="AQ139" s="736"/>
      <c r="AR139" s="736"/>
      <c r="AS139" s="736"/>
      <c r="AT139" s="736"/>
      <c r="AU139" s="736"/>
      <c r="AV139" s="736"/>
      <c r="AW139" s="736"/>
      <c r="AX139" s="736"/>
      <c r="AY139" s="736"/>
      <c r="AZ139" s="736"/>
      <c r="BA139" s="736"/>
      <c r="BB139" s="736"/>
      <c r="BC139" s="736"/>
      <c r="BD139" s="736"/>
      <c r="BE139" s="736"/>
      <c r="BF139" s="736"/>
      <c r="BG139" s="736"/>
      <c r="BH139" s="736"/>
      <c r="BI139" s="736"/>
      <c r="BJ139" s="736"/>
      <c r="BK139" s="736"/>
      <c r="BL139" s="736"/>
      <c r="BM139" s="736"/>
      <c r="BN139" s="736"/>
      <c r="BO139" s="736"/>
      <c r="BP139" s="736"/>
      <c r="BQ139" s="736"/>
      <c r="BR139" s="736"/>
      <c r="BS139" s="736"/>
      <c r="BT139" s="736"/>
    </row>
    <row r="140" spans="1:72" x14ac:dyDescent="0.25">
      <c r="A140" s="736"/>
      <c r="B140" s="736"/>
      <c r="C140" s="736"/>
      <c r="D140" s="736"/>
      <c r="E140" s="736"/>
      <c r="F140" s="736"/>
      <c r="G140" s="736"/>
      <c r="H140" s="736"/>
      <c r="I140" s="736"/>
      <c r="J140" s="736"/>
      <c r="K140" s="736"/>
      <c r="L140" s="736"/>
      <c r="M140" s="736"/>
      <c r="N140" s="736"/>
      <c r="O140" s="736"/>
      <c r="P140" s="736"/>
      <c r="Q140" s="736"/>
      <c r="R140" s="736"/>
      <c r="S140" s="736"/>
      <c r="T140" s="736"/>
      <c r="U140" s="736"/>
      <c r="V140" s="736"/>
      <c r="W140" s="736"/>
      <c r="X140" s="736"/>
      <c r="Y140" s="736"/>
      <c r="Z140" s="736"/>
      <c r="AA140" s="736"/>
      <c r="AB140" s="736"/>
      <c r="AC140" s="736"/>
      <c r="AD140" s="736"/>
      <c r="AE140" s="736"/>
      <c r="AF140" s="736"/>
      <c r="AG140" s="736"/>
      <c r="AH140" s="736"/>
      <c r="AI140" s="736"/>
      <c r="AJ140" s="736"/>
      <c r="AK140" s="736"/>
      <c r="AL140" s="736"/>
      <c r="AM140" s="736"/>
      <c r="AN140" s="736"/>
      <c r="AO140" s="736"/>
      <c r="AP140" s="736"/>
      <c r="AQ140" s="736"/>
      <c r="AR140" s="736"/>
      <c r="AS140" s="736"/>
      <c r="AT140" s="736"/>
      <c r="AU140" s="736"/>
      <c r="AV140" s="736"/>
      <c r="AW140" s="736"/>
      <c r="AX140" s="736"/>
      <c r="AY140" s="736"/>
      <c r="AZ140" s="736"/>
      <c r="BA140" s="736"/>
      <c r="BB140" s="736"/>
      <c r="BC140" s="736"/>
      <c r="BD140" s="736"/>
      <c r="BE140" s="736"/>
      <c r="BF140" s="736"/>
      <c r="BG140" s="736"/>
      <c r="BH140" s="736"/>
      <c r="BI140" s="736"/>
      <c r="BJ140" s="736"/>
      <c r="BK140" s="736"/>
      <c r="BL140" s="736"/>
      <c r="BM140" s="736"/>
      <c r="BN140" s="736"/>
      <c r="BO140" s="736"/>
      <c r="BP140" s="736"/>
      <c r="BQ140" s="736"/>
      <c r="BR140" s="736"/>
      <c r="BS140" s="736"/>
      <c r="BT140" s="736"/>
    </row>
    <row r="141" spans="1:72" x14ac:dyDescent="0.25">
      <c r="A141" s="736"/>
      <c r="B141" s="736"/>
      <c r="C141" s="736"/>
      <c r="D141" s="736"/>
      <c r="E141" s="736"/>
      <c r="F141" s="736"/>
      <c r="G141" s="736"/>
      <c r="H141" s="736"/>
      <c r="I141" s="736"/>
      <c r="J141" s="736"/>
      <c r="K141" s="736"/>
      <c r="L141" s="736"/>
      <c r="M141" s="736"/>
      <c r="N141" s="736"/>
      <c r="O141" s="736"/>
      <c r="P141" s="736"/>
      <c r="Q141" s="736"/>
      <c r="R141" s="736"/>
      <c r="S141" s="736"/>
      <c r="T141" s="736"/>
      <c r="U141" s="736"/>
      <c r="V141" s="736"/>
      <c r="W141" s="736"/>
      <c r="X141" s="736"/>
      <c r="Y141" s="736"/>
      <c r="Z141" s="736"/>
      <c r="AA141" s="736"/>
      <c r="AB141" s="736"/>
      <c r="AC141" s="736"/>
      <c r="AD141" s="736"/>
      <c r="AE141" s="736"/>
      <c r="AF141" s="736"/>
      <c r="AG141" s="736"/>
      <c r="AH141" s="736"/>
      <c r="AI141" s="736"/>
      <c r="AJ141" s="736"/>
      <c r="AK141" s="736"/>
      <c r="AL141" s="736"/>
      <c r="AM141" s="736"/>
      <c r="AN141" s="736"/>
      <c r="AO141" s="736"/>
      <c r="AP141" s="736"/>
      <c r="AQ141" s="736"/>
      <c r="AR141" s="736"/>
      <c r="AS141" s="736"/>
      <c r="AT141" s="736"/>
      <c r="AU141" s="736"/>
      <c r="AV141" s="736"/>
      <c r="AW141" s="736"/>
      <c r="AX141" s="736"/>
      <c r="AY141" s="736"/>
      <c r="AZ141" s="736"/>
      <c r="BA141" s="736"/>
      <c r="BB141" s="736"/>
      <c r="BC141" s="736"/>
      <c r="BD141" s="736"/>
      <c r="BE141" s="736"/>
      <c r="BF141" s="736"/>
      <c r="BG141" s="736"/>
      <c r="BH141" s="736"/>
      <c r="BI141" s="736"/>
      <c r="BJ141" s="736"/>
      <c r="BK141" s="736"/>
      <c r="BL141" s="736"/>
      <c r="BM141" s="736"/>
      <c r="BN141" s="736"/>
      <c r="BO141" s="736"/>
      <c r="BP141" s="736"/>
      <c r="BQ141" s="736"/>
      <c r="BR141" s="736"/>
      <c r="BS141" s="736"/>
      <c r="BT141" s="736"/>
    </row>
    <row r="142" spans="1:72" x14ac:dyDescent="0.25">
      <c r="A142" s="736" t="s">
        <v>711</v>
      </c>
      <c r="B142" s="736"/>
      <c r="C142" s="736"/>
      <c r="D142" s="736"/>
      <c r="E142" s="736"/>
      <c r="F142" s="736"/>
      <c r="G142" s="736"/>
      <c r="H142" s="736"/>
      <c r="I142" s="736"/>
      <c r="J142" s="736"/>
      <c r="K142" s="736"/>
      <c r="L142" s="736"/>
      <c r="M142" s="736"/>
      <c r="N142" s="736"/>
      <c r="O142" s="736"/>
      <c r="P142" s="736"/>
      <c r="Q142" s="736"/>
      <c r="R142" s="736"/>
      <c r="S142" s="736"/>
      <c r="T142" s="736"/>
      <c r="U142" s="736"/>
      <c r="V142" s="736"/>
      <c r="W142" s="736"/>
      <c r="X142" s="736"/>
      <c r="Y142" s="736"/>
      <c r="Z142" s="736"/>
      <c r="AA142" s="736"/>
      <c r="AB142" s="736"/>
      <c r="AC142" s="736"/>
      <c r="AD142" s="736"/>
      <c r="AE142" s="736"/>
      <c r="AF142" s="736"/>
      <c r="AG142" s="736"/>
      <c r="AH142" s="736"/>
      <c r="AI142" s="736"/>
      <c r="AJ142" s="736"/>
      <c r="AK142" s="736"/>
      <c r="AL142" s="736"/>
      <c r="AM142" s="736"/>
      <c r="AN142" s="736"/>
      <c r="AO142" s="736"/>
      <c r="AP142" s="736"/>
      <c r="AQ142" s="736"/>
      <c r="AR142" s="736"/>
      <c r="AS142" s="736"/>
      <c r="AT142" s="736"/>
      <c r="AU142" s="736"/>
      <c r="AV142" s="736"/>
      <c r="AW142" s="736"/>
      <c r="AX142" s="736"/>
      <c r="AY142" s="736"/>
      <c r="AZ142" s="736"/>
      <c r="BA142" s="736"/>
      <c r="BB142" s="736"/>
      <c r="BC142" s="736"/>
      <c r="BD142" s="736"/>
      <c r="BE142" s="736"/>
      <c r="BF142" s="736"/>
      <c r="BG142" s="736"/>
      <c r="BH142" s="736"/>
      <c r="BI142" s="736"/>
      <c r="BJ142" s="736"/>
      <c r="BK142" s="736"/>
      <c r="BL142" s="736"/>
      <c r="BM142" s="736"/>
      <c r="BN142" s="736"/>
      <c r="BO142" s="736"/>
      <c r="BP142" s="736"/>
      <c r="BQ142" s="736"/>
      <c r="BR142" s="736"/>
      <c r="BS142" s="736"/>
      <c r="BT142" s="736"/>
    </row>
    <row r="143" spans="1:72" x14ac:dyDescent="0.25">
      <c r="A143" s="736" t="s">
        <v>459</v>
      </c>
      <c r="B143" s="736"/>
      <c r="C143" s="736"/>
      <c r="D143" s="736"/>
      <c r="E143" s="736"/>
      <c r="F143" s="736"/>
      <c r="G143" s="736"/>
      <c r="H143" s="736"/>
      <c r="I143" s="736"/>
      <c r="J143" s="736"/>
      <c r="K143" s="736"/>
      <c r="L143" s="736"/>
      <c r="M143" s="736"/>
      <c r="N143" s="736"/>
      <c r="O143" s="736"/>
      <c r="P143" s="736"/>
      <c r="Q143" s="736"/>
      <c r="R143" s="736"/>
      <c r="S143" s="736"/>
      <c r="T143" s="736"/>
      <c r="U143" s="736"/>
      <c r="V143" s="736"/>
      <c r="W143" s="736"/>
      <c r="X143" s="736"/>
      <c r="Y143" s="736"/>
      <c r="Z143" s="736"/>
      <c r="AA143" s="736"/>
      <c r="AB143" s="736"/>
      <c r="AC143" s="736"/>
      <c r="AD143" s="736"/>
      <c r="AE143" s="736"/>
      <c r="AF143" s="736"/>
      <c r="AG143" s="736"/>
      <c r="AH143" s="736"/>
      <c r="AI143" s="736"/>
      <c r="AJ143" s="736"/>
      <c r="AK143" s="736"/>
      <c r="AL143" s="736"/>
      <c r="AM143" s="736"/>
      <c r="AN143" s="736"/>
      <c r="AO143" s="736"/>
      <c r="AP143" s="736"/>
      <c r="AQ143" s="736"/>
      <c r="AR143" s="736"/>
      <c r="AS143" s="736"/>
      <c r="AT143" s="736"/>
      <c r="AU143" s="736"/>
      <c r="AV143" s="736"/>
      <c r="AW143" s="736"/>
      <c r="AX143" s="736"/>
      <c r="AY143" s="736"/>
      <c r="AZ143" s="736"/>
      <c r="BA143" s="736"/>
      <c r="BB143" s="736"/>
      <c r="BC143" s="736"/>
      <c r="BD143" s="736"/>
      <c r="BE143" s="736"/>
      <c r="BF143" s="736"/>
      <c r="BG143" s="736"/>
      <c r="BH143" s="736"/>
      <c r="BI143" s="736"/>
      <c r="BJ143" s="736"/>
      <c r="BK143" s="736"/>
      <c r="BL143" s="736"/>
      <c r="BM143" s="736"/>
      <c r="BN143" s="736"/>
      <c r="BO143" s="736"/>
      <c r="BP143" s="736"/>
      <c r="BQ143" s="736"/>
      <c r="BR143" s="736"/>
      <c r="BS143" s="736"/>
      <c r="BT143" s="736"/>
    </row>
    <row r="144" spans="1:72" x14ac:dyDescent="0.25">
      <c r="A144" s="736" t="s">
        <v>594</v>
      </c>
      <c r="B144" s="736">
        <v>25.67</v>
      </c>
      <c r="C144" s="736">
        <v>29.35</v>
      </c>
      <c r="D144" s="736">
        <v>25.28</v>
      </c>
      <c r="E144" s="736">
        <v>24.73</v>
      </c>
      <c r="F144" s="736">
        <v>25.15</v>
      </c>
      <c r="G144" s="736">
        <v>26.73</v>
      </c>
      <c r="H144" s="736">
        <v>28.51</v>
      </c>
      <c r="I144" s="736">
        <v>30.06</v>
      </c>
      <c r="J144" s="736">
        <v>31.23</v>
      </c>
      <c r="K144" s="736">
        <v>32.520000000000003</v>
      </c>
      <c r="L144" s="736">
        <v>33.75</v>
      </c>
      <c r="M144" s="736">
        <v>35.06</v>
      </c>
      <c r="N144" s="736">
        <v>36.020000000000003</v>
      </c>
      <c r="O144" s="736">
        <v>37.020000000000003</v>
      </c>
      <c r="P144" s="736">
        <v>38.1</v>
      </c>
      <c r="Q144" s="736">
        <v>39.200000000000003</v>
      </c>
      <c r="R144" s="736">
        <v>40.409999999999997</v>
      </c>
      <c r="S144" s="736">
        <v>41.61</v>
      </c>
      <c r="T144" s="736">
        <v>42.82</v>
      </c>
      <c r="U144" s="736">
        <v>43.92</v>
      </c>
      <c r="V144" s="736">
        <v>45.24</v>
      </c>
      <c r="W144" s="736">
        <v>46.58</v>
      </c>
      <c r="X144" s="736">
        <v>48.12</v>
      </c>
      <c r="Y144" s="736">
        <v>49.52</v>
      </c>
      <c r="Z144" s="736">
        <v>51.18</v>
      </c>
      <c r="AA144" s="736">
        <v>52.85</v>
      </c>
      <c r="AB144" s="736">
        <v>54.62</v>
      </c>
      <c r="AC144" s="736">
        <v>56.39</v>
      </c>
      <c r="AD144" s="736">
        <v>58.23</v>
      </c>
      <c r="AE144" s="770">
        <v>2.5999999999999999E-2</v>
      </c>
      <c r="AF144" s="736"/>
      <c r="AG144" s="736"/>
      <c r="AH144" s="736"/>
      <c r="AI144" s="736"/>
      <c r="AJ144" s="736"/>
      <c r="AK144" s="736"/>
      <c r="AL144" s="736"/>
      <c r="AM144" s="736"/>
      <c r="AN144" s="736"/>
      <c r="AO144" s="736"/>
      <c r="AP144" s="736"/>
      <c r="AQ144" s="736"/>
      <c r="AR144" s="736"/>
      <c r="AS144" s="736"/>
      <c r="AT144" s="736"/>
      <c r="AU144" s="736"/>
      <c r="AV144" s="736"/>
      <c r="AW144" s="736"/>
      <c r="AX144" s="736"/>
      <c r="AY144" s="736"/>
      <c r="AZ144" s="736"/>
      <c r="BA144" s="736"/>
      <c r="BB144" s="736"/>
      <c r="BC144" s="736"/>
      <c r="BD144" s="736"/>
      <c r="BE144" s="736"/>
      <c r="BF144" s="736"/>
      <c r="BG144" s="736"/>
      <c r="BH144" s="736"/>
      <c r="BI144" s="736"/>
      <c r="BJ144" s="736"/>
      <c r="BK144" s="736"/>
      <c r="BL144" s="736"/>
      <c r="BM144" s="736"/>
      <c r="BN144" s="736"/>
      <c r="BO144" s="736"/>
      <c r="BP144" s="736"/>
      <c r="BQ144" s="736"/>
      <c r="BR144" s="736"/>
      <c r="BS144" s="736"/>
      <c r="BT144" s="736"/>
    </row>
    <row r="145" spans="1:72" x14ac:dyDescent="0.25">
      <c r="A145" s="736" t="s">
        <v>595</v>
      </c>
      <c r="B145" s="736">
        <v>19.86</v>
      </c>
      <c r="C145" s="736">
        <v>24.47</v>
      </c>
      <c r="D145" s="736">
        <v>18.260000000000002</v>
      </c>
      <c r="E145" s="736">
        <v>18.100000000000001</v>
      </c>
      <c r="F145" s="736">
        <v>18.489999999999998</v>
      </c>
      <c r="G145" s="736">
        <v>19.940000000000001</v>
      </c>
      <c r="H145" s="736">
        <v>21.4</v>
      </c>
      <c r="I145" s="736">
        <v>22.55</v>
      </c>
      <c r="J145" s="736">
        <v>23.49</v>
      </c>
      <c r="K145" s="736">
        <v>24.96</v>
      </c>
      <c r="L145" s="736">
        <v>26.17</v>
      </c>
      <c r="M145" s="736">
        <v>27.44</v>
      </c>
      <c r="N145" s="736">
        <v>28.46</v>
      </c>
      <c r="O145" s="736">
        <v>29.45</v>
      </c>
      <c r="P145" s="736">
        <v>30.25</v>
      </c>
      <c r="Q145" s="736">
        <v>31.17</v>
      </c>
      <c r="R145" s="736">
        <v>32.25</v>
      </c>
      <c r="S145" s="736">
        <v>33.17</v>
      </c>
      <c r="T145" s="736">
        <v>34.24</v>
      </c>
      <c r="U145" s="736">
        <v>35.33</v>
      </c>
      <c r="V145" s="736">
        <v>36.380000000000003</v>
      </c>
      <c r="W145" s="736">
        <v>37.630000000000003</v>
      </c>
      <c r="X145" s="736">
        <v>39.049999999999997</v>
      </c>
      <c r="Y145" s="736">
        <v>40.159999999999997</v>
      </c>
      <c r="Z145" s="736">
        <v>41.73</v>
      </c>
      <c r="AA145" s="736">
        <v>43.3</v>
      </c>
      <c r="AB145" s="736">
        <v>44.82</v>
      </c>
      <c r="AC145" s="736">
        <v>46.47</v>
      </c>
      <c r="AD145" s="736">
        <v>48.16</v>
      </c>
      <c r="AE145" s="770">
        <v>2.5000000000000001E-2</v>
      </c>
      <c r="AF145" s="736"/>
      <c r="AG145" s="736"/>
      <c r="AH145" s="736"/>
      <c r="AI145" s="736"/>
      <c r="AJ145" s="736"/>
      <c r="AK145" s="736"/>
      <c r="AL145" s="736"/>
      <c r="AM145" s="736"/>
      <c r="AN145" s="736"/>
      <c r="AO145" s="736"/>
      <c r="AP145" s="736"/>
      <c r="AQ145" s="736"/>
      <c r="AR145" s="736"/>
      <c r="AS145" s="736"/>
      <c r="AT145" s="736"/>
      <c r="AU145" s="736"/>
      <c r="AV145" s="736"/>
      <c r="AW145" s="736"/>
      <c r="AX145" s="736"/>
      <c r="AY145" s="736"/>
      <c r="AZ145" s="736"/>
      <c r="BA145" s="736"/>
      <c r="BB145" s="736"/>
      <c r="BC145" s="736"/>
      <c r="BD145" s="736"/>
      <c r="BE145" s="736"/>
      <c r="BF145" s="736"/>
      <c r="BG145" s="736"/>
      <c r="BH145" s="736"/>
      <c r="BI145" s="736"/>
      <c r="BJ145" s="736"/>
      <c r="BK145" s="736"/>
      <c r="BL145" s="736"/>
      <c r="BM145" s="736"/>
      <c r="BN145" s="736"/>
      <c r="BO145" s="736"/>
      <c r="BP145" s="736"/>
      <c r="BQ145" s="736"/>
      <c r="BR145" s="736"/>
      <c r="BS145" s="736"/>
      <c r="BT145" s="736"/>
    </row>
    <row r="146" spans="1:72" x14ac:dyDescent="0.25">
      <c r="A146" s="736" t="s">
        <v>496</v>
      </c>
      <c r="B146" s="736">
        <v>12.66</v>
      </c>
      <c r="C146" s="736">
        <v>13.48</v>
      </c>
      <c r="D146" s="736">
        <v>11.57</v>
      </c>
      <c r="E146" s="736">
        <v>11.22</v>
      </c>
      <c r="F146" s="736">
        <v>12.29</v>
      </c>
      <c r="G146" s="736">
        <v>12.56</v>
      </c>
      <c r="H146" s="736">
        <v>12.36</v>
      </c>
      <c r="I146" s="736">
        <v>12.51</v>
      </c>
      <c r="J146" s="736">
        <v>12.88</v>
      </c>
      <c r="K146" s="736">
        <v>13.22</v>
      </c>
      <c r="L146" s="736">
        <v>13.5</v>
      </c>
      <c r="M146" s="736">
        <v>13.83</v>
      </c>
      <c r="N146" s="736">
        <v>14.18</v>
      </c>
      <c r="O146" s="736">
        <v>14.61</v>
      </c>
      <c r="P146" s="736">
        <v>15.06</v>
      </c>
      <c r="Q146" s="736">
        <v>15.64</v>
      </c>
      <c r="R146" s="736">
        <v>16.010000000000002</v>
      </c>
      <c r="S146" s="736">
        <v>16.22</v>
      </c>
      <c r="T146" s="736">
        <v>16.68</v>
      </c>
      <c r="U146" s="736">
        <v>17.260000000000002</v>
      </c>
      <c r="V146" s="736">
        <v>17.91</v>
      </c>
      <c r="W146" s="736">
        <v>18.649999999999999</v>
      </c>
      <c r="X146" s="736">
        <v>19.440000000000001</v>
      </c>
      <c r="Y146" s="736">
        <v>20.29</v>
      </c>
      <c r="Z146" s="736">
        <v>21.26</v>
      </c>
      <c r="AA146" s="736">
        <v>21.98</v>
      </c>
      <c r="AB146" s="736">
        <v>22.61</v>
      </c>
      <c r="AC146" s="736">
        <v>23.44</v>
      </c>
      <c r="AD146" s="736">
        <v>24.2</v>
      </c>
      <c r="AE146" s="770">
        <v>2.1999999999999999E-2</v>
      </c>
      <c r="AF146" s="736"/>
      <c r="AG146" s="736"/>
      <c r="AH146" s="736"/>
      <c r="AI146" s="736"/>
      <c r="AJ146" s="736"/>
      <c r="AK146" s="736"/>
      <c r="AL146" s="736"/>
      <c r="AM146" s="736"/>
      <c r="AN146" s="736"/>
      <c r="AO146" s="736"/>
      <c r="AP146" s="736"/>
      <c r="AQ146" s="736"/>
      <c r="AR146" s="736"/>
      <c r="AS146" s="736"/>
      <c r="AT146" s="736"/>
      <c r="AU146" s="736"/>
      <c r="AV146" s="736"/>
      <c r="AW146" s="736"/>
      <c r="AX146" s="736"/>
      <c r="AY146" s="736"/>
      <c r="AZ146" s="736"/>
      <c r="BA146" s="736"/>
      <c r="BB146" s="736"/>
      <c r="BC146" s="736"/>
      <c r="BD146" s="736"/>
      <c r="BE146" s="736"/>
      <c r="BF146" s="736"/>
      <c r="BG146" s="736"/>
      <c r="BH146" s="736"/>
      <c r="BI146" s="736"/>
      <c r="BJ146" s="736"/>
      <c r="BK146" s="736"/>
      <c r="BL146" s="736"/>
      <c r="BM146" s="736"/>
      <c r="BN146" s="736"/>
      <c r="BO146" s="736"/>
      <c r="BP146" s="736"/>
      <c r="BQ146" s="736"/>
      <c r="BR146" s="736"/>
      <c r="BS146" s="736"/>
      <c r="BT146" s="736"/>
    </row>
    <row r="147" spans="1:72" x14ac:dyDescent="0.25">
      <c r="A147" s="736" t="s">
        <v>465</v>
      </c>
      <c r="B147" s="736">
        <v>31.12</v>
      </c>
      <c r="C147" s="736">
        <v>33.29</v>
      </c>
      <c r="D147" s="736">
        <v>32.83</v>
      </c>
      <c r="E147" s="736">
        <v>31.88</v>
      </c>
      <c r="F147" s="736">
        <v>31.21</v>
      </c>
      <c r="G147" s="736">
        <v>32.9</v>
      </c>
      <c r="H147" s="736">
        <v>33.9</v>
      </c>
      <c r="I147" s="736">
        <v>34.5</v>
      </c>
      <c r="J147" s="736">
        <v>35.020000000000003</v>
      </c>
      <c r="K147" s="736">
        <v>35.89</v>
      </c>
      <c r="L147" s="736">
        <v>36.74</v>
      </c>
      <c r="M147" s="736">
        <v>37.39</v>
      </c>
      <c r="N147" s="736">
        <v>37.97</v>
      </c>
      <c r="O147" s="736">
        <v>38.92</v>
      </c>
      <c r="P147" s="736">
        <v>39.950000000000003</v>
      </c>
      <c r="Q147" s="736">
        <v>40.92</v>
      </c>
      <c r="R147" s="736">
        <v>41.95</v>
      </c>
      <c r="S147" s="736">
        <v>42.94</v>
      </c>
      <c r="T147" s="736">
        <v>43.78</v>
      </c>
      <c r="U147" s="736">
        <v>44.88</v>
      </c>
      <c r="V147" s="736">
        <v>46.07</v>
      </c>
      <c r="W147" s="736">
        <v>47.3</v>
      </c>
      <c r="X147" s="736">
        <v>48.93</v>
      </c>
      <c r="Y147" s="736">
        <v>50.5</v>
      </c>
      <c r="Z147" s="736">
        <v>52.16</v>
      </c>
      <c r="AA147" s="736">
        <v>53.81</v>
      </c>
      <c r="AB147" s="736">
        <v>55.2</v>
      </c>
      <c r="AC147" s="736">
        <v>56.77</v>
      </c>
      <c r="AD147" s="736">
        <v>58.33</v>
      </c>
      <c r="AE147" s="770">
        <v>2.1000000000000001E-2</v>
      </c>
      <c r="AF147" s="736"/>
      <c r="AG147" s="736"/>
      <c r="AH147" s="736"/>
      <c r="AI147" s="736"/>
      <c r="AJ147" s="736"/>
      <c r="AK147" s="736"/>
      <c r="AL147" s="736"/>
      <c r="AM147" s="736"/>
      <c r="AN147" s="736"/>
      <c r="AO147" s="736"/>
      <c r="AP147" s="736"/>
      <c r="AQ147" s="736"/>
      <c r="AR147" s="736"/>
      <c r="AS147" s="736"/>
      <c r="AT147" s="736"/>
      <c r="AU147" s="736"/>
      <c r="AV147" s="736"/>
      <c r="AW147" s="736"/>
      <c r="AX147" s="736"/>
      <c r="AY147" s="736"/>
      <c r="AZ147" s="736"/>
      <c r="BA147" s="736"/>
      <c r="BB147" s="736"/>
      <c r="BC147" s="736"/>
      <c r="BD147" s="736"/>
      <c r="BE147" s="736"/>
      <c r="BF147" s="736"/>
      <c r="BG147" s="736"/>
      <c r="BH147" s="736"/>
      <c r="BI147" s="736"/>
      <c r="BJ147" s="736"/>
      <c r="BK147" s="736"/>
      <c r="BL147" s="736"/>
      <c r="BM147" s="736"/>
      <c r="BN147" s="736"/>
      <c r="BO147" s="736"/>
      <c r="BP147" s="736"/>
      <c r="BQ147" s="736"/>
      <c r="BR147" s="736"/>
      <c r="BS147" s="736"/>
      <c r="BT147" s="736"/>
    </row>
    <row r="148" spans="1:72" x14ac:dyDescent="0.25">
      <c r="A148" s="736"/>
      <c r="B148" s="736"/>
      <c r="C148" s="736"/>
      <c r="D148" s="736"/>
      <c r="E148" s="736"/>
      <c r="F148" s="736"/>
      <c r="G148" s="736"/>
      <c r="H148" s="736"/>
      <c r="I148" s="736"/>
      <c r="J148" s="736"/>
      <c r="K148" s="736"/>
      <c r="L148" s="736"/>
      <c r="M148" s="736"/>
      <c r="N148" s="736"/>
      <c r="O148" s="736"/>
      <c r="P148" s="736"/>
      <c r="Q148" s="736"/>
      <c r="R148" s="736"/>
      <c r="S148" s="736"/>
      <c r="T148" s="736"/>
      <c r="U148" s="736"/>
      <c r="V148" s="736"/>
      <c r="W148" s="736"/>
      <c r="X148" s="736"/>
      <c r="Y148" s="736"/>
      <c r="Z148" s="736"/>
      <c r="AA148" s="736"/>
      <c r="AB148" s="736"/>
      <c r="AC148" s="736"/>
      <c r="AD148" s="736"/>
      <c r="AE148" s="736"/>
      <c r="AF148" s="736"/>
      <c r="AG148" s="736"/>
      <c r="AH148" s="736"/>
      <c r="AI148" s="736"/>
      <c r="AJ148" s="736"/>
      <c r="AK148" s="736"/>
      <c r="AL148" s="736"/>
      <c r="AM148" s="736"/>
      <c r="AN148" s="736"/>
      <c r="AO148" s="736"/>
      <c r="AP148" s="736"/>
      <c r="AQ148" s="736"/>
      <c r="AR148" s="736"/>
      <c r="AS148" s="736"/>
      <c r="AT148" s="736"/>
      <c r="AU148" s="736"/>
      <c r="AV148" s="736"/>
      <c r="AW148" s="736"/>
      <c r="AX148" s="736"/>
      <c r="AY148" s="736"/>
      <c r="AZ148" s="736"/>
      <c r="BA148" s="736"/>
      <c r="BB148" s="736"/>
      <c r="BC148" s="736"/>
      <c r="BD148" s="736"/>
      <c r="BE148" s="736"/>
      <c r="BF148" s="736"/>
      <c r="BG148" s="736"/>
      <c r="BH148" s="736"/>
      <c r="BI148" s="736"/>
      <c r="BJ148" s="736"/>
      <c r="BK148" s="736"/>
      <c r="BL148" s="736"/>
      <c r="BM148" s="736"/>
      <c r="BN148" s="736"/>
      <c r="BO148" s="736"/>
      <c r="BP148" s="736"/>
      <c r="BQ148" s="736"/>
      <c r="BR148" s="736"/>
      <c r="BS148" s="736"/>
      <c r="BT148" s="736"/>
    </row>
    <row r="149" spans="1:72" x14ac:dyDescent="0.25">
      <c r="A149" s="736" t="s">
        <v>466</v>
      </c>
      <c r="B149" s="736"/>
      <c r="C149" s="736"/>
      <c r="D149" s="736"/>
      <c r="E149" s="736"/>
      <c r="F149" s="736"/>
      <c r="G149" s="736"/>
      <c r="H149" s="736"/>
      <c r="I149" s="736"/>
      <c r="J149" s="736"/>
      <c r="K149" s="736"/>
      <c r="L149" s="736"/>
      <c r="M149" s="736"/>
      <c r="N149" s="736"/>
      <c r="O149" s="736"/>
      <c r="P149" s="736"/>
      <c r="Q149" s="736"/>
      <c r="R149" s="736"/>
      <c r="S149" s="736"/>
      <c r="T149" s="736"/>
      <c r="U149" s="736"/>
      <c r="V149" s="736"/>
      <c r="W149" s="736"/>
      <c r="X149" s="736"/>
      <c r="Y149" s="736"/>
      <c r="Z149" s="736"/>
      <c r="AA149" s="736"/>
      <c r="AB149" s="736"/>
      <c r="AC149" s="736"/>
      <c r="AD149" s="736"/>
      <c r="AE149" s="736"/>
      <c r="AF149" s="736"/>
      <c r="AG149" s="736"/>
      <c r="AH149" s="736"/>
      <c r="AI149" s="736"/>
      <c r="AJ149" s="736"/>
      <c r="AK149" s="736"/>
      <c r="AL149" s="736"/>
      <c r="AM149" s="736"/>
      <c r="AN149" s="736"/>
      <c r="AO149" s="736"/>
      <c r="AP149" s="736"/>
      <c r="AQ149" s="736"/>
      <c r="AR149" s="736"/>
      <c r="AS149" s="736"/>
      <c r="AT149" s="736"/>
      <c r="AU149" s="736"/>
      <c r="AV149" s="736"/>
      <c r="AW149" s="736"/>
      <c r="AX149" s="736"/>
      <c r="AY149" s="736"/>
      <c r="AZ149" s="736"/>
      <c r="BA149" s="736"/>
      <c r="BB149" s="736"/>
      <c r="BC149" s="736"/>
      <c r="BD149" s="736"/>
      <c r="BE149" s="736"/>
      <c r="BF149" s="736"/>
      <c r="BG149" s="736"/>
      <c r="BH149" s="736"/>
      <c r="BI149" s="736"/>
      <c r="BJ149" s="736"/>
      <c r="BK149" s="736"/>
      <c r="BL149" s="736"/>
      <c r="BM149" s="736"/>
      <c r="BN149" s="736"/>
      <c r="BO149" s="736"/>
      <c r="BP149" s="736"/>
      <c r="BQ149" s="736"/>
      <c r="BR149" s="736"/>
      <c r="BS149" s="736"/>
      <c r="BT149" s="736"/>
    </row>
    <row r="150" spans="1:72" x14ac:dyDescent="0.25">
      <c r="A150" s="736" t="s">
        <v>594</v>
      </c>
      <c r="B150" s="736">
        <v>20.2</v>
      </c>
      <c r="C150" s="736">
        <v>26.15</v>
      </c>
      <c r="D150" s="736">
        <v>20.12</v>
      </c>
      <c r="E150" s="736">
        <v>21.4</v>
      </c>
      <c r="F150" s="736">
        <v>21.77</v>
      </c>
      <c r="G150" s="736">
        <v>23.3</v>
      </c>
      <c r="H150" s="736">
        <v>25.02</v>
      </c>
      <c r="I150" s="736">
        <v>26.51</v>
      </c>
      <c r="J150" s="736">
        <v>27.61</v>
      </c>
      <c r="K150" s="736">
        <v>28.83</v>
      </c>
      <c r="L150" s="736">
        <v>29.98</v>
      </c>
      <c r="M150" s="736">
        <v>31.22</v>
      </c>
      <c r="N150" s="736">
        <v>32.11</v>
      </c>
      <c r="O150" s="736">
        <v>33.020000000000003</v>
      </c>
      <c r="P150" s="736">
        <v>34.01</v>
      </c>
      <c r="Q150" s="736">
        <v>35.020000000000003</v>
      </c>
      <c r="R150" s="736">
        <v>36.130000000000003</v>
      </c>
      <c r="S150" s="736">
        <v>37.24</v>
      </c>
      <c r="T150" s="736">
        <v>38.35</v>
      </c>
      <c r="U150" s="736">
        <v>39.36</v>
      </c>
      <c r="V150" s="736">
        <v>40.57</v>
      </c>
      <c r="W150" s="736">
        <v>41.81</v>
      </c>
      <c r="X150" s="736">
        <v>43.24</v>
      </c>
      <c r="Y150" s="736">
        <v>44.53</v>
      </c>
      <c r="Z150" s="736">
        <v>46.07</v>
      </c>
      <c r="AA150" s="736">
        <v>47.62</v>
      </c>
      <c r="AB150" s="736">
        <v>49.27</v>
      </c>
      <c r="AC150" s="736">
        <v>50.92</v>
      </c>
      <c r="AD150" s="736">
        <v>52.64</v>
      </c>
      <c r="AE150" s="770">
        <v>2.5999999999999999E-2</v>
      </c>
      <c r="AF150" s="736"/>
      <c r="AG150" s="736"/>
      <c r="AH150" s="736"/>
      <c r="AI150" s="736"/>
      <c r="AJ150" s="736"/>
      <c r="AK150" s="736"/>
      <c r="AL150" s="736"/>
      <c r="AM150" s="736"/>
      <c r="AN150" s="736"/>
      <c r="AO150" s="736"/>
      <c r="AP150" s="736"/>
      <c r="AQ150" s="736"/>
      <c r="AR150" s="736"/>
      <c r="AS150" s="736"/>
      <c r="AT150" s="736"/>
      <c r="AU150" s="736"/>
      <c r="AV150" s="736"/>
      <c r="AW150" s="736"/>
      <c r="AX150" s="736"/>
      <c r="AY150" s="736"/>
      <c r="AZ150" s="736"/>
      <c r="BA150" s="736"/>
      <c r="BB150" s="736"/>
      <c r="BC150" s="736"/>
      <c r="BD150" s="736"/>
      <c r="BE150" s="736"/>
      <c r="BF150" s="736"/>
      <c r="BG150" s="736"/>
      <c r="BH150" s="736"/>
      <c r="BI150" s="736"/>
      <c r="BJ150" s="736"/>
      <c r="BK150" s="736"/>
      <c r="BL150" s="736"/>
      <c r="BM150" s="736"/>
      <c r="BN150" s="736"/>
      <c r="BO150" s="736"/>
      <c r="BP150" s="736"/>
      <c r="BQ150" s="736"/>
      <c r="BR150" s="736"/>
      <c r="BS150" s="736"/>
      <c r="BT150" s="736"/>
    </row>
    <row r="151" spans="1:72" x14ac:dyDescent="0.25">
      <c r="A151" s="736" t="s">
        <v>595</v>
      </c>
      <c r="B151" s="736">
        <v>17.100000000000001</v>
      </c>
      <c r="C151" s="736">
        <v>21.5</v>
      </c>
      <c r="D151" s="736">
        <v>16.04</v>
      </c>
      <c r="E151" s="736">
        <v>15.27</v>
      </c>
      <c r="F151" s="736">
        <v>15.91</v>
      </c>
      <c r="G151" s="736">
        <v>17.34</v>
      </c>
      <c r="H151" s="736">
        <v>18.739999999999998</v>
      </c>
      <c r="I151" s="736">
        <v>19.850000000000001</v>
      </c>
      <c r="J151" s="736">
        <v>20.86</v>
      </c>
      <c r="K151" s="736">
        <v>22.18</v>
      </c>
      <c r="L151" s="736">
        <v>23.33</v>
      </c>
      <c r="M151" s="736">
        <v>24.52</v>
      </c>
      <c r="N151" s="736">
        <v>25.47</v>
      </c>
      <c r="O151" s="736">
        <v>26.39</v>
      </c>
      <c r="P151" s="736">
        <v>27.18</v>
      </c>
      <c r="Q151" s="736">
        <v>28.11</v>
      </c>
      <c r="R151" s="736">
        <v>29.04</v>
      </c>
      <c r="S151" s="736">
        <v>29.83</v>
      </c>
      <c r="T151" s="736">
        <v>30.83</v>
      </c>
      <c r="U151" s="736">
        <v>31.82</v>
      </c>
      <c r="V151" s="736">
        <v>32.83</v>
      </c>
      <c r="W151" s="736">
        <v>34.01</v>
      </c>
      <c r="X151" s="736">
        <v>35.340000000000003</v>
      </c>
      <c r="Y151" s="736">
        <v>36.380000000000003</v>
      </c>
      <c r="Z151" s="736">
        <v>37.86</v>
      </c>
      <c r="AA151" s="736">
        <v>39.340000000000003</v>
      </c>
      <c r="AB151" s="736">
        <v>40.74</v>
      </c>
      <c r="AC151" s="736">
        <v>42.29</v>
      </c>
      <c r="AD151" s="736">
        <v>43.92</v>
      </c>
      <c r="AE151" s="770">
        <v>2.7E-2</v>
      </c>
      <c r="AF151" s="736"/>
      <c r="AG151" s="736"/>
      <c r="AH151" s="736"/>
      <c r="AI151" s="736"/>
      <c r="AJ151" s="736"/>
      <c r="AK151" s="736"/>
      <c r="AL151" s="736"/>
      <c r="AM151" s="736"/>
      <c r="AN151" s="736"/>
      <c r="AO151" s="736"/>
      <c r="AP151" s="736"/>
      <c r="AQ151" s="736"/>
      <c r="AR151" s="736"/>
      <c r="AS151" s="736"/>
      <c r="AT151" s="736"/>
      <c r="AU151" s="736"/>
      <c r="AV151" s="736"/>
      <c r="AW151" s="736"/>
      <c r="AX151" s="736"/>
      <c r="AY151" s="736"/>
      <c r="AZ151" s="736"/>
      <c r="BA151" s="736"/>
      <c r="BB151" s="736"/>
      <c r="BC151" s="736"/>
      <c r="BD151" s="736"/>
      <c r="BE151" s="736"/>
      <c r="BF151" s="736"/>
      <c r="BG151" s="736"/>
      <c r="BH151" s="736"/>
      <c r="BI151" s="736"/>
      <c r="BJ151" s="736"/>
      <c r="BK151" s="736"/>
      <c r="BL151" s="736"/>
      <c r="BM151" s="736"/>
      <c r="BN151" s="736"/>
      <c r="BO151" s="736"/>
      <c r="BP151" s="736"/>
      <c r="BQ151" s="736"/>
      <c r="BR151" s="736"/>
      <c r="BS151" s="736"/>
      <c r="BT151" s="736"/>
    </row>
    <row r="152" spans="1:72" x14ac:dyDescent="0.25">
      <c r="A152" s="736" t="s">
        <v>708</v>
      </c>
      <c r="B152" s="736">
        <v>8.2100000000000009</v>
      </c>
      <c r="C152" s="736">
        <v>15.52</v>
      </c>
      <c r="D152" s="736">
        <v>9.41</v>
      </c>
      <c r="E152" s="736">
        <v>9.74</v>
      </c>
      <c r="F152" s="736">
        <v>10.050000000000001</v>
      </c>
      <c r="G152" s="736">
        <v>11.48</v>
      </c>
      <c r="H152" s="736">
        <v>12.9</v>
      </c>
      <c r="I152" s="736">
        <v>13.98</v>
      </c>
      <c r="J152" s="736">
        <v>14.63</v>
      </c>
      <c r="K152" s="736">
        <v>15.52</v>
      </c>
      <c r="L152" s="736">
        <v>16.37</v>
      </c>
      <c r="M152" s="736">
        <v>17.29</v>
      </c>
      <c r="N152" s="736">
        <v>18.29</v>
      </c>
      <c r="O152" s="736">
        <v>18.899999999999999</v>
      </c>
      <c r="P152" s="736">
        <v>19.57</v>
      </c>
      <c r="Q152" s="736">
        <v>20.27</v>
      </c>
      <c r="R152" s="736">
        <v>21.01</v>
      </c>
      <c r="S152" s="736">
        <v>21.73</v>
      </c>
      <c r="T152" s="736">
        <v>22.45</v>
      </c>
      <c r="U152" s="736">
        <v>23.04</v>
      </c>
      <c r="V152" s="736">
        <v>23.8</v>
      </c>
      <c r="W152" s="736">
        <v>24.66</v>
      </c>
      <c r="X152" s="736">
        <v>25.52</v>
      </c>
      <c r="Y152" s="736">
        <v>26.47</v>
      </c>
      <c r="Z152" s="736">
        <v>27.6</v>
      </c>
      <c r="AA152" s="736">
        <v>28.58</v>
      </c>
      <c r="AB152" s="736">
        <v>29.4</v>
      </c>
      <c r="AC152" s="736">
        <v>30.75</v>
      </c>
      <c r="AD152" s="736">
        <v>31.66</v>
      </c>
      <c r="AE152" s="770">
        <v>2.7E-2</v>
      </c>
      <c r="AF152" s="736"/>
      <c r="AG152" s="736"/>
      <c r="AH152" s="736"/>
      <c r="AI152" s="736"/>
      <c r="AJ152" s="736"/>
      <c r="AK152" s="736"/>
      <c r="AL152" s="736"/>
      <c r="AM152" s="736"/>
      <c r="AN152" s="736"/>
      <c r="AO152" s="736"/>
      <c r="AP152" s="736"/>
      <c r="AQ152" s="736"/>
      <c r="AR152" s="736"/>
      <c r="AS152" s="736"/>
      <c r="AT152" s="736"/>
      <c r="AU152" s="736"/>
      <c r="AV152" s="736"/>
      <c r="AW152" s="736"/>
      <c r="AX152" s="736"/>
      <c r="AY152" s="736"/>
      <c r="AZ152" s="736"/>
      <c r="BA152" s="736"/>
      <c r="BB152" s="736"/>
      <c r="BC152" s="736"/>
      <c r="BD152" s="736"/>
      <c r="BE152" s="736"/>
      <c r="BF152" s="736"/>
      <c r="BG152" s="736"/>
      <c r="BH152" s="736"/>
      <c r="BI152" s="736"/>
      <c r="BJ152" s="736"/>
      <c r="BK152" s="736"/>
      <c r="BL152" s="736"/>
      <c r="BM152" s="736"/>
      <c r="BN152" s="736"/>
      <c r="BO152" s="736"/>
      <c r="BP152" s="736"/>
      <c r="BQ152" s="736"/>
      <c r="BR152" s="736"/>
      <c r="BS152" s="736"/>
      <c r="BT152" s="736"/>
    </row>
    <row r="153" spans="1:72" x14ac:dyDescent="0.25">
      <c r="A153" s="736" t="s">
        <v>496</v>
      </c>
      <c r="B153" s="736">
        <v>10.96</v>
      </c>
      <c r="C153" s="736">
        <v>11.94</v>
      </c>
      <c r="D153" s="736">
        <v>9.18</v>
      </c>
      <c r="E153" s="736">
        <v>8.93</v>
      </c>
      <c r="F153" s="736">
        <v>10.15</v>
      </c>
      <c r="G153" s="736">
        <v>10.65</v>
      </c>
      <c r="H153" s="736">
        <v>10.68</v>
      </c>
      <c r="I153" s="736">
        <v>10.8</v>
      </c>
      <c r="J153" s="736">
        <v>11.14</v>
      </c>
      <c r="K153" s="736">
        <v>11.44</v>
      </c>
      <c r="L153" s="736">
        <v>11.67</v>
      </c>
      <c r="M153" s="736">
        <v>11.96</v>
      </c>
      <c r="N153" s="736">
        <v>12.27</v>
      </c>
      <c r="O153" s="736">
        <v>12.65</v>
      </c>
      <c r="P153" s="736">
        <v>13.05</v>
      </c>
      <c r="Q153" s="736">
        <v>13.58</v>
      </c>
      <c r="R153" s="736">
        <v>13.92</v>
      </c>
      <c r="S153" s="736">
        <v>14.13</v>
      </c>
      <c r="T153" s="736">
        <v>14.53</v>
      </c>
      <c r="U153" s="736">
        <v>15.05</v>
      </c>
      <c r="V153" s="736">
        <v>15.62</v>
      </c>
      <c r="W153" s="736">
        <v>16.3</v>
      </c>
      <c r="X153" s="736">
        <v>17.010000000000002</v>
      </c>
      <c r="Y153" s="736">
        <v>17.78</v>
      </c>
      <c r="Z153" s="736">
        <v>18.690000000000001</v>
      </c>
      <c r="AA153" s="736">
        <v>19.329999999999998</v>
      </c>
      <c r="AB153" s="736">
        <v>19.86</v>
      </c>
      <c r="AC153" s="736">
        <v>20.61</v>
      </c>
      <c r="AD153" s="736">
        <v>21.27</v>
      </c>
      <c r="AE153" s="770">
        <v>2.1999999999999999E-2</v>
      </c>
      <c r="AF153" s="736"/>
      <c r="AG153" s="736"/>
      <c r="AH153" s="736"/>
      <c r="AI153" s="736"/>
      <c r="AJ153" s="736"/>
      <c r="AK153" s="736"/>
      <c r="AL153" s="736"/>
      <c r="AM153" s="736"/>
      <c r="AN153" s="736"/>
      <c r="AO153" s="736"/>
      <c r="AP153" s="736"/>
      <c r="AQ153" s="736"/>
      <c r="AR153" s="736"/>
      <c r="AS153" s="736"/>
      <c r="AT153" s="736"/>
      <c r="AU153" s="736"/>
      <c r="AV153" s="736"/>
      <c r="AW153" s="736"/>
      <c r="AX153" s="736"/>
      <c r="AY153" s="736"/>
      <c r="AZ153" s="736"/>
      <c r="BA153" s="736"/>
      <c r="BB153" s="736"/>
      <c r="BC153" s="736"/>
      <c r="BD153" s="736"/>
      <c r="BE153" s="736"/>
      <c r="BF153" s="736"/>
      <c r="BG153" s="736"/>
      <c r="BH153" s="736"/>
      <c r="BI153" s="736"/>
      <c r="BJ153" s="736"/>
      <c r="BK153" s="736"/>
      <c r="BL153" s="736"/>
      <c r="BM153" s="736"/>
      <c r="BN153" s="736"/>
      <c r="BO153" s="736"/>
      <c r="BP153" s="736"/>
      <c r="BQ153" s="736"/>
      <c r="BR153" s="736"/>
      <c r="BS153" s="736"/>
      <c r="BT153" s="736"/>
    </row>
    <row r="154" spans="1:72" x14ac:dyDescent="0.25">
      <c r="A154" s="736" t="s">
        <v>465</v>
      </c>
      <c r="B154" s="736">
        <v>28.18</v>
      </c>
      <c r="C154" s="736">
        <v>30.47</v>
      </c>
      <c r="D154" s="736">
        <v>29.38</v>
      </c>
      <c r="E154" s="736">
        <v>28.19</v>
      </c>
      <c r="F154" s="736">
        <v>26.85</v>
      </c>
      <c r="G154" s="736">
        <v>28.28</v>
      </c>
      <c r="H154" s="736">
        <v>28.88</v>
      </c>
      <c r="I154" s="736">
        <v>29.09</v>
      </c>
      <c r="J154" s="736">
        <v>29.58</v>
      </c>
      <c r="K154" s="736">
        <v>30.41</v>
      </c>
      <c r="L154" s="736">
        <v>31.16</v>
      </c>
      <c r="M154" s="736">
        <v>31.75</v>
      </c>
      <c r="N154" s="736">
        <v>32.270000000000003</v>
      </c>
      <c r="O154" s="736">
        <v>33.15</v>
      </c>
      <c r="P154" s="736">
        <v>34.090000000000003</v>
      </c>
      <c r="Q154" s="736">
        <v>34.97</v>
      </c>
      <c r="R154" s="736">
        <v>35.99</v>
      </c>
      <c r="S154" s="736">
        <v>36.94</v>
      </c>
      <c r="T154" s="736">
        <v>37.619999999999997</v>
      </c>
      <c r="U154" s="736">
        <v>38.61</v>
      </c>
      <c r="V154" s="736">
        <v>39.68</v>
      </c>
      <c r="W154" s="736">
        <v>40.82</v>
      </c>
      <c r="X154" s="736">
        <v>42.33</v>
      </c>
      <c r="Y154" s="736">
        <v>43.75</v>
      </c>
      <c r="Z154" s="736">
        <v>45.32</v>
      </c>
      <c r="AA154" s="736">
        <v>46.89</v>
      </c>
      <c r="AB154" s="736">
        <v>48.18</v>
      </c>
      <c r="AC154" s="736">
        <v>49.63</v>
      </c>
      <c r="AD154" s="736">
        <v>51.04</v>
      </c>
      <c r="AE154" s="770">
        <v>1.9E-2</v>
      </c>
      <c r="AF154" s="736"/>
      <c r="AG154" s="736"/>
      <c r="AH154" s="736"/>
      <c r="AI154" s="736"/>
      <c r="AJ154" s="736"/>
      <c r="AK154" s="736"/>
      <c r="AL154" s="736"/>
      <c r="AM154" s="736"/>
      <c r="AN154" s="736"/>
      <c r="AO154" s="736"/>
      <c r="AP154" s="736"/>
      <c r="AQ154" s="736"/>
      <c r="AR154" s="736"/>
      <c r="AS154" s="736"/>
      <c r="AT154" s="736"/>
      <c r="AU154" s="736"/>
      <c r="AV154" s="736"/>
      <c r="AW154" s="736"/>
      <c r="AX154" s="736"/>
      <c r="AY154" s="736"/>
      <c r="AZ154" s="736"/>
      <c r="BA154" s="736"/>
      <c r="BB154" s="736"/>
      <c r="BC154" s="736"/>
      <c r="BD154" s="736"/>
      <c r="BE154" s="736"/>
      <c r="BF154" s="736"/>
      <c r="BG154" s="736"/>
      <c r="BH154" s="736"/>
      <c r="BI154" s="736"/>
      <c r="BJ154" s="736"/>
      <c r="BK154" s="736"/>
      <c r="BL154" s="736"/>
      <c r="BM154" s="736"/>
      <c r="BN154" s="736"/>
      <c r="BO154" s="736"/>
      <c r="BP154" s="736"/>
      <c r="BQ154" s="736"/>
      <c r="BR154" s="736"/>
      <c r="BS154" s="736"/>
      <c r="BT154" s="736"/>
    </row>
    <row r="155" spans="1:72" x14ac:dyDescent="0.25">
      <c r="A155" s="736"/>
      <c r="B155" s="736"/>
      <c r="C155" s="736"/>
      <c r="D155" s="736"/>
      <c r="E155" s="736"/>
      <c r="F155" s="736"/>
      <c r="G155" s="736"/>
      <c r="H155" s="736"/>
      <c r="I155" s="736"/>
      <c r="J155" s="736"/>
      <c r="K155" s="736"/>
      <c r="L155" s="736"/>
      <c r="M155" s="736"/>
      <c r="N155" s="736"/>
      <c r="O155" s="736"/>
      <c r="P155" s="736"/>
      <c r="Q155" s="736"/>
      <c r="R155" s="736"/>
      <c r="S155" s="736"/>
      <c r="T155" s="736"/>
      <c r="U155" s="736"/>
      <c r="V155" s="736"/>
      <c r="W155" s="736"/>
      <c r="X155" s="736"/>
      <c r="Y155" s="736"/>
      <c r="Z155" s="736"/>
      <c r="AA155" s="736"/>
      <c r="AB155" s="736"/>
      <c r="AC155" s="736"/>
      <c r="AD155" s="736"/>
      <c r="AE155" s="736"/>
      <c r="AF155" s="736"/>
      <c r="AG155" s="736"/>
      <c r="AH155" s="736"/>
      <c r="AI155" s="736"/>
      <c r="AJ155" s="736"/>
      <c r="AK155" s="736"/>
      <c r="AL155" s="736"/>
      <c r="AM155" s="736"/>
      <c r="AN155" s="736"/>
      <c r="AO155" s="736"/>
      <c r="AP155" s="736"/>
      <c r="AQ155" s="736"/>
      <c r="AR155" s="736"/>
      <c r="AS155" s="736"/>
      <c r="AT155" s="736"/>
      <c r="AU155" s="736"/>
      <c r="AV155" s="736"/>
      <c r="AW155" s="736"/>
      <c r="AX155" s="736"/>
      <c r="AY155" s="736"/>
      <c r="AZ155" s="736"/>
      <c r="BA155" s="736"/>
      <c r="BB155" s="736"/>
      <c r="BC155" s="736"/>
      <c r="BD155" s="736"/>
      <c r="BE155" s="736"/>
      <c r="BF155" s="736"/>
      <c r="BG155" s="736"/>
      <c r="BH155" s="736"/>
      <c r="BI155" s="736"/>
      <c r="BJ155" s="736"/>
      <c r="BK155" s="736"/>
      <c r="BL155" s="736"/>
      <c r="BM155" s="736"/>
      <c r="BN155" s="736"/>
      <c r="BO155" s="736"/>
      <c r="BP155" s="736"/>
      <c r="BQ155" s="736"/>
      <c r="BR155" s="736"/>
      <c r="BS155" s="736"/>
      <c r="BT155" s="736"/>
    </row>
    <row r="156" spans="1:72" x14ac:dyDescent="0.25">
      <c r="A156" s="736" t="s">
        <v>597</v>
      </c>
      <c r="B156" s="736"/>
      <c r="C156" s="736"/>
      <c r="D156" s="736"/>
      <c r="E156" s="736"/>
      <c r="F156" s="736"/>
      <c r="G156" s="736"/>
      <c r="H156" s="736"/>
      <c r="I156" s="736"/>
      <c r="J156" s="736"/>
      <c r="K156" s="736"/>
      <c r="L156" s="736"/>
      <c r="M156" s="736"/>
      <c r="N156" s="736"/>
      <c r="O156" s="736"/>
      <c r="P156" s="736"/>
      <c r="Q156" s="736"/>
      <c r="R156" s="736"/>
      <c r="S156" s="736"/>
      <c r="T156" s="736"/>
      <c r="U156" s="736"/>
      <c r="V156" s="736"/>
      <c r="W156" s="736"/>
      <c r="X156" s="736"/>
      <c r="Y156" s="736"/>
      <c r="Z156" s="736"/>
      <c r="AA156" s="736"/>
      <c r="AB156" s="736"/>
      <c r="AC156" s="736"/>
      <c r="AD156" s="736"/>
      <c r="AE156" s="736"/>
      <c r="AF156" s="736"/>
      <c r="AG156" s="736"/>
      <c r="AH156" s="736"/>
      <c r="AI156" s="736"/>
      <c r="AJ156" s="736"/>
      <c r="AK156" s="736"/>
      <c r="AL156" s="736"/>
      <c r="AM156" s="736"/>
      <c r="AN156" s="736"/>
      <c r="AO156" s="736"/>
      <c r="AP156" s="736"/>
      <c r="AQ156" s="736"/>
      <c r="AR156" s="736"/>
      <c r="AS156" s="736"/>
      <c r="AT156" s="736"/>
      <c r="AU156" s="736"/>
      <c r="AV156" s="736"/>
      <c r="AW156" s="736"/>
      <c r="AX156" s="736"/>
      <c r="AY156" s="736"/>
      <c r="AZ156" s="736"/>
      <c r="BA156" s="736"/>
      <c r="BB156" s="736"/>
      <c r="BC156" s="736"/>
      <c r="BD156" s="736"/>
      <c r="BE156" s="736"/>
      <c r="BF156" s="736"/>
      <c r="BG156" s="736"/>
      <c r="BH156" s="736"/>
      <c r="BI156" s="736"/>
      <c r="BJ156" s="736"/>
      <c r="BK156" s="736"/>
      <c r="BL156" s="736"/>
      <c r="BM156" s="736"/>
      <c r="BN156" s="736"/>
      <c r="BO156" s="736"/>
      <c r="BP156" s="736"/>
      <c r="BQ156" s="736"/>
      <c r="BR156" s="736"/>
      <c r="BS156" s="736"/>
      <c r="BT156" s="736"/>
    </row>
    <row r="157" spans="1:72" x14ac:dyDescent="0.25">
      <c r="A157" s="736" t="s">
        <v>594</v>
      </c>
      <c r="B157" s="736">
        <v>21.53</v>
      </c>
      <c r="C157" s="736">
        <v>24.2</v>
      </c>
      <c r="D157" s="736">
        <v>18.920000000000002</v>
      </c>
      <c r="E157" s="736">
        <v>18.920000000000002</v>
      </c>
      <c r="F157" s="736">
        <v>19.260000000000002</v>
      </c>
      <c r="G157" s="736">
        <v>20.76</v>
      </c>
      <c r="H157" s="736">
        <v>22.51</v>
      </c>
      <c r="I157" s="736">
        <v>24</v>
      </c>
      <c r="J157" s="736">
        <v>25.06</v>
      </c>
      <c r="K157" s="736">
        <v>26.38</v>
      </c>
      <c r="L157" s="736">
        <v>27.45</v>
      </c>
      <c r="M157" s="736">
        <v>28.6</v>
      </c>
      <c r="N157" s="736">
        <v>29.51</v>
      </c>
      <c r="O157" s="736">
        <v>30.38</v>
      </c>
      <c r="P157" s="736">
        <v>31.31</v>
      </c>
      <c r="Q157" s="736">
        <v>32.270000000000003</v>
      </c>
      <c r="R157" s="736">
        <v>33.340000000000003</v>
      </c>
      <c r="S157" s="736">
        <v>34.39</v>
      </c>
      <c r="T157" s="736">
        <v>35.450000000000003</v>
      </c>
      <c r="U157" s="736">
        <v>36.4</v>
      </c>
      <c r="V157" s="736">
        <v>37.549999999999997</v>
      </c>
      <c r="W157" s="736">
        <v>38.729999999999997</v>
      </c>
      <c r="X157" s="736">
        <v>40.1</v>
      </c>
      <c r="Y157" s="736">
        <v>41.33</v>
      </c>
      <c r="Z157" s="736">
        <v>42.81</v>
      </c>
      <c r="AA157" s="736">
        <v>44.29</v>
      </c>
      <c r="AB157" s="736">
        <v>45.9</v>
      </c>
      <c r="AC157" s="736">
        <v>47.5</v>
      </c>
      <c r="AD157" s="736">
        <v>49.15</v>
      </c>
      <c r="AE157" s="770">
        <v>2.7E-2</v>
      </c>
      <c r="AF157" s="736"/>
      <c r="AG157" s="736"/>
      <c r="AH157" s="736"/>
      <c r="AI157" s="736"/>
      <c r="AJ157" s="736"/>
      <c r="AK157" s="736"/>
      <c r="AL157" s="736"/>
      <c r="AM157" s="736"/>
      <c r="AN157" s="736"/>
      <c r="AO157" s="736"/>
      <c r="AP157" s="736"/>
      <c r="AQ157" s="736"/>
      <c r="AR157" s="736"/>
      <c r="AS157" s="736"/>
      <c r="AT157" s="736"/>
      <c r="AU157" s="736"/>
      <c r="AV157" s="736"/>
      <c r="AW157" s="736"/>
      <c r="AX157" s="736"/>
      <c r="AY157" s="736"/>
      <c r="AZ157" s="736"/>
      <c r="BA157" s="736"/>
      <c r="BB157" s="736"/>
      <c r="BC157" s="736"/>
      <c r="BD157" s="736"/>
      <c r="BE157" s="736"/>
      <c r="BF157" s="736"/>
      <c r="BG157" s="736"/>
      <c r="BH157" s="736"/>
      <c r="BI157" s="736"/>
      <c r="BJ157" s="736"/>
      <c r="BK157" s="736"/>
      <c r="BL157" s="736"/>
      <c r="BM157" s="736"/>
      <c r="BN157" s="736"/>
      <c r="BO157" s="736"/>
      <c r="BP157" s="736"/>
      <c r="BQ157" s="736"/>
      <c r="BR157" s="736"/>
      <c r="BS157" s="736"/>
      <c r="BT157" s="736"/>
    </row>
    <row r="158" spans="1:72" x14ac:dyDescent="0.25">
      <c r="A158" s="736" t="s">
        <v>595</v>
      </c>
      <c r="B158" s="736">
        <v>17.68</v>
      </c>
      <c r="C158" s="736">
        <v>22.31</v>
      </c>
      <c r="D158" s="736">
        <v>16.649999999999999</v>
      </c>
      <c r="E158" s="736">
        <v>14.82</v>
      </c>
      <c r="F158" s="736">
        <v>16.05</v>
      </c>
      <c r="G158" s="736">
        <v>17.52</v>
      </c>
      <c r="H158" s="736">
        <v>18.95</v>
      </c>
      <c r="I158" s="736">
        <v>20.07</v>
      </c>
      <c r="J158" s="736">
        <v>21.18</v>
      </c>
      <c r="K158" s="736">
        <v>22.46</v>
      </c>
      <c r="L158" s="736">
        <v>23.62</v>
      </c>
      <c r="M158" s="736">
        <v>24.81</v>
      </c>
      <c r="N158" s="736">
        <v>25.76</v>
      </c>
      <c r="O158" s="736">
        <v>26.68</v>
      </c>
      <c r="P158" s="736">
        <v>27.5</v>
      </c>
      <c r="Q158" s="736">
        <v>28.52</v>
      </c>
      <c r="R158" s="736">
        <v>29.39</v>
      </c>
      <c r="S158" s="736">
        <v>30.15</v>
      </c>
      <c r="T158" s="736">
        <v>31.18</v>
      </c>
      <c r="U158" s="736">
        <v>32.159999999999997</v>
      </c>
      <c r="V158" s="736">
        <v>33.21</v>
      </c>
      <c r="W158" s="736">
        <v>34.409999999999997</v>
      </c>
      <c r="X158" s="736">
        <v>35.770000000000003</v>
      </c>
      <c r="Y158" s="736">
        <v>36.83</v>
      </c>
      <c r="Z158" s="736">
        <v>38.33</v>
      </c>
      <c r="AA158" s="736">
        <v>39.83</v>
      </c>
      <c r="AB158" s="736">
        <v>41.25</v>
      </c>
      <c r="AC158" s="736">
        <v>42.82</v>
      </c>
      <c r="AD158" s="736">
        <v>44.51</v>
      </c>
      <c r="AE158" s="770">
        <v>2.5999999999999999E-2</v>
      </c>
      <c r="AF158" s="736"/>
      <c r="AG158" s="736"/>
      <c r="AH158" s="736"/>
      <c r="AI158" s="736"/>
      <c r="AJ158" s="736"/>
      <c r="AK158" s="736"/>
      <c r="AL158" s="736"/>
      <c r="AM158" s="736"/>
      <c r="AN158" s="736"/>
      <c r="AO158" s="736"/>
      <c r="AP158" s="736"/>
      <c r="AQ158" s="736"/>
      <c r="AR158" s="736"/>
      <c r="AS158" s="736"/>
      <c r="AT158" s="736"/>
      <c r="AU158" s="736"/>
      <c r="AV158" s="736"/>
      <c r="AW158" s="736"/>
      <c r="AX158" s="736"/>
      <c r="AY158" s="736"/>
      <c r="AZ158" s="736"/>
      <c r="BA158" s="736"/>
      <c r="BB158" s="736"/>
      <c r="BC158" s="736"/>
      <c r="BD158" s="736"/>
      <c r="BE158" s="736"/>
      <c r="BF158" s="736"/>
      <c r="BG158" s="736"/>
      <c r="BH158" s="736"/>
      <c r="BI158" s="736"/>
      <c r="BJ158" s="736"/>
      <c r="BK158" s="736"/>
      <c r="BL158" s="736"/>
      <c r="BM158" s="736"/>
      <c r="BN158" s="736"/>
      <c r="BO158" s="736"/>
      <c r="BP158" s="736"/>
      <c r="BQ158" s="736"/>
      <c r="BR158" s="736"/>
      <c r="BS158" s="736"/>
      <c r="BT158" s="736"/>
    </row>
    <row r="159" spans="1:72" x14ac:dyDescent="0.25">
      <c r="A159" s="736" t="s">
        <v>596</v>
      </c>
      <c r="B159" s="736">
        <v>8.65</v>
      </c>
      <c r="C159" s="736">
        <v>16.309999999999999</v>
      </c>
      <c r="D159" s="736">
        <v>9.89</v>
      </c>
      <c r="E159" s="736">
        <v>13.52</v>
      </c>
      <c r="F159" s="736">
        <v>13.82</v>
      </c>
      <c r="G159" s="736">
        <v>15.16</v>
      </c>
      <c r="H159" s="736">
        <v>16.489999999999998</v>
      </c>
      <c r="I159" s="736">
        <v>17.62</v>
      </c>
      <c r="J159" s="736">
        <v>18.350000000000001</v>
      </c>
      <c r="K159" s="736">
        <v>19.239999999999998</v>
      </c>
      <c r="L159" s="736">
        <v>20.059999999999999</v>
      </c>
      <c r="M159" s="736">
        <v>20.97</v>
      </c>
      <c r="N159" s="736">
        <v>21.68</v>
      </c>
      <c r="O159" s="736">
        <v>22.24</v>
      </c>
      <c r="P159" s="736">
        <v>23</v>
      </c>
      <c r="Q159" s="736">
        <v>23.74</v>
      </c>
      <c r="R159" s="736">
        <v>24.52</v>
      </c>
      <c r="S159" s="736">
        <v>25.31</v>
      </c>
      <c r="T159" s="736">
        <v>26.1</v>
      </c>
      <c r="U159" s="736">
        <v>26.74</v>
      </c>
      <c r="V159" s="736">
        <v>27.57</v>
      </c>
      <c r="W159" s="736">
        <v>28.51</v>
      </c>
      <c r="X159" s="736">
        <v>29.51</v>
      </c>
      <c r="Y159" s="736">
        <v>30.6</v>
      </c>
      <c r="Z159" s="736">
        <v>31.8</v>
      </c>
      <c r="AA159" s="736">
        <v>32.92</v>
      </c>
      <c r="AB159" s="736">
        <v>34.03</v>
      </c>
      <c r="AC159" s="736">
        <v>35.29</v>
      </c>
      <c r="AD159" s="736">
        <v>36.5</v>
      </c>
      <c r="AE159" s="770">
        <v>0.03</v>
      </c>
      <c r="AF159" s="736"/>
      <c r="AG159" s="736"/>
      <c r="AH159" s="736"/>
      <c r="AI159" s="736"/>
      <c r="AJ159" s="736"/>
      <c r="AK159" s="736"/>
      <c r="AL159" s="736"/>
      <c r="AM159" s="736"/>
      <c r="AN159" s="736"/>
      <c r="AO159" s="736"/>
      <c r="AP159" s="736"/>
      <c r="AQ159" s="736"/>
      <c r="AR159" s="736"/>
      <c r="AS159" s="736"/>
      <c r="AT159" s="736"/>
      <c r="AU159" s="736"/>
      <c r="AV159" s="736"/>
      <c r="AW159" s="736"/>
      <c r="AX159" s="736"/>
      <c r="AY159" s="736"/>
      <c r="AZ159" s="736"/>
      <c r="BA159" s="736"/>
      <c r="BB159" s="736"/>
      <c r="BC159" s="736"/>
      <c r="BD159" s="736"/>
      <c r="BE159" s="736"/>
      <c r="BF159" s="736"/>
      <c r="BG159" s="736"/>
      <c r="BH159" s="736"/>
      <c r="BI159" s="736"/>
      <c r="BJ159" s="736"/>
      <c r="BK159" s="736"/>
      <c r="BL159" s="736"/>
      <c r="BM159" s="736"/>
      <c r="BN159" s="736"/>
      <c r="BO159" s="736"/>
      <c r="BP159" s="736"/>
      <c r="BQ159" s="736"/>
      <c r="BR159" s="736"/>
      <c r="BS159" s="736"/>
      <c r="BT159" s="736"/>
    </row>
    <row r="160" spans="1:72" x14ac:dyDescent="0.25">
      <c r="A160" s="736" t="s">
        <v>598</v>
      </c>
      <c r="B160" s="736">
        <v>7.41</v>
      </c>
      <c r="C160" s="736">
        <v>9.11</v>
      </c>
      <c r="D160" s="736">
        <v>4.26</v>
      </c>
      <c r="E160" s="736">
        <v>5.0199999999999996</v>
      </c>
      <c r="F160" s="736">
        <v>6.23</v>
      </c>
      <c r="G160" s="736">
        <v>6.76</v>
      </c>
      <c r="H160" s="736">
        <v>6.82</v>
      </c>
      <c r="I160" s="736">
        <v>6.89</v>
      </c>
      <c r="J160" s="736">
        <v>7.18</v>
      </c>
      <c r="K160" s="736">
        <v>7.39</v>
      </c>
      <c r="L160" s="736">
        <v>7.52</v>
      </c>
      <c r="M160" s="736">
        <v>7.71</v>
      </c>
      <c r="N160" s="736">
        <v>7.91</v>
      </c>
      <c r="O160" s="736">
        <v>8.19</v>
      </c>
      <c r="P160" s="736">
        <v>8.4700000000000006</v>
      </c>
      <c r="Q160" s="736">
        <v>8.8800000000000008</v>
      </c>
      <c r="R160" s="736">
        <v>9.14</v>
      </c>
      <c r="S160" s="736">
        <v>9.26</v>
      </c>
      <c r="T160" s="736">
        <v>9.52</v>
      </c>
      <c r="U160" s="736">
        <v>9.9</v>
      </c>
      <c r="V160" s="736">
        <v>10.31</v>
      </c>
      <c r="W160" s="736">
        <v>10.85</v>
      </c>
      <c r="X160" s="736">
        <v>11.41</v>
      </c>
      <c r="Y160" s="736">
        <v>12.04</v>
      </c>
      <c r="Z160" s="736">
        <v>12.79</v>
      </c>
      <c r="AA160" s="736">
        <v>13.25</v>
      </c>
      <c r="AB160" s="736">
        <v>13.56</v>
      </c>
      <c r="AC160" s="736">
        <v>14.17</v>
      </c>
      <c r="AD160" s="736">
        <v>14.67</v>
      </c>
      <c r="AE160" s="770">
        <v>1.7999999999999999E-2</v>
      </c>
      <c r="AF160" s="736"/>
      <c r="AG160" s="736"/>
      <c r="AH160" s="736"/>
      <c r="AI160" s="736"/>
      <c r="AJ160" s="736"/>
      <c r="AK160" s="736"/>
      <c r="AL160" s="736"/>
      <c r="AM160" s="736"/>
      <c r="AN160" s="736"/>
      <c r="AO160" s="736"/>
      <c r="AP160" s="736"/>
      <c r="AQ160" s="736"/>
      <c r="AR160" s="736"/>
      <c r="AS160" s="736"/>
      <c r="AT160" s="736"/>
      <c r="AU160" s="736"/>
      <c r="AV160" s="736"/>
      <c r="AW160" s="736"/>
      <c r="AX160" s="736"/>
      <c r="AY160" s="736"/>
      <c r="AZ160" s="736"/>
      <c r="BA160" s="736"/>
      <c r="BB160" s="736"/>
      <c r="BC160" s="736"/>
      <c r="BD160" s="736"/>
      <c r="BE160" s="736"/>
      <c r="BF160" s="736"/>
      <c r="BG160" s="736"/>
      <c r="BH160" s="736"/>
      <c r="BI160" s="736"/>
      <c r="BJ160" s="736"/>
      <c r="BK160" s="736"/>
      <c r="BL160" s="736"/>
      <c r="BM160" s="736"/>
      <c r="BN160" s="736"/>
      <c r="BO160" s="736"/>
      <c r="BP160" s="736"/>
      <c r="BQ160" s="736"/>
      <c r="BR160" s="736"/>
      <c r="BS160" s="736"/>
      <c r="BT160" s="736"/>
    </row>
    <row r="161" spans="1:72" x14ac:dyDescent="0.25">
      <c r="A161" s="736" t="s">
        <v>599</v>
      </c>
      <c r="B161" s="736">
        <v>3.61</v>
      </c>
      <c r="C161" s="736">
        <v>4.49</v>
      </c>
      <c r="D161" s="736">
        <v>4.79</v>
      </c>
      <c r="E161" s="736">
        <v>4.9400000000000004</v>
      </c>
      <c r="F161" s="736">
        <v>5.07</v>
      </c>
      <c r="G161" s="736">
        <v>5.31</v>
      </c>
      <c r="H161" s="736">
        <v>5.44</v>
      </c>
      <c r="I161" s="736">
        <v>5.56</v>
      </c>
      <c r="J161" s="736">
        <v>5.66</v>
      </c>
      <c r="K161" s="736">
        <v>5.77</v>
      </c>
      <c r="L161" s="736">
        <v>5.97</v>
      </c>
      <c r="M161" s="736">
        <v>6.14</v>
      </c>
      <c r="N161" s="736">
        <v>6.34</v>
      </c>
      <c r="O161" s="736">
        <v>6.5</v>
      </c>
      <c r="P161" s="736">
        <v>6.68</v>
      </c>
      <c r="Q161" s="736">
        <v>6.84</v>
      </c>
      <c r="R161" s="736">
        <v>6.98</v>
      </c>
      <c r="S161" s="736">
        <v>7.07</v>
      </c>
      <c r="T161" s="736">
        <v>7.11</v>
      </c>
      <c r="U161" s="736">
        <v>7.15</v>
      </c>
      <c r="V161" s="736">
        <v>7.27</v>
      </c>
      <c r="W161" s="736">
        <v>7.43</v>
      </c>
      <c r="X161" s="736">
        <v>7.55</v>
      </c>
      <c r="Y161" s="736">
        <v>7.72</v>
      </c>
      <c r="Z161" s="736">
        <v>7.86</v>
      </c>
      <c r="AA161" s="736">
        <v>8.02</v>
      </c>
      <c r="AB161" s="736">
        <v>8.18</v>
      </c>
      <c r="AC161" s="736">
        <v>8.33</v>
      </c>
      <c r="AD161" s="736">
        <v>8.5</v>
      </c>
      <c r="AE161" s="770">
        <v>2.4E-2</v>
      </c>
      <c r="AF161" s="736"/>
      <c r="AG161" s="736"/>
      <c r="AH161" s="736"/>
      <c r="AI161" s="736"/>
      <c r="AJ161" s="736"/>
      <c r="AK161" s="736"/>
      <c r="AL161" s="736"/>
      <c r="AM161" s="736"/>
      <c r="AN161" s="736"/>
      <c r="AO161" s="736"/>
      <c r="AP161" s="736"/>
      <c r="AQ161" s="736"/>
      <c r="AR161" s="736"/>
      <c r="AS161" s="736"/>
      <c r="AT161" s="736"/>
      <c r="AU161" s="736"/>
      <c r="AV161" s="736"/>
      <c r="AW161" s="736"/>
      <c r="AX161" s="736"/>
      <c r="AY161" s="736"/>
      <c r="AZ161" s="736"/>
      <c r="BA161" s="736"/>
      <c r="BB161" s="736"/>
      <c r="BC161" s="736"/>
      <c r="BD161" s="736"/>
      <c r="BE161" s="736"/>
      <c r="BF161" s="736"/>
      <c r="BG161" s="736"/>
      <c r="BH161" s="736"/>
      <c r="BI161" s="736"/>
      <c r="BJ161" s="736"/>
      <c r="BK161" s="736"/>
      <c r="BL161" s="736"/>
      <c r="BM161" s="736"/>
      <c r="BN161" s="736"/>
      <c r="BO161" s="736"/>
      <c r="BP161" s="736"/>
      <c r="BQ161" s="736"/>
      <c r="BR161" s="736"/>
      <c r="BS161" s="736"/>
      <c r="BT161" s="736"/>
    </row>
    <row r="162" spans="1:72" x14ac:dyDescent="0.25">
      <c r="A162" s="736" t="s">
        <v>600</v>
      </c>
      <c r="B162" s="736">
        <v>2.4300000000000002</v>
      </c>
      <c r="C162" s="736">
        <v>2.84</v>
      </c>
      <c r="D162" s="736">
        <v>2.83</v>
      </c>
      <c r="E162" s="736">
        <v>2.77</v>
      </c>
      <c r="F162" s="736">
        <v>2.81</v>
      </c>
      <c r="G162" s="736">
        <v>2.85</v>
      </c>
      <c r="H162" s="736">
        <v>2.86</v>
      </c>
      <c r="I162" s="736">
        <v>2.93</v>
      </c>
      <c r="J162" s="736">
        <v>3</v>
      </c>
      <c r="K162" s="736">
        <v>3.04</v>
      </c>
      <c r="L162" s="736">
        <v>3.11</v>
      </c>
      <c r="M162" s="736">
        <v>3.16</v>
      </c>
      <c r="N162" s="736">
        <v>3.2</v>
      </c>
      <c r="O162" s="736">
        <v>3.26</v>
      </c>
      <c r="P162" s="736">
        <v>3.31</v>
      </c>
      <c r="Q162" s="736">
        <v>3.38</v>
      </c>
      <c r="R162" s="736">
        <v>3.43</v>
      </c>
      <c r="S162" s="736">
        <v>3.5</v>
      </c>
      <c r="T162" s="736">
        <v>3.56</v>
      </c>
      <c r="U162" s="736">
        <v>3.65</v>
      </c>
      <c r="V162" s="736">
        <v>3.72</v>
      </c>
      <c r="W162" s="736">
        <v>3.82</v>
      </c>
      <c r="X162" s="736">
        <v>3.91</v>
      </c>
      <c r="Y162" s="736">
        <v>4.01</v>
      </c>
      <c r="Z162" s="736">
        <v>4.12</v>
      </c>
      <c r="AA162" s="736">
        <v>4.21</v>
      </c>
      <c r="AB162" s="736">
        <v>4.33</v>
      </c>
      <c r="AC162" s="736">
        <v>4.4400000000000004</v>
      </c>
      <c r="AD162" s="736">
        <v>4.55</v>
      </c>
      <c r="AE162" s="770">
        <v>1.7999999999999999E-2</v>
      </c>
      <c r="AF162" s="736"/>
      <c r="AG162" s="736"/>
      <c r="AH162" s="736"/>
      <c r="AI162" s="736"/>
      <c r="AJ162" s="736"/>
      <c r="AK162" s="736"/>
      <c r="AL162" s="736"/>
      <c r="AM162" s="736"/>
      <c r="AN162" s="736"/>
      <c r="AO162" s="736"/>
      <c r="AP162" s="736"/>
      <c r="AQ162" s="736"/>
      <c r="AR162" s="736"/>
      <c r="AS162" s="736"/>
      <c r="AT162" s="736"/>
      <c r="AU162" s="736"/>
      <c r="AV162" s="736"/>
      <c r="AW162" s="736"/>
      <c r="AX162" s="736"/>
      <c r="AY162" s="736"/>
      <c r="AZ162" s="736"/>
      <c r="BA162" s="736"/>
      <c r="BB162" s="736"/>
      <c r="BC162" s="736"/>
      <c r="BD162" s="736"/>
      <c r="BE162" s="736"/>
      <c r="BF162" s="736"/>
      <c r="BG162" s="736"/>
      <c r="BH162" s="736"/>
      <c r="BI162" s="736"/>
      <c r="BJ162" s="736"/>
      <c r="BK162" s="736"/>
      <c r="BL162" s="736"/>
      <c r="BM162" s="736"/>
      <c r="BN162" s="736"/>
      <c r="BO162" s="736"/>
      <c r="BP162" s="736"/>
      <c r="BQ162" s="736"/>
      <c r="BR162" s="736"/>
      <c r="BS162" s="736"/>
      <c r="BT162" s="736"/>
    </row>
    <row r="163" spans="1:72" x14ac:dyDescent="0.25">
      <c r="A163" s="736" t="s">
        <v>601</v>
      </c>
      <c r="B163" s="736" t="s">
        <v>773</v>
      </c>
      <c r="C163" s="736" t="s">
        <v>773</v>
      </c>
      <c r="D163" s="736" t="s">
        <v>773</v>
      </c>
      <c r="E163" s="736" t="s">
        <v>773</v>
      </c>
      <c r="F163" s="736">
        <v>1.32</v>
      </c>
      <c r="G163" s="736">
        <v>1.1000000000000001</v>
      </c>
      <c r="H163" s="736">
        <v>1.1200000000000001</v>
      </c>
      <c r="I163" s="736">
        <v>1.55</v>
      </c>
      <c r="J163" s="736">
        <v>1.58</v>
      </c>
      <c r="K163" s="736">
        <v>1.65</v>
      </c>
      <c r="L163" s="736">
        <v>1.72</v>
      </c>
      <c r="M163" s="736">
        <v>1.74</v>
      </c>
      <c r="N163" s="736">
        <v>1.76</v>
      </c>
      <c r="O163" s="736">
        <v>1.79</v>
      </c>
      <c r="P163" s="736">
        <v>1.86</v>
      </c>
      <c r="Q163" s="736">
        <v>1.91</v>
      </c>
      <c r="R163" s="736">
        <v>1.98</v>
      </c>
      <c r="S163" s="736">
        <v>1.99</v>
      </c>
      <c r="T163" s="736">
        <v>2.02</v>
      </c>
      <c r="U163" s="736">
        <v>2.04</v>
      </c>
      <c r="V163" s="736">
        <v>2.0699999999999998</v>
      </c>
      <c r="W163" s="736">
        <v>2.1</v>
      </c>
      <c r="X163" s="736">
        <v>2.13</v>
      </c>
      <c r="Y163" s="736">
        <v>2.1800000000000002</v>
      </c>
      <c r="Z163" s="736">
        <v>2.2200000000000002</v>
      </c>
      <c r="AA163" s="736">
        <v>2.2799999999999998</v>
      </c>
      <c r="AB163" s="736">
        <v>2.35</v>
      </c>
      <c r="AC163" s="736">
        <v>2.44</v>
      </c>
      <c r="AD163" s="736">
        <v>2.5299999999999998</v>
      </c>
      <c r="AE163" s="736" t="s">
        <v>773</v>
      </c>
      <c r="AF163" s="736"/>
      <c r="AG163" s="736"/>
      <c r="AH163" s="736"/>
      <c r="AI163" s="736"/>
      <c r="AJ163" s="736"/>
      <c r="AK163" s="736"/>
      <c r="AL163" s="736"/>
      <c r="AM163" s="736"/>
      <c r="AN163" s="736"/>
      <c r="AO163" s="736"/>
      <c r="AP163" s="736"/>
      <c r="AQ163" s="736"/>
      <c r="AR163" s="736"/>
      <c r="AS163" s="736"/>
      <c r="AT163" s="736"/>
      <c r="AU163" s="736"/>
      <c r="AV163" s="736"/>
      <c r="AW163" s="736"/>
      <c r="AX163" s="736"/>
      <c r="AY163" s="736"/>
      <c r="AZ163" s="736"/>
      <c r="BA163" s="736"/>
      <c r="BB163" s="736"/>
      <c r="BC163" s="736"/>
      <c r="BD163" s="736"/>
      <c r="BE163" s="736"/>
      <c r="BF163" s="736"/>
      <c r="BG163" s="736"/>
      <c r="BH163" s="736"/>
      <c r="BI163" s="736"/>
      <c r="BJ163" s="736"/>
      <c r="BK163" s="736"/>
      <c r="BL163" s="736"/>
      <c r="BM163" s="736"/>
      <c r="BN163" s="736"/>
      <c r="BO163" s="736"/>
      <c r="BP163" s="736"/>
      <c r="BQ163" s="736"/>
      <c r="BR163" s="736"/>
      <c r="BS163" s="736"/>
      <c r="BT163" s="736"/>
    </row>
    <row r="164" spans="1:72" x14ac:dyDescent="0.25">
      <c r="A164" s="736" t="s">
        <v>465</v>
      </c>
      <c r="B164" s="736">
        <v>18.600000000000001</v>
      </c>
      <c r="C164" s="736">
        <v>20.21</v>
      </c>
      <c r="D164" s="736">
        <v>20.350000000000001</v>
      </c>
      <c r="E164" s="736">
        <v>19.73</v>
      </c>
      <c r="F164" s="736">
        <v>17.86</v>
      </c>
      <c r="G164" s="736">
        <v>18.77</v>
      </c>
      <c r="H164" s="736">
        <v>18.98</v>
      </c>
      <c r="I164" s="736">
        <v>19.010000000000002</v>
      </c>
      <c r="J164" s="736">
        <v>19.36</v>
      </c>
      <c r="K164" s="736">
        <v>19.989999999999998</v>
      </c>
      <c r="L164" s="736">
        <v>20.51</v>
      </c>
      <c r="M164" s="736">
        <v>20.91</v>
      </c>
      <c r="N164" s="736">
        <v>21.27</v>
      </c>
      <c r="O164" s="736">
        <v>21.9</v>
      </c>
      <c r="P164" s="736">
        <v>22.56</v>
      </c>
      <c r="Q164" s="736">
        <v>23.2</v>
      </c>
      <c r="R164" s="736">
        <v>23.95</v>
      </c>
      <c r="S164" s="736">
        <v>24.64</v>
      </c>
      <c r="T164" s="736">
        <v>25.11</v>
      </c>
      <c r="U164" s="736">
        <v>25.79</v>
      </c>
      <c r="V164" s="736">
        <v>26.57</v>
      </c>
      <c r="W164" s="736">
        <v>27.41</v>
      </c>
      <c r="X164" s="736">
        <v>28.5</v>
      </c>
      <c r="Y164" s="736">
        <v>29.55</v>
      </c>
      <c r="Z164" s="736">
        <v>30.67</v>
      </c>
      <c r="AA164" s="736">
        <v>31.8</v>
      </c>
      <c r="AB164" s="736">
        <v>32.71</v>
      </c>
      <c r="AC164" s="736">
        <v>33.76</v>
      </c>
      <c r="AD164" s="736">
        <v>34.799999999999997</v>
      </c>
      <c r="AE164" s="770">
        <v>0.02</v>
      </c>
      <c r="AF164" s="736"/>
      <c r="AG164" s="736"/>
      <c r="AH164" s="736"/>
      <c r="AI164" s="736"/>
      <c r="AJ164" s="736"/>
      <c r="AK164" s="736"/>
      <c r="AL164" s="736"/>
      <c r="AM164" s="736"/>
      <c r="AN164" s="736"/>
      <c r="AO164" s="736"/>
      <c r="AP164" s="736"/>
      <c r="AQ164" s="736"/>
      <c r="AR164" s="736"/>
      <c r="AS164" s="736"/>
      <c r="AT164" s="736"/>
      <c r="AU164" s="736"/>
      <c r="AV164" s="736"/>
      <c r="AW164" s="736"/>
      <c r="AX164" s="736"/>
      <c r="AY164" s="736"/>
      <c r="AZ164" s="736"/>
      <c r="BA164" s="736"/>
      <c r="BB164" s="736"/>
      <c r="BC164" s="736"/>
      <c r="BD164" s="736"/>
      <c r="BE164" s="736"/>
      <c r="BF164" s="736"/>
      <c r="BG164" s="736"/>
      <c r="BH164" s="736"/>
      <c r="BI164" s="736"/>
      <c r="BJ164" s="736"/>
      <c r="BK164" s="736"/>
      <c r="BL164" s="736"/>
      <c r="BM164" s="736"/>
      <c r="BN164" s="736"/>
      <c r="BO164" s="736"/>
      <c r="BP164" s="736"/>
      <c r="BQ164" s="736"/>
      <c r="BR164" s="736"/>
      <c r="BS164" s="736"/>
      <c r="BT164" s="736"/>
    </row>
    <row r="165" spans="1:72" x14ac:dyDescent="0.25">
      <c r="A165" s="736"/>
      <c r="B165" s="736"/>
      <c r="C165" s="736"/>
      <c r="D165" s="736"/>
      <c r="E165" s="736"/>
      <c r="F165" s="736"/>
      <c r="G165" s="736"/>
      <c r="H165" s="736"/>
      <c r="I165" s="736"/>
      <c r="J165" s="736"/>
      <c r="K165" s="736"/>
      <c r="L165" s="736"/>
      <c r="M165" s="736"/>
      <c r="N165" s="736"/>
      <c r="O165" s="736"/>
      <c r="P165" s="736"/>
      <c r="Q165" s="736"/>
      <c r="R165" s="736"/>
      <c r="S165" s="736"/>
      <c r="T165" s="736"/>
      <c r="U165" s="736"/>
      <c r="V165" s="736"/>
      <c r="W165" s="736"/>
      <c r="X165" s="736"/>
      <c r="Y165" s="736"/>
      <c r="Z165" s="736"/>
      <c r="AA165" s="736"/>
      <c r="AB165" s="736"/>
      <c r="AC165" s="736"/>
      <c r="AD165" s="736"/>
      <c r="AE165" s="736"/>
      <c r="AF165" s="736"/>
      <c r="AG165" s="736"/>
      <c r="AH165" s="736"/>
      <c r="AI165" s="736"/>
      <c r="AJ165" s="736"/>
      <c r="AK165" s="736"/>
      <c r="AL165" s="736"/>
      <c r="AM165" s="736"/>
      <c r="AN165" s="736"/>
      <c r="AO165" s="736"/>
      <c r="AP165" s="736"/>
      <c r="AQ165" s="736"/>
      <c r="AR165" s="736"/>
      <c r="AS165" s="736"/>
      <c r="AT165" s="736"/>
      <c r="AU165" s="736"/>
      <c r="AV165" s="736"/>
      <c r="AW165" s="736"/>
      <c r="AX165" s="736"/>
      <c r="AY165" s="736"/>
      <c r="AZ165" s="736"/>
      <c r="BA165" s="736"/>
      <c r="BB165" s="736"/>
      <c r="BC165" s="736"/>
      <c r="BD165" s="736"/>
      <c r="BE165" s="736"/>
      <c r="BF165" s="736"/>
      <c r="BG165" s="736"/>
      <c r="BH165" s="736"/>
      <c r="BI165" s="736"/>
      <c r="BJ165" s="736"/>
      <c r="BK165" s="736"/>
      <c r="BL165" s="736"/>
      <c r="BM165" s="736"/>
      <c r="BN165" s="736"/>
      <c r="BO165" s="736"/>
      <c r="BP165" s="736"/>
      <c r="BQ165" s="736"/>
      <c r="BR165" s="736"/>
      <c r="BS165" s="736"/>
      <c r="BT165" s="736"/>
    </row>
    <row r="166" spans="1:72" x14ac:dyDescent="0.25">
      <c r="A166" s="736" t="s">
        <v>473</v>
      </c>
      <c r="B166" s="736"/>
      <c r="C166" s="736"/>
      <c r="D166" s="736"/>
      <c r="E166" s="736"/>
      <c r="F166" s="736"/>
      <c r="G166" s="736"/>
      <c r="H166" s="736"/>
      <c r="I166" s="736"/>
      <c r="J166" s="736"/>
      <c r="K166" s="736"/>
      <c r="L166" s="736"/>
      <c r="M166" s="736"/>
      <c r="N166" s="736"/>
      <c r="O166" s="736"/>
      <c r="P166" s="736"/>
      <c r="Q166" s="736"/>
      <c r="R166" s="736"/>
      <c r="S166" s="736"/>
      <c r="T166" s="736"/>
      <c r="U166" s="736"/>
      <c r="V166" s="736"/>
      <c r="W166" s="736"/>
      <c r="X166" s="736"/>
      <c r="Y166" s="736"/>
      <c r="Z166" s="736"/>
      <c r="AA166" s="736"/>
      <c r="AB166" s="736"/>
      <c r="AC166" s="736"/>
      <c r="AD166" s="736"/>
      <c r="AE166" s="736"/>
      <c r="AF166" s="736"/>
      <c r="AG166" s="736"/>
      <c r="AH166" s="736"/>
      <c r="AI166" s="736"/>
      <c r="AJ166" s="736"/>
      <c r="AK166" s="736"/>
      <c r="AL166" s="736"/>
      <c r="AM166" s="736"/>
      <c r="AN166" s="736"/>
      <c r="AO166" s="736"/>
      <c r="AP166" s="736"/>
      <c r="AQ166" s="736"/>
      <c r="AR166" s="736"/>
      <c r="AS166" s="736"/>
      <c r="AT166" s="736"/>
      <c r="AU166" s="736"/>
      <c r="AV166" s="736"/>
      <c r="AW166" s="736"/>
      <c r="AX166" s="736"/>
      <c r="AY166" s="736"/>
      <c r="AZ166" s="736"/>
      <c r="BA166" s="736"/>
      <c r="BB166" s="736"/>
      <c r="BC166" s="736"/>
      <c r="BD166" s="736"/>
      <c r="BE166" s="736"/>
      <c r="BF166" s="736"/>
      <c r="BG166" s="736"/>
      <c r="BH166" s="736"/>
      <c r="BI166" s="736"/>
      <c r="BJ166" s="736"/>
      <c r="BK166" s="736"/>
      <c r="BL166" s="736"/>
      <c r="BM166" s="736"/>
      <c r="BN166" s="736"/>
      <c r="BO166" s="736"/>
      <c r="BP166" s="736"/>
      <c r="BQ166" s="736"/>
      <c r="BR166" s="736"/>
      <c r="BS166" s="736"/>
      <c r="BT166" s="736"/>
    </row>
    <row r="167" spans="1:72" x14ac:dyDescent="0.25">
      <c r="A167" s="736" t="s">
        <v>602</v>
      </c>
      <c r="B167" s="736">
        <v>23.31</v>
      </c>
      <c r="C167" s="736">
        <v>29.93</v>
      </c>
      <c r="D167" s="736">
        <v>25.58</v>
      </c>
      <c r="E167" s="736">
        <v>24.61</v>
      </c>
      <c r="F167" s="736">
        <v>25.02</v>
      </c>
      <c r="G167" s="736">
        <v>26.61</v>
      </c>
      <c r="H167" s="736">
        <v>28.36</v>
      </c>
      <c r="I167" s="736">
        <v>29.9</v>
      </c>
      <c r="J167" s="736">
        <v>31.07</v>
      </c>
      <c r="K167" s="736">
        <v>32.36</v>
      </c>
      <c r="L167" s="736">
        <v>33.58</v>
      </c>
      <c r="M167" s="736">
        <v>34.89</v>
      </c>
      <c r="N167" s="736">
        <v>35.840000000000003</v>
      </c>
      <c r="O167" s="736">
        <v>36.82</v>
      </c>
      <c r="P167" s="736">
        <v>37.89</v>
      </c>
      <c r="Q167" s="736">
        <v>38.979999999999997</v>
      </c>
      <c r="R167" s="736">
        <v>40.17</v>
      </c>
      <c r="S167" s="736">
        <v>41.36</v>
      </c>
      <c r="T167" s="736">
        <v>42.56</v>
      </c>
      <c r="U167" s="736">
        <v>43.64</v>
      </c>
      <c r="V167" s="736">
        <v>44.94</v>
      </c>
      <c r="W167" s="736">
        <v>46.27</v>
      </c>
      <c r="X167" s="736">
        <v>47.79</v>
      </c>
      <c r="Y167" s="736">
        <v>49.17</v>
      </c>
      <c r="Z167" s="736">
        <v>50.81</v>
      </c>
      <c r="AA167" s="736">
        <v>52.46</v>
      </c>
      <c r="AB167" s="736">
        <v>54.21</v>
      </c>
      <c r="AC167" s="736">
        <v>55.95</v>
      </c>
      <c r="AD167" s="736">
        <v>57.77</v>
      </c>
      <c r="AE167" s="770">
        <v>2.5000000000000001E-2</v>
      </c>
      <c r="AF167" s="736"/>
      <c r="AG167" s="736"/>
      <c r="AH167" s="736"/>
      <c r="AI167" s="736"/>
      <c r="AJ167" s="736"/>
      <c r="AK167" s="736"/>
      <c r="AL167" s="736"/>
      <c r="AM167" s="736"/>
      <c r="AN167" s="736"/>
      <c r="AO167" s="736"/>
      <c r="AP167" s="736"/>
      <c r="AQ167" s="736"/>
      <c r="AR167" s="736"/>
      <c r="AS167" s="736"/>
      <c r="AT167" s="736"/>
      <c r="AU167" s="736"/>
      <c r="AV167" s="736"/>
      <c r="AW167" s="736"/>
      <c r="AX167" s="736"/>
      <c r="AY167" s="736"/>
      <c r="AZ167" s="736"/>
      <c r="BA167" s="736"/>
      <c r="BB167" s="736"/>
      <c r="BC167" s="736"/>
      <c r="BD167" s="736"/>
      <c r="BE167" s="736"/>
      <c r="BF167" s="736"/>
      <c r="BG167" s="736"/>
      <c r="BH167" s="736"/>
      <c r="BI167" s="736"/>
      <c r="BJ167" s="736"/>
      <c r="BK167" s="736"/>
      <c r="BL167" s="736"/>
      <c r="BM167" s="736"/>
      <c r="BN167" s="736"/>
      <c r="BO167" s="736"/>
      <c r="BP167" s="736"/>
      <c r="BQ167" s="736"/>
      <c r="BR167" s="736"/>
      <c r="BS167" s="736"/>
      <c r="BT167" s="736"/>
    </row>
    <row r="168" spans="1:72" x14ac:dyDescent="0.25">
      <c r="A168" s="736" t="s">
        <v>603</v>
      </c>
      <c r="B168" s="736">
        <v>26.83</v>
      </c>
      <c r="C168" s="736">
        <v>26.93</v>
      </c>
      <c r="D168" s="736">
        <v>23.64</v>
      </c>
      <c r="E168" s="736">
        <v>21.26</v>
      </c>
      <c r="F168" s="736">
        <v>21.89</v>
      </c>
      <c r="G168" s="736">
        <v>23.43</v>
      </c>
      <c r="H168" s="736">
        <v>26.07</v>
      </c>
      <c r="I168" s="736">
        <v>27.64</v>
      </c>
      <c r="J168" s="736">
        <v>28.47</v>
      </c>
      <c r="K168" s="736">
        <v>28.45</v>
      </c>
      <c r="L168" s="736">
        <v>29.92</v>
      </c>
      <c r="M168" s="736">
        <v>31.23</v>
      </c>
      <c r="N168" s="736">
        <v>31.97</v>
      </c>
      <c r="O168" s="736">
        <v>32.94</v>
      </c>
      <c r="P168" s="736">
        <v>34.090000000000003</v>
      </c>
      <c r="Q168" s="736">
        <v>35.479999999999997</v>
      </c>
      <c r="R168" s="736">
        <v>36.880000000000003</v>
      </c>
      <c r="S168" s="736">
        <v>37.979999999999997</v>
      </c>
      <c r="T168" s="736">
        <v>39.17</v>
      </c>
      <c r="U168" s="736">
        <v>40.479999999999997</v>
      </c>
      <c r="V168" s="736">
        <v>41.72</v>
      </c>
      <c r="W168" s="736">
        <v>43.4</v>
      </c>
      <c r="X168" s="736">
        <v>44.96</v>
      </c>
      <c r="Y168" s="736">
        <v>46.25</v>
      </c>
      <c r="Z168" s="736">
        <v>47.62</v>
      </c>
      <c r="AA168" s="736">
        <v>49.36</v>
      </c>
      <c r="AB168" s="736">
        <v>50.75</v>
      </c>
      <c r="AC168" s="736">
        <v>52.29</v>
      </c>
      <c r="AD168" s="736">
        <v>54.17</v>
      </c>
      <c r="AE168" s="770">
        <v>2.5999999999999999E-2</v>
      </c>
      <c r="AF168" s="736"/>
      <c r="AG168" s="736"/>
      <c r="AH168" s="736"/>
      <c r="AI168" s="736"/>
      <c r="AJ168" s="736"/>
      <c r="AK168" s="736"/>
      <c r="AL168" s="736"/>
      <c r="AM168" s="736"/>
      <c r="AN168" s="736"/>
      <c r="AO168" s="736"/>
      <c r="AP168" s="736"/>
      <c r="AQ168" s="736"/>
      <c r="AR168" s="736"/>
      <c r="AS168" s="736"/>
      <c r="AT168" s="736"/>
      <c r="AU168" s="736"/>
      <c r="AV168" s="736"/>
      <c r="AW168" s="736"/>
      <c r="AX168" s="736"/>
      <c r="AY168" s="736"/>
      <c r="AZ168" s="736"/>
      <c r="BA168" s="736"/>
      <c r="BB168" s="736"/>
      <c r="BC168" s="736"/>
      <c r="BD168" s="736"/>
      <c r="BE168" s="736"/>
      <c r="BF168" s="736"/>
      <c r="BG168" s="736"/>
      <c r="BH168" s="736"/>
      <c r="BI168" s="736"/>
      <c r="BJ168" s="736"/>
      <c r="BK168" s="736"/>
      <c r="BL168" s="736"/>
      <c r="BM168" s="736"/>
      <c r="BN168" s="736"/>
      <c r="BO168" s="736"/>
      <c r="BP168" s="736"/>
      <c r="BQ168" s="736"/>
      <c r="BR168" s="736"/>
      <c r="BS168" s="736"/>
      <c r="BT168" s="736"/>
    </row>
    <row r="169" spans="1:72" x14ac:dyDescent="0.25">
      <c r="A169" s="736" t="s">
        <v>604</v>
      </c>
      <c r="B169" s="736">
        <v>23.15</v>
      </c>
      <c r="C169" s="736">
        <v>26.76</v>
      </c>
      <c r="D169" s="736">
        <v>19.43</v>
      </c>
      <c r="E169" s="736">
        <v>21.17</v>
      </c>
      <c r="F169" s="736">
        <v>21.79</v>
      </c>
      <c r="G169" s="736">
        <v>23.32</v>
      </c>
      <c r="H169" s="736">
        <v>25.87</v>
      </c>
      <c r="I169" s="736">
        <v>27.33</v>
      </c>
      <c r="J169" s="736">
        <v>28.27</v>
      </c>
      <c r="K169" s="736">
        <v>29.42</v>
      </c>
      <c r="L169" s="736">
        <v>30.58</v>
      </c>
      <c r="M169" s="736">
        <v>31.65</v>
      </c>
      <c r="N169" s="736">
        <v>32.6</v>
      </c>
      <c r="O169" s="736">
        <v>33.72</v>
      </c>
      <c r="P169" s="736">
        <v>34.72</v>
      </c>
      <c r="Q169" s="736">
        <v>35.94</v>
      </c>
      <c r="R169" s="736">
        <v>37.020000000000003</v>
      </c>
      <c r="S169" s="736">
        <v>37.96</v>
      </c>
      <c r="T169" s="736">
        <v>39.18</v>
      </c>
      <c r="U169" s="736">
        <v>40.44</v>
      </c>
      <c r="V169" s="736">
        <v>41.69</v>
      </c>
      <c r="W169" s="736">
        <v>43.21</v>
      </c>
      <c r="X169" s="736">
        <v>44.7</v>
      </c>
      <c r="Y169" s="736">
        <v>45.91</v>
      </c>
      <c r="Z169" s="736">
        <v>47.47</v>
      </c>
      <c r="AA169" s="736">
        <v>49.16</v>
      </c>
      <c r="AB169" s="736">
        <v>50.66</v>
      </c>
      <c r="AC169" s="736">
        <v>52.36</v>
      </c>
      <c r="AD169" s="736">
        <v>54.33</v>
      </c>
      <c r="AE169" s="770">
        <v>2.7E-2</v>
      </c>
      <c r="AF169" s="736"/>
      <c r="AG169" s="736"/>
      <c r="AH169" s="736"/>
      <c r="AI169" s="736"/>
      <c r="AJ169" s="736"/>
      <c r="AK169" s="736"/>
      <c r="AL169" s="736"/>
      <c r="AM169" s="736"/>
      <c r="AN169" s="736"/>
      <c r="AO169" s="736"/>
      <c r="AP169" s="736"/>
      <c r="AQ169" s="736"/>
      <c r="AR169" s="736"/>
      <c r="AS169" s="736"/>
      <c r="AT169" s="736"/>
      <c r="AU169" s="736"/>
      <c r="AV169" s="736"/>
      <c r="AW169" s="736"/>
      <c r="AX169" s="736"/>
      <c r="AY169" s="736"/>
      <c r="AZ169" s="736"/>
      <c r="BA169" s="736"/>
      <c r="BB169" s="736"/>
      <c r="BC169" s="736"/>
      <c r="BD169" s="736"/>
      <c r="BE169" s="736"/>
      <c r="BF169" s="736"/>
      <c r="BG169" s="736"/>
      <c r="BH169" s="736"/>
      <c r="BI169" s="736"/>
      <c r="BJ169" s="736"/>
      <c r="BK169" s="736"/>
      <c r="BL169" s="736"/>
      <c r="BM169" s="736"/>
      <c r="BN169" s="736"/>
      <c r="BO169" s="736"/>
      <c r="BP169" s="736"/>
      <c r="BQ169" s="736"/>
      <c r="BR169" s="736"/>
      <c r="BS169" s="736"/>
      <c r="BT169" s="736"/>
    </row>
    <row r="170" spans="1:72" x14ac:dyDescent="0.25">
      <c r="A170" s="736" t="s">
        <v>605</v>
      </c>
      <c r="B170" s="736">
        <v>15.42</v>
      </c>
      <c r="C170" s="736">
        <v>22.71</v>
      </c>
      <c r="D170" s="736">
        <v>12.92</v>
      </c>
      <c r="E170" s="736">
        <v>15.23</v>
      </c>
      <c r="F170" s="736">
        <v>15.82</v>
      </c>
      <c r="G170" s="736">
        <v>17.510000000000002</v>
      </c>
      <c r="H170" s="736">
        <v>19.05</v>
      </c>
      <c r="I170" s="736">
        <v>20.23</v>
      </c>
      <c r="J170" s="736">
        <v>21.21</v>
      </c>
      <c r="K170" s="736">
        <v>22.42</v>
      </c>
      <c r="L170" s="736">
        <v>23.58</v>
      </c>
      <c r="M170" s="736">
        <v>24.67</v>
      </c>
      <c r="N170" s="736">
        <v>25.58</v>
      </c>
      <c r="O170" s="736">
        <v>26.51</v>
      </c>
      <c r="P170" s="736">
        <v>27.27</v>
      </c>
      <c r="Q170" s="736">
        <v>28.18</v>
      </c>
      <c r="R170" s="736">
        <v>29.2</v>
      </c>
      <c r="S170" s="736">
        <v>30.07</v>
      </c>
      <c r="T170" s="736">
        <v>31.1</v>
      </c>
      <c r="U170" s="736">
        <v>32.130000000000003</v>
      </c>
      <c r="V170" s="736">
        <v>33.21</v>
      </c>
      <c r="W170" s="736">
        <v>34.54</v>
      </c>
      <c r="X170" s="736">
        <v>35.83</v>
      </c>
      <c r="Y170" s="736">
        <v>36.99</v>
      </c>
      <c r="Z170" s="736">
        <v>38.42</v>
      </c>
      <c r="AA170" s="736">
        <v>39.92</v>
      </c>
      <c r="AB170" s="736">
        <v>41.32</v>
      </c>
      <c r="AC170" s="736">
        <v>42.87</v>
      </c>
      <c r="AD170" s="736">
        <v>44.51</v>
      </c>
      <c r="AE170" s="770">
        <v>2.5000000000000001E-2</v>
      </c>
      <c r="AF170" s="736"/>
      <c r="AG170" s="736"/>
      <c r="AH170" s="736"/>
      <c r="AI170" s="736"/>
      <c r="AJ170" s="736"/>
      <c r="AK170" s="736"/>
      <c r="AL170" s="736"/>
      <c r="AM170" s="736"/>
      <c r="AN170" s="736"/>
      <c r="AO170" s="736"/>
      <c r="AP170" s="736"/>
      <c r="AQ170" s="736"/>
      <c r="AR170" s="736"/>
      <c r="AS170" s="736"/>
      <c r="AT170" s="736"/>
      <c r="AU170" s="736"/>
      <c r="AV170" s="736"/>
      <c r="AW170" s="736"/>
      <c r="AX170" s="736"/>
      <c r="AY170" s="736"/>
      <c r="AZ170" s="736"/>
      <c r="BA170" s="736"/>
      <c r="BB170" s="736"/>
      <c r="BC170" s="736"/>
      <c r="BD170" s="736"/>
      <c r="BE170" s="736"/>
      <c r="BF170" s="736"/>
      <c r="BG170" s="736"/>
      <c r="BH170" s="736"/>
      <c r="BI170" s="736"/>
      <c r="BJ170" s="736"/>
      <c r="BK170" s="736"/>
      <c r="BL170" s="736"/>
      <c r="BM170" s="736"/>
      <c r="BN170" s="736"/>
      <c r="BO170" s="736"/>
      <c r="BP170" s="736"/>
      <c r="BQ170" s="736"/>
      <c r="BR170" s="736"/>
      <c r="BS170" s="736"/>
      <c r="BT170" s="736"/>
    </row>
    <row r="171" spans="1:72" x14ac:dyDescent="0.25">
      <c r="A171" s="736" t="s">
        <v>709</v>
      </c>
      <c r="B171" s="736">
        <v>21.08</v>
      </c>
      <c r="C171" s="736">
        <v>27.65</v>
      </c>
      <c r="D171" s="736">
        <v>18.04</v>
      </c>
      <c r="E171" s="736">
        <v>19.7</v>
      </c>
      <c r="F171" s="736">
        <v>20.149999999999999</v>
      </c>
      <c r="G171" s="736">
        <v>21.71</v>
      </c>
      <c r="H171" s="736">
        <v>23.2</v>
      </c>
      <c r="I171" s="736">
        <v>24.38</v>
      </c>
      <c r="J171" s="736">
        <v>25.56</v>
      </c>
      <c r="K171" s="736">
        <v>26.86</v>
      </c>
      <c r="L171" s="736">
        <v>28.03</v>
      </c>
      <c r="M171" s="736">
        <v>29.31</v>
      </c>
      <c r="N171" s="736">
        <v>30.31</v>
      </c>
      <c r="O171" s="736">
        <v>31.28</v>
      </c>
      <c r="P171" s="736">
        <v>32.19</v>
      </c>
      <c r="Q171" s="736">
        <v>33.32</v>
      </c>
      <c r="R171" s="736">
        <v>34.22</v>
      </c>
      <c r="S171" s="736">
        <v>35.03</v>
      </c>
      <c r="T171" s="736">
        <v>36.130000000000003</v>
      </c>
      <c r="U171" s="736">
        <v>37.17</v>
      </c>
      <c r="V171" s="736">
        <v>38.32</v>
      </c>
      <c r="W171" s="736">
        <v>39.61</v>
      </c>
      <c r="X171" s="736">
        <v>41.05</v>
      </c>
      <c r="Y171" s="736">
        <v>42.2</v>
      </c>
      <c r="Z171" s="736">
        <v>43.79</v>
      </c>
      <c r="AA171" s="736">
        <v>45.41</v>
      </c>
      <c r="AB171" s="736">
        <v>46.88</v>
      </c>
      <c r="AC171" s="736">
        <v>48.53</v>
      </c>
      <c r="AD171" s="736">
        <v>50.35</v>
      </c>
      <c r="AE171" s="770">
        <v>2.1999999999999999E-2</v>
      </c>
      <c r="AF171" s="736"/>
      <c r="AG171" s="736"/>
      <c r="AH171" s="736"/>
      <c r="AI171" s="736"/>
      <c r="AJ171" s="736"/>
      <c r="AK171" s="736"/>
      <c r="AL171" s="736"/>
      <c r="AM171" s="736"/>
      <c r="AN171" s="736"/>
      <c r="AO171" s="736"/>
      <c r="AP171" s="736"/>
      <c r="AQ171" s="736"/>
      <c r="AR171" s="736"/>
      <c r="AS171" s="736"/>
      <c r="AT171" s="736"/>
      <c r="AU171" s="736"/>
      <c r="AV171" s="736"/>
      <c r="AW171" s="736"/>
      <c r="AX171" s="736"/>
      <c r="AY171" s="736"/>
      <c r="AZ171" s="736"/>
      <c r="BA171" s="736"/>
      <c r="BB171" s="736"/>
      <c r="BC171" s="736"/>
      <c r="BD171" s="736"/>
      <c r="BE171" s="736"/>
      <c r="BF171" s="736"/>
      <c r="BG171" s="736"/>
      <c r="BH171" s="736"/>
      <c r="BI171" s="736"/>
      <c r="BJ171" s="736"/>
      <c r="BK171" s="736"/>
      <c r="BL171" s="736"/>
      <c r="BM171" s="736"/>
      <c r="BN171" s="736"/>
      <c r="BO171" s="736"/>
      <c r="BP171" s="736"/>
      <c r="BQ171" s="736"/>
      <c r="BR171" s="736"/>
      <c r="BS171" s="736"/>
      <c r="BT171" s="736"/>
    </row>
    <row r="172" spans="1:72" x14ac:dyDescent="0.25">
      <c r="A172" s="736" t="s">
        <v>596</v>
      </c>
      <c r="B172" s="736">
        <v>8.99</v>
      </c>
      <c r="C172" s="736">
        <v>14.49</v>
      </c>
      <c r="D172" s="736">
        <v>9</v>
      </c>
      <c r="E172" s="736">
        <v>10.51</v>
      </c>
      <c r="F172" s="736">
        <v>10.77</v>
      </c>
      <c r="G172" s="736">
        <v>12.17</v>
      </c>
      <c r="H172" s="736">
        <v>13.4</v>
      </c>
      <c r="I172" s="736">
        <v>14.45</v>
      </c>
      <c r="J172" s="736">
        <v>15.13</v>
      </c>
      <c r="K172" s="736">
        <v>15.77</v>
      </c>
      <c r="L172" s="736">
        <v>16.670000000000002</v>
      </c>
      <c r="M172" s="736">
        <v>17.43</v>
      </c>
      <c r="N172" s="736">
        <v>17.940000000000001</v>
      </c>
      <c r="O172" s="736">
        <v>18.32</v>
      </c>
      <c r="P172" s="736">
        <v>19</v>
      </c>
      <c r="Q172" s="736">
        <v>19.57</v>
      </c>
      <c r="R172" s="736">
        <v>20.260000000000002</v>
      </c>
      <c r="S172" s="736">
        <v>20.94</v>
      </c>
      <c r="T172" s="736">
        <v>21.63</v>
      </c>
      <c r="U172" s="736">
        <v>22.13</v>
      </c>
      <c r="V172" s="736">
        <v>23.02</v>
      </c>
      <c r="W172" s="736">
        <v>23.85</v>
      </c>
      <c r="X172" s="736">
        <v>24.8</v>
      </c>
      <c r="Y172" s="736">
        <v>25.81</v>
      </c>
      <c r="Z172" s="736">
        <v>26.88</v>
      </c>
      <c r="AA172" s="736">
        <v>27.91</v>
      </c>
      <c r="AB172" s="736">
        <v>28.9</v>
      </c>
      <c r="AC172" s="736">
        <v>30.02</v>
      </c>
      <c r="AD172" s="736">
        <v>31.26</v>
      </c>
      <c r="AE172" s="770">
        <v>2.9000000000000001E-2</v>
      </c>
      <c r="AF172" s="736"/>
      <c r="AG172" s="736"/>
      <c r="AH172" s="736"/>
      <c r="AI172" s="736"/>
      <c r="AJ172" s="736"/>
      <c r="AK172" s="736"/>
      <c r="AL172" s="736"/>
      <c r="AM172" s="736"/>
      <c r="AN172" s="736"/>
      <c r="AO172" s="736"/>
      <c r="AP172" s="736"/>
      <c r="AQ172" s="736"/>
      <c r="AR172" s="736"/>
      <c r="AS172" s="736"/>
      <c r="AT172" s="736"/>
      <c r="AU172" s="736"/>
      <c r="AV172" s="736"/>
      <c r="AW172" s="736"/>
      <c r="AX172" s="736"/>
      <c r="AY172" s="736"/>
      <c r="AZ172" s="736"/>
      <c r="BA172" s="736"/>
      <c r="BB172" s="736"/>
      <c r="BC172" s="736"/>
      <c r="BD172" s="736"/>
      <c r="BE172" s="736"/>
      <c r="BF172" s="736"/>
      <c r="BG172" s="736"/>
      <c r="BH172" s="736"/>
      <c r="BI172" s="736"/>
      <c r="BJ172" s="736"/>
      <c r="BK172" s="736"/>
      <c r="BL172" s="736"/>
      <c r="BM172" s="736"/>
      <c r="BN172" s="736"/>
      <c r="BO172" s="736"/>
      <c r="BP172" s="736"/>
      <c r="BQ172" s="736"/>
      <c r="BR172" s="736"/>
      <c r="BS172" s="736"/>
      <c r="BT172" s="736"/>
    </row>
    <row r="173" spans="1:72" x14ac:dyDescent="0.25">
      <c r="A173" s="736" t="s">
        <v>607</v>
      </c>
      <c r="B173" s="736">
        <v>13.54</v>
      </c>
      <c r="C173" s="736">
        <v>15.96</v>
      </c>
      <c r="D173" s="736">
        <v>11.54</v>
      </c>
      <c r="E173" s="736">
        <v>12.36</v>
      </c>
      <c r="F173" s="736">
        <v>13.66</v>
      </c>
      <c r="G173" s="736">
        <v>14.28</v>
      </c>
      <c r="H173" s="736">
        <v>14.39</v>
      </c>
      <c r="I173" s="736">
        <v>14.52</v>
      </c>
      <c r="J173" s="736">
        <v>14.9</v>
      </c>
      <c r="K173" s="736">
        <v>15.21</v>
      </c>
      <c r="L173" s="736">
        <v>15.46</v>
      </c>
      <c r="M173" s="736">
        <v>15.74</v>
      </c>
      <c r="N173" s="736">
        <v>16.04</v>
      </c>
      <c r="O173" s="736">
        <v>16.43</v>
      </c>
      <c r="P173" s="736">
        <v>16.8</v>
      </c>
      <c r="Q173" s="736">
        <v>17.32</v>
      </c>
      <c r="R173" s="736">
        <v>17.64</v>
      </c>
      <c r="S173" s="736">
        <v>17.829999999999998</v>
      </c>
      <c r="T173" s="736">
        <v>18.23</v>
      </c>
      <c r="U173" s="736">
        <v>18.760000000000002</v>
      </c>
      <c r="V173" s="736">
        <v>19.309999999999999</v>
      </c>
      <c r="W173" s="736">
        <v>19.98</v>
      </c>
      <c r="X173" s="736">
        <v>20.67</v>
      </c>
      <c r="Y173" s="736">
        <v>21.42</v>
      </c>
      <c r="Z173" s="736">
        <v>22.31</v>
      </c>
      <c r="AA173" s="736">
        <v>22.94</v>
      </c>
      <c r="AB173" s="736">
        <v>23.44</v>
      </c>
      <c r="AC173" s="736">
        <v>24.19</v>
      </c>
      <c r="AD173" s="736">
        <v>24.84</v>
      </c>
      <c r="AE173" s="770">
        <v>1.7000000000000001E-2</v>
      </c>
      <c r="AF173" s="736"/>
      <c r="AG173" s="736"/>
      <c r="AH173" s="736"/>
      <c r="AI173" s="736"/>
      <c r="AJ173" s="736"/>
      <c r="AK173" s="736"/>
      <c r="AL173" s="736"/>
      <c r="AM173" s="736"/>
      <c r="AN173" s="736"/>
      <c r="AO173" s="736"/>
      <c r="AP173" s="736"/>
      <c r="AQ173" s="736"/>
      <c r="AR173" s="736"/>
      <c r="AS173" s="736"/>
      <c r="AT173" s="736"/>
      <c r="AU173" s="736"/>
      <c r="AV173" s="736"/>
      <c r="AW173" s="736"/>
      <c r="AX173" s="736"/>
      <c r="AY173" s="736"/>
      <c r="AZ173" s="736"/>
      <c r="BA173" s="736"/>
      <c r="BB173" s="736"/>
      <c r="BC173" s="736"/>
      <c r="BD173" s="736"/>
      <c r="BE173" s="736"/>
      <c r="BF173" s="736"/>
      <c r="BG173" s="736"/>
      <c r="BH173" s="736"/>
      <c r="BI173" s="736"/>
      <c r="BJ173" s="736"/>
      <c r="BK173" s="736"/>
      <c r="BL173" s="736"/>
      <c r="BM173" s="736"/>
      <c r="BN173" s="736"/>
      <c r="BO173" s="736"/>
      <c r="BP173" s="736"/>
      <c r="BQ173" s="736"/>
      <c r="BR173" s="736"/>
      <c r="BS173" s="736"/>
      <c r="BT173" s="736"/>
    </row>
    <row r="174" spans="1:72" x14ac:dyDescent="0.25">
      <c r="A174" s="736" t="s">
        <v>465</v>
      </c>
      <c r="B174" s="736">
        <v>31.32</v>
      </c>
      <c r="C174" s="736">
        <v>33.729999999999997</v>
      </c>
      <c r="D174" s="736">
        <v>32.79</v>
      </c>
      <c r="E174" s="736">
        <v>31.2</v>
      </c>
      <c r="F174" s="736">
        <v>28.83</v>
      </c>
      <c r="G174" s="736">
        <v>31.39</v>
      </c>
      <c r="H174" s="736">
        <v>32.01</v>
      </c>
      <c r="I174" s="736">
        <v>31.85</v>
      </c>
      <c r="J174" s="736">
        <v>32.08</v>
      </c>
      <c r="K174" s="736">
        <v>32.909999999999997</v>
      </c>
      <c r="L174" s="736">
        <v>33.549999999999997</v>
      </c>
      <c r="M174" s="736">
        <v>33.97</v>
      </c>
      <c r="N174" s="736">
        <v>34.26</v>
      </c>
      <c r="O174" s="736">
        <v>34.89</v>
      </c>
      <c r="P174" s="736">
        <v>35.61</v>
      </c>
      <c r="Q174" s="736">
        <v>36.26</v>
      </c>
      <c r="R174" s="736">
        <v>37.11</v>
      </c>
      <c r="S174" s="736">
        <v>38.1</v>
      </c>
      <c r="T174" s="736">
        <v>38.86</v>
      </c>
      <c r="U174" s="736">
        <v>40</v>
      </c>
      <c r="V174" s="736">
        <v>41.47</v>
      </c>
      <c r="W174" s="736">
        <v>43.05</v>
      </c>
      <c r="X174" s="736">
        <v>45.05</v>
      </c>
      <c r="Y174" s="736">
        <v>46.8</v>
      </c>
      <c r="Z174" s="736">
        <v>48.78</v>
      </c>
      <c r="AA174" s="736">
        <v>50.72</v>
      </c>
      <c r="AB174" s="736">
        <v>52.33</v>
      </c>
      <c r="AC174" s="736">
        <v>54.13</v>
      </c>
      <c r="AD174" s="736">
        <v>55.89</v>
      </c>
      <c r="AE174" s="770">
        <v>1.9E-2</v>
      </c>
      <c r="AF174" s="736"/>
      <c r="AG174" s="736"/>
      <c r="AH174" s="736"/>
      <c r="AI174" s="736"/>
      <c r="AJ174" s="736"/>
      <c r="AK174" s="736"/>
      <c r="AL174" s="736"/>
      <c r="AM174" s="736"/>
      <c r="AN174" s="736"/>
      <c r="AO174" s="736"/>
      <c r="AP174" s="736"/>
      <c r="AQ174" s="736"/>
      <c r="AR174" s="736"/>
      <c r="AS174" s="736"/>
      <c r="AT174" s="736"/>
      <c r="AU174" s="736"/>
      <c r="AV174" s="736"/>
      <c r="AW174" s="736"/>
      <c r="AX174" s="736"/>
      <c r="AY174" s="736"/>
      <c r="AZ174" s="736"/>
      <c r="BA174" s="736"/>
      <c r="BB174" s="736"/>
      <c r="BC174" s="736"/>
      <c r="BD174" s="736"/>
      <c r="BE174" s="736"/>
      <c r="BF174" s="736"/>
      <c r="BG174" s="736"/>
      <c r="BH174" s="736"/>
      <c r="BI174" s="736"/>
      <c r="BJ174" s="736"/>
      <c r="BK174" s="736"/>
      <c r="BL174" s="736"/>
      <c r="BM174" s="736"/>
      <c r="BN174" s="736"/>
      <c r="BO174" s="736"/>
      <c r="BP174" s="736"/>
      <c r="BQ174" s="736"/>
      <c r="BR174" s="736"/>
      <c r="BS174" s="736"/>
      <c r="BT174" s="736"/>
    </row>
    <row r="175" spans="1:72" x14ac:dyDescent="0.25">
      <c r="A175" s="736"/>
      <c r="B175" s="736"/>
      <c r="C175" s="736"/>
      <c r="D175" s="736"/>
      <c r="E175" s="736"/>
      <c r="F175" s="736"/>
      <c r="G175" s="736"/>
      <c r="H175" s="736"/>
      <c r="I175" s="736"/>
      <c r="J175" s="736"/>
      <c r="K175" s="736"/>
      <c r="L175" s="736"/>
      <c r="M175" s="736"/>
      <c r="N175" s="736"/>
      <c r="O175" s="736"/>
      <c r="P175" s="736"/>
      <c r="Q175" s="736"/>
      <c r="R175" s="736"/>
      <c r="S175" s="736"/>
      <c r="T175" s="736"/>
      <c r="U175" s="736"/>
      <c r="V175" s="736"/>
      <c r="W175" s="736"/>
      <c r="X175" s="736"/>
      <c r="Y175" s="736"/>
      <c r="Z175" s="736"/>
      <c r="AA175" s="736"/>
      <c r="AB175" s="736"/>
      <c r="AC175" s="736"/>
      <c r="AD175" s="736"/>
      <c r="AE175" s="736"/>
      <c r="AF175" s="736"/>
      <c r="AG175" s="736"/>
      <c r="AH175" s="736"/>
      <c r="AI175" s="736"/>
      <c r="AJ175" s="736"/>
      <c r="AK175" s="736"/>
      <c r="AL175" s="736"/>
      <c r="AM175" s="736"/>
      <c r="AN175" s="736"/>
      <c r="AO175" s="736"/>
      <c r="AP175" s="736"/>
      <c r="AQ175" s="736"/>
      <c r="AR175" s="736"/>
      <c r="AS175" s="736"/>
      <c r="AT175" s="736"/>
      <c r="AU175" s="736"/>
      <c r="AV175" s="736"/>
      <c r="AW175" s="736"/>
      <c r="AX175" s="736"/>
      <c r="AY175" s="736"/>
      <c r="AZ175" s="736"/>
      <c r="BA175" s="736"/>
      <c r="BB175" s="736"/>
      <c r="BC175" s="736"/>
      <c r="BD175" s="736"/>
      <c r="BE175" s="736"/>
      <c r="BF175" s="736"/>
      <c r="BG175" s="736"/>
      <c r="BH175" s="736"/>
      <c r="BI175" s="736"/>
      <c r="BJ175" s="736"/>
      <c r="BK175" s="736"/>
      <c r="BL175" s="736"/>
      <c r="BM175" s="736"/>
      <c r="BN175" s="736"/>
      <c r="BO175" s="736"/>
      <c r="BP175" s="736"/>
      <c r="BQ175" s="736"/>
      <c r="BR175" s="736"/>
      <c r="BS175" s="736"/>
      <c r="BT175" s="736"/>
    </row>
    <row r="176" spans="1:72" x14ac:dyDescent="0.25">
      <c r="A176" s="736" t="s">
        <v>608</v>
      </c>
      <c r="B176" s="736"/>
      <c r="C176" s="736"/>
      <c r="D176" s="736"/>
      <c r="E176" s="736"/>
      <c r="F176" s="736"/>
      <c r="G176" s="736"/>
      <c r="H176" s="736"/>
      <c r="I176" s="736"/>
      <c r="J176" s="736"/>
      <c r="K176" s="736"/>
      <c r="L176" s="736"/>
      <c r="M176" s="736"/>
      <c r="N176" s="736"/>
      <c r="O176" s="736"/>
      <c r="P176" s="736"/>
      <c r="Q176" s="736"/>
      <c r="R176" s="736"/>
      <c r="S176" s="736"/>
      <c r="T176" s="736"/>
      <c r="U176" s="736"/>
      <c r="V176" s="736"/>
      <c r="W176" s="736"/>
      <c r="X176" s="736"/>
      <c r="Y176" s="736"/>
      <c r="Z176" s="736"/>
      <c r="AA176" s="736"/>
      <c r="AB176" s="736"/>
      <c r="AC176" s="736"/>
      <c r="AD176" s="736"/>
      <c r="AE176" s="736"/>
      <c r="AF176" s="736"/>
      <c r="AG176" s="736"/>
      <c r="AH176" s="736"/>
      <c r="AI176" s="736"/>
      <c r="AJ176" s="736"/>
      <c r="AK176" s="736"/>
      <c r="AL176" s="736"/>
      <c r="AM176" s="736"/>
      <c r="AN176" s="736"/>
      <c r="AO176" s="736"/>
      <c r="AP176" s="736"/>
      <c r="AQ176" s="736"/>
      <c r="AR176" s="736"/>
      <c r="AS176" s="736"/>
      <c r="AT176" s="736"/>
      <c r="AU176" s="736"/>
      <c r="AV176" s="736"/>
      <c r="AW176" s="736"/>
      <c r="AX176" s="736"/>
      <c r="AY176" s="736"/>
      <c r="AZ176" s="736"/>
      <c r="BA176" s="736"/>
      <c r="BB176" s="736"/>
      <c r="BC176" s="736"/>
      <c r="BD176" s="736"/>
      <c r="BE176" s="736"/>
      <c r="BF176" s="736"/>
      <c r="BG176" s="736"/>
      <c r="BH176" s="736"/>
      <c r="BI176" s="736"/>
      <c r="BJ176" s="736"/>
      <c r="BK176" s="736"/>
      <c r="BL176" s="736"/>
      <c r="BM176" s="736"/>
      <c r="BN176" s="736"/>
      <c r="BO176" s="736"/>
      <c r="BP176" s="736"/>
      <c r="BQ176" s="736"/>
      <c r="BR176" s="736"/>
      <c r="BS176" s="736"/>
      <c r="BT176" s="736"/>
    </row>
    <row r="177" spans="1:72" x14ac:dyDescent="0.25">
      <c r="A177" s="736" t="s">
        <v>595</v>
      </c>
      <c r="B177" s="736">
        <v>15.41</v>
      </c>
      <c r="C177" s="736">
        <v>19.37</v>
      </c>
      <c r="D177" s="736">
        <v>14.46</v>
      </c>
      <c r="E177" s="736">
        <v>14.33</v>
      </c>
      <c r="F177" s="736">
        <v>14.68</v>
      </c>
      <c r="G177" s="736">
        <v>16.09</v>
      </c>
      <c r="H177" s="736">
        <v>17.46</v>
      </c>
      <c r="I177" s="736">
        <v>18.510000000000002</v>
      </c>
      <c r="J177" s="736">
        <v>19.350000000000001</v>
      </c>
      <c r="K177" s="736">
        <v>20.67</v>
      </c>
      <c r="L177" s="736">
        <v>21.81</v>
      </c>
      <c r="M177" s="736">
        <v>22.96</v>
      </c>
      <c r="N177" s="736">
        <v>23.88</v>
      </c>
      <c r="O177" s="736">
        <v>24.75</v>
      </c>
      <c r="P177" s="736">
        <v>25.46</v>
      </c>
      <c r="Q177" s="736">
        <v>26.24</v>
      </c>
      <c r="R177" s="736">
        <v>27.22</v>
      </c>
      <c r="S177" s="736">
        <v>28.03</v>
      </c>
      <c r="T177" s="736">
        <v>28.98</v>
      </c>
      <c r="U177" s="736">
        <v>29.93</v>
      </c>
      <c r="V177" s="736">
        <v>30.88</v>
      </c>
      <c r="W177" s="736">
        <v>32</v>
      </c>
      <c r="X177" s="736">
        <v>33.28</v>
      </c>
      <c r="Y177" s="736">
        <v>34.28</v>
      </c>
      <c r="Z177" s="736">
        <v>35.71</v>
      </c>
      <c r="AA177" s="736">
        <v>37.130000000000003</v>
      </c>
      <c r="AB177" s="736">
        <v>38.46</v>
      </c>
      <c r="AC177" s="736">
        <v>39.950000000000003</v>
      </c>
      <c r="AD177" s="736">
        <v>41.52</v>
      </c>
      <c r="AE177" s="770">
        <v>2.9000000000000001E-2</v>
      </c>
      <c r="AF177" s="736"/>
      <c r="AG177" s="736"/>
      <c r="AH177" s="736"/>
      <c r="AI177" s="736"/>
      <c r="AJ177" s="736"/>
      <c r="AK177" s="736"/>
      <c r="AL177" s="736"/>
      <c r="AM177" s="736"/>
      <c r="AN177" s="736"/>
      <c r="AO177" s="736"/>
      <c r="AP177" s="736"/>
      <c r="AQ177" s="736"/>
      <c r="AR177" s="736"/>
      <c r="AS177" s="736"/>
      <c r="AT177" s="736"/>
      <c r="AU177" s="736"/>
      <c r="AV177" s="736"/>
      <c r="AW177" s="736"/>
      <c r="AX177" s="736"/>
      <c r="AY177" s="736"/>
      <c r="AZ177" s="736"/>
      <c r="BA177" s="736"/>
      <c r="BB177" s="736"/>
      <c r="BC177" s="736"/>
      <c r="BD177" s="736"/>
      <c r="BE177" s="736"/>
      <c r="BF177" s="736"/>
      <c r="BG177" s="736"/>
      <c r="BH177" s="736"/>
      <c r="BI177" s="736"/>
      <c r="BJ177" s="736"/>
      <c r="BK177" s="736"/>
      <c r="BL177" s="736"/>
      <c r="BM177" s="736"/>
      <c r="BN177" s="736"/>
      <c r="BO177" s="736"/>
      <c r="BP177" s="736"/>
      <c r="BQ177" s="736"/>
      <c r="BR177" s="736"/>
      <c r="BS177" s="736"/>
      <c r="BT177" s="736"/>
    </row>
    <row r="178" spans="1:72" x14ac:dyDescent="0.25">
      <c r="A178" s="736" t="s">
        <v>596</v>
      </c>
      <c r="B178" s="736">
        <v>8.84</v>
      </c>
      <c r="C178" s="736">
        <v>14.56</v>
      </c>
      <c r="D178" s="736">
        <v>8.92</v>
      </c>
      <c r="E178" s="736">
        <v>12.37</v>
      </c>
      <c r="F178" s="736">
        <v>12.7</v>
      </c>
      <c r="G178" s="736">
        <v>14.13</v>
      </c>
      <c r="H178" s="736">
        <v>15.48</v>
      </c>
      <c r="I178" s="736">
        <v>16.55</v>
      </c>
      <c r="J178" s="736">
        <v>17.3</v>
      </c>
      <c r="K178" s="736">
        <v>18.07</v>
      </c>
      <c r="L178" s="736">
        <v>19.010000000000002</v>
      </c>
      <c r="M178" s="736">
        <v>19.88</v>
      </c>
      <c r="N178" s="736">
        <v>20.54</v>
      </c>
      <c r="O178" s="736">
        <v>21.05</v>
      </c>
      <c r="P178" s="736">
        <v>21.8</v>
      </c>
      <c r="Q178" s="736">
        <v>22.48</v>
      </c>
      <c r="R178" s="736">
        <v>23.26</v>
      </c>
      <c r="S178" s="736">
        <v>24.05</v>
      </c>
      <c r="T178" s="736">
        <v>24.83</v>
      </c>
      <c r="U178" s="736">
        <v>25.46</v>
      </c>
      <c r="V178" s="736">
        <v>26.42</v>
      </c>
      <c r="W178" s="736">
        <v>27.37</v>
      </c>
      <c r="X178" s="736">
        <v>28.4</v>
      </c>
      <c r="Y178" s="736">
        <v>29.5</v>
      </c>
      <c r="Z178" s="736">
        <v>30.7</v>
      </c>
      <c r="AA178" s="736">
        <v>31.85</v>
      </c>
      <c r="AB178" s="736">
        <v>32.92</v>
      </c>
      <c r="AC178" s="736">
        <v>34.19</v>
      </c>
      <c r="AD178" s="736">
        <v>35.49</v>
      </c>
      <c r="AE178" s="770">
        <v>3.4000000000000002E-2</v>
      </c>
      <c r="AF178" s="736"/>
      <c r="AG178" s="736"/>
      <c r="AH178" s="736"/>
      <c r="AI178" s="736"/>
      <c r="AJ178" s="736"/>
      <c r="AK178" s="736"/>
      <c r="AL178" s="736"/>
      <c r="AM178" s="736"/>
      <c r="AN178" s="736"/>
      <c r="AO178" s="736"/>
      <c r="AP178" s="736"/>
      <c r="AQ178" s="736"/>
      <c r="AR178" s="736"/>
      <c r="AS178" s="736"/>
      <c r="AT178" s="736"/>
      <c r="AU178" s="736"/>
      <c r="AV178" s="736"/>
      <c r="AW178" s="736"/>
      <c r="AX178" s="736"/>
      <c r="AY178" s="736"/>
      <c r="AZ178" s="736"/>
      <c r="BA178" s="736"/>
      <c r="BB178" s="736"/>
      <c r="BC178" s="736"/>
      <c r="BD178" s="736"/>
      <c r="BE178" s="736"/>
      <c r="BF178" s="736"/>
      <c r="BG178" s="736"/>
      <c r="BH178" s="736"/>
      <c r="BI178" s="736"/>
      <c r="BJ178" s="736"/>
      <c r="BK178" s="736"/>
      <c r="BL178" s="736"/>
      <c r="BM178" s="736"/>
      <c r="BN178" s="736"/>
      <c r="BO178" s="736"/>
      <c r="BP178" s="736"/>
      <c r="BQ178" s="736"/>
      <c r="BR178" s="736"/>
      <c r="BS178" s="736"/>
      <c r="BT178" s="736"/>
    </row>
    <row r="179" spans="1:72" x14ac:dyDescent="0.25">
      <c r="A179" s="736" t="s">
        <v>496</v>
      </c>
      <c r="B179" s="736">
        <v>7.1</v>
      </c>
      <c r="C179" s="736">
        <v>9.09</v>
      </c>
      <c r="D179" s="736">
        <v>4.2</v>
      </c>
      <c r="E179" s="736">
        <v>4.99</v>
      </c>
      <c r="F179" s="736">
        <v>6.07</v>
      </c>
      <c r="G179" s="736">
        <v>6.53</v>
      </c>
      <c r="H179" s="736">
        <v>6.4</v>
      </c>
      <c r="I179" s="736">
        <v>6.47</v>
      </c>
      <c r="J179" s="736">
        <v>6.77</v>
      </c>
      <c r="K179" s="736">
        <v>6.99</v>
      </c>
      <c r="L179" s="736">
        <v>7.13</v>
      </c>
      <c r="M179" s="736">
        <v>7.32</v>
      </c>
      <c r="N179" s="736">
        <v>7.53</v>
      </c>
      <c r="O179" s="736">
        <v>7.85</v>
      </c>
      <c r="P179" s="736">
        <v>8.1300000000000008</v>
      </c>
      <c r="Q179" s="736">
        <v>8.5399999999999991</v>
      </c>
      <c r="R179" s="736">
        <v>8.7799999999999994</v>
      </c>
      <c r="S179" s="736">
        <v>8.91</v>
      </c>
      <c r="T179" s="736">
        <v>9.17</v>
      </c>
      <c r="U179" s="736">
        <v>9.57</v>
      </c>
      <c r="V179" s="736">
        <v>9.9700000000000006</v>
      </c>
      <c r="W179" s="736">
        <v>10.51</v>
      </c>
      <c r="X179" s="736">
        <v>11.09</v>
      </c>
      <c r="Y179" s="736">
        <v>11.66</v>
      </c>
      <c r="Z179" s="736">
        <v>12.38</v>
      </c>
      <c r="AA179" s="736">
        <v>12.84</v>
      </c>
      <c r="AB179" s="736">
        <v>13.16</v>
      </c>
      <c r="AC179" s="736">
        <v>13.75</v>
      </c>
      <c r="AD179" s="736">
        <v>14.22</v>
      </c>
      <c r="AE179" s="770">
        <v>1.7000000000000001E-2</v>
      </c>
      <c r="AF179" s="736"/>
      <c r="AG179" s="736"/>
      <c r="AH179" s="736"/>
      <c r="AI179" s="736"/>
      <c r="AJ179" s="736"/>
      <c r="AK179" s="736"/>
      <c r="AL179" s="736"/>
      <c r="AM179" s="736"/>
      <c r="AN179" s="736"/>
      <c r="AO179" s="736"/>
      <c r="AP179" s="736"/>
      <c r="AQ179" s="736"/>
      <c r="AR179" s="736"/>
      <c r="AS179" s="736"/>
      <c r="AT179" s="736"/>
      <c r="AU179" s="736"/>
      <c r="AV179" s="736"/>
      <c r="AW179" s="736"/>
      <c r="AX179" s="736"/>
      <c r="AY179" s="736"/>
      <c r="AZ179" s="736"/>
      <c r="BA179" s="736"/>
      <c r="BB179" s="736"/>
      <c r="BC179" s="736"/>
      <c r="BD179" s="736"/>
      <c r="BE179" s="736"/>
      <c r="BF179" s="736"/>
      <c r="BG179" s="736"/>
      <c r="BH179" s="736"/>
      <c r="BI179" s="736"/>
      <c r="BJ179" s="736"/>
      <c r="BK179" s="736"/>
      <c r="BL179" s="736"/>
      <c r="BM179" s="736"/>
      <c r="BN179" s="736"/>
      <c r="BO179" s="736"/>
      <c r="BP179" s="736"/>
      <c r="BQ179" s="736"/>
      <c r="BR179" s="736"/>
      <c r="BS179" s="736"/>
      <c r="BT179" s="736"/>
    </row>
    <row r="180" spans="1:72" x14ac:dyDescent="0.25">
      <c r="A180" s="736" t="s">
        <v>609</v>
      </c>
      <c r="B180" s="736">
        <v>1.76</v>
      </c>
      <c r="C180" s="736">
        <v>2.0499999999999998</v>
      </c>
      <c r="D180" s="736">
        <v>2.1800000000000002</v>
      </c>
      <c r="E180" s="736">
        <v>2.0499999999999998</v>
      </c>
      <c r="F180" s="736">
        <v>2.0699999999999998</v>
      </c>
      <c r="G180" s="736">
        <v>2.1</v>
      </c>
      <c r="H180" s="736">
        <v>2.15</v>
      </c>
      <c r="I180" s="736">
        <v>2.19</v>
      </c>
      <c r="J180" s="736">
        <v>2.2400000000000002</v>
      </c>
      <c r="K180" s="736">
        <v>2.2599999999999998</v>
      </c>
      <c r="L180" s="736">
        <v>2.31</v>
      </c>
      <c r="M180" s="736">
        <v>2.34</v>
      </c>
      <c r="N180" s="736">
        <v>2.38</v>
      </c>
      <c r="O180" s="736">
        <v>2.42</v>
      </c>
      <c r="P180" s="736">
        <v>2.4700000000000002</v>
      </c>
      <c r="Q180" s="736">
        <v>2.54</v>
      </c>
      <c r="R180" s="736">
        <v>2.59</v>
      </c>
      <c r="S180" s="736">
        <v>2.65</v>
      </c>
      <c r="T180" s="736">
        <v>2.69</v>
      </c>
      <c r="U180" s="736">
        <v>2.77</v>
      </c>
      <c r="V180" s="736">
        <v>2.82</v>
      </c>
      <c r="W180" s="736">
        <v>2.9</v>
      </c>
      <c r="X180" s="736">
        <v>2.98</v>
      </c>
      <c r="Y180" s="736">
        <v>3.06</v>
      </c>
      <c r="Z180" s="736">
        <v>3.15</v>
      </c>
      <c r="AA180" s="736">
        <v>3.23</v>
      </c>
      <c r="AB180" s="736">
        <v>3.32</v>
      </c>
      <c r="AC180" s="736">
        <v>3.41</v>
      </c>
      <c r="AD180" s="736">
        <v>3.51</v>
      </c>
      <c r="AE180" s="770">
        <v>0.02</v>
      </c>
      <c r="AF180" s="736"/>
      <c r="AG180" s="736"/>
      <c r="AH180" s="736"/>
      <c r="AI180" s="736"/>
      <c r="AJ180" s="736"/>
      <c r="AK180" s="736"/>
      <c r="AL180" s="736"/>
      <c r="AM180" s="736"/>
      <c r="AN180" s="736"/>
      <c r="AO180" s="736"/>
      <c r="AP180" s="736"/>
      <c r="AQ180" s="736"/>
      <c r="AR180" s="736"/>
      <c r="AS180" s="736"/>
      <c r="AT180" s="736"/>
      <c r="AU180" s="736"/>
      <c r="AV180" s="736"/>
      <c r="AW180" s="736"/>
      <c r="AX180" s="736"/>
      <c r="AY180" s="736"/>
      <c r="AZ180" s="736"/>
      <c r="BA180" s="736"/>
      <c r="BB180" s="736"/>
      <c r="BC180" s="736"/>
      <c r="BD180" s="736"/>
      <c r="BE180" s="736"/>
      <c r="BF180" s="736"/>
      <c r="BG180" s="736"/>
      <c r="BH180" s="736"/>
      <c r="BI180" s="736"/>
      <c r="BJ180" s="736"/>
      <c r="BK180" s="736"/>
      <c r="BL180" s="736"/>
      <c r="BM180" s="736"/>
      <c r="BN180" s="736"/>
      <c r="BO180" s="736"/>
      <c r="BP180" s="736"/>
      <c r="BQ180" s="736"/>
      <c r="BR180" s="736"/>
      <c r="BS180" s="736"/>
      <c r="BT180" s="736"/>
    </row>
    <row r="181" spans="1:72" x14ac:dyDescent="0.25">
      <c r="A181" s="736"/>
      <c r="B181" s="736"/>
      <c r="C181" s="736"/>
      <c r="D181" s="736"/>
      <c r="E181" s="736"/>
      <c r="F181" s="736"/>
      <c r="G181" s="736"/>
      <c r="H181" s="736"/>
      <c r="I181" s="736"/>
      <c r="J181" s="736"/>
      <c r="K181" s="736"/>
      <c r="L181" s="736"/>
      <c r="M181" s="736"/>
      <c r="N181" s="736"/>
      <c r="O181" s="736"/>
      <c r="P181" s="736"/>
      <c r="Q181" s="736"/>
      <c r="R181" s="736"/>
      <c r="S181" s="736"/>
      <c r="T181" s="736"/>
      <c r="U181" s="736"/>
      <c r="V181" s="736"/>
      <c r="W181" s="736"/>
      <c r="X181" s="736"/>
      <c r="Y181" s="736"/>
      <c r="Z181" s="736"/>
      <c r="AA181" s="736"/>
      <c r="AB181" s="736"/>
      <c r="AC181" s="736"/>
      <c r="AD181" s="736"/>
      <c r="AE181" s="736"/>
      <c r="AF181" s="736"/>
      <c r="AG181" s="736"/>
      <c r="AH181" s="736"/>
      <c r="AI181" s="736"/>
      <c r="AJ181" s="736"/>
      <c r="AK181" s="736"/>
      <c r="AL181" s="736"/>
      <c r="AM181" s="736"/>
      <c r="AN181" s="736"/>
      <c r="AO181" s="736"/>
      <c r="AP181" s="736"/>
      <c r="AQ181" s="736"/>
      <c r="AR181" s="736"/>
      <c r="AS181" s="736"/>
      <c r="AT181" s="736"/>
      <c r="AU181" s="736"/>
      <c r="AV181" s="736"/>
      <c r="AW181" s="736"/>
      <c r="AX181" s="736"/>
      <c r="AY181" s="736"/>
      <c r="AZ181" s="736"/>
      <c r="BA181" s="736"/>
      <c r="BB181" s="736"/>
      <c r="BC181" s="736"/>
      <c r="BD181" s="736"/>
      <c r="BE181" s="736"/>
      <c r="BF181" s="736"/>
      <c r="BG181" s="736"/>
      <c r="BH181" s="736"/>
      <c r="BI181" s="736"/>
      <c r="BJ181" s="736"/>
      <c r="BK181" s="736"/>
      <c r="BL181" s="736"/>
      <c r="BM181" s="736"/>
      <c r="BN181" s="736"/>
      <c r="BO181" s="736"/>
      <c r="BP181" s="736"/>
      <c r="BQ181" s="736"/>
      <c r="BR181" s="736"/>
      <c r="BS181" s="736"/>
      <c r="BT181" s="736"/>
    </row>
    <row r="182" spans="1:72" x14ac:dyDescent="0.25">
      <c r="A182" s="736" t="s">
        <v>610</v>
      </c>
      <c r="B182" s="736"/>
      <c r="C182" s="736"/>
      <c r="D182" s="736"/>
      <c r="E182" s="736"/>
      <c r="F182" s="736"/>
      <c r="G182" s="736"/>
      <c r="H182" s="736"/>
      <c r="I182" s="736"/>
      <c r="J182" s="736"/>
      <c r="K182" s="736"/>
      <c r="L182" s="736"/>
      <c r="M182" s="736"/>
      <c r="N182" s="736"/>
      <c r="O182" s="736"/>
      <c r="P182" s="736"/>
      <c r="Q182" s="736"/>
      <c r="R182" s="736"/>
      <c r="S182" s="736"/>
      <c r="T182" s="736"/>
      <c r="U182" s="736"/>
      <c r="V182" s="736"/>
      <c r="W182" s="736"/>
      <c r="X182" s="736"/>
      <c r="Y182" s="736"/>
      <c r="Z182" s="736"/>
      <c r="AA182" s="736"/>
      <c r="AB182" s="736"/>
      <c r="AC182" s="736"/>
      <c r="AD182" s="736"/>
      <c r="AE182" s="736"/>
      <c r="AF182" s="736"/>
      <c r="AG182" s="736"/>
      <c r="AH182" s="736"/>
      <c r="AI182" s="736"/>
      <c r="AJ182" s="736"/>
      <c r="AK182" s="736"/>
      <c r="AL182" s="736"/>
      <c r="AM182" s="736"/>
      <c r="AN182" s="736"/>
      <c r="AO182" s="736"/>
      <c r="AP182" s="736"/>
      <c r="AQ182" s="736"/>
      <c r="AR182" s="736"/>
      <c r="AS182" s="736"/>
      <c r="AT182" s="736"/>
      <c r="AU182" s="736"/>
      <c r="AV182" s="736"/>
      <c r="AW182" s="736"/>
      <c r="AX182" s="736"/>
      <c r="AY182" s="736"/>
      <c r="AZ182" s="736"/>
      <c r="BA182" s="736"/>
      <c r="BB182" s="736"/>
      <c r="BC182" s="736"/>
      <c r="BD182" s="736"/>
      <c r="BE182" s="736"/>
      <c r="BF182" s="736"/>
      <c r="BG182" s="736"/>
      <c r="BH182" s="736"/>
      <c r="BI182" s="736"/>
      <c r="BJ182" s="736"/>
      <c r="BK182" s="736"/>
      <c r="BL182" s="736"/>
      <c r="BM182" s="736"/>
      <c r="BN182" s="736"/>
      <c r="BO182" s="736"/>
      <c r="BP182" s="736"/>
      <c r="BQ182" s="736"/>
      <c r="BR182" s="736"/>
      <c r="BS182" s="736"/>
      <c r="BT182" s="736"/>
    </row>
    <row r="183" spans="1:72" x14ac:dyDescent="0.25">
      <c r="A183" s="736" t="s">
        <v>594</v>
      </c>
      <c r="B183" s="736">
        <v>18.53</v>
      </c>
      <c r="C183" s="736">
        <v>20.190000000000001</v>
      </c>
      <c r="D183" s="736">
        <v>18.64</v>
      </c>
      <c r="E183" s="736">
        <v>17.36</v>
      </c>
      <c r="F183" s="736">
        <v>17.61</v>
      </c>
      <c r="G183" s="736">
        <v>18.920000000000002</v>
      </c>
      <c r="H183" s="736">
        <v>20.43</v>
      </c>
      <c r="I183" s="736">
        <v>21.72</v>
      </c>
      <c r="J183" s="736">
        <v>22.62</v>
      </c>
      <c r="K183" s="736">
        <v>23.64</v>
      </c>
      <c r="L183" s="736">
        <v>24.56</v>
      </c>
      <c r="M183" s="736">
        <v>25.55</v>
      </c>
      <c r="N183" s="736">
        <v>26.28</v>
      </c>
      <c r="O183" s="736">
        <v>27.06</v>
      </c>
      <c r="P183" s="736">
        <v>27.91</v>
      </c>
      <c r="Q183" s="736">
        <v>28.78</v>
      </c>
      <c r="R183" s="736">
        <v>29.75</v>
      </c>
      <c r="S183" s="736">
        <v>30.7</v>
      </c>
      <c r="T183" s="736">
        <v>31.68</v>
      </c>
      <c r="U183" s="736">
        <v>32.54</v>
      </c>
      <c r="V183" s="736">
        <v>33.6</v>
      </c>
      <c r="W183" s="736">
        <v>34.69</v>
      </c>
      <c r="X183" s="736">
        <v>35.950000000000003</v>
      </c>
      <c r="Y183" s="736">
        <v>37.049999999999997</v>
      </c>
      <c r="Z183" s="736">
        <v>38.44</v>
      </c>
      <c r="AA183" s="736">
        <v>39.83</v>
      </c>
      <c r="AB183" s="736">
        <v>41.29</v>
      </c>
      <c r="AC183" s="736">
        <v>42.77</v>
      </c>
      <c r="AD183" s="736">
        <v>44.32</v>
      </c>
      <c r="AE183" s="770">
        <v>0.03</v>
      </c>
      <c r="AF183" s="736"/>
      <c r="AG183" s="736"/>
      <c r="AH183" s="736"/>
      <c r="AI183" s="736"/>
      <c r="AJ183" s="736"/>
      <c r="AK183" s="736"/>
      <c r="AL183" s="736"/>
      <c r="AM183" s="736"/>
      <c r="AN183" s="736"/>
      <c r="AO183" s="736"/>
      <c r="AP183" s="736"/>
      <c r="AQ183" s="736"/>
      <c r="AR183" s="736"/>
      <c r="AS183" s="736"/>
      <c r="AT183" s="736"/>
      <c r="AU183" s="736"/>
      <c r="AV183" s="736"/>
      <c r="AW183" s="736"/>
      <c r="AX183" s="736"/>
      <c r="AY183" s="736"/>
      <c r="AZ183" s="736"/>
      <c r="BA183" s="736"/>
      <c r="BB183" s="736"/>
      <c r="BC183" s="736"/>
      <c r="BD183" s="736"/>
      <c r="BE183" s="736"/>
      <c r="BF183" s="736"/>
      <c r="BG183" s="736"/>
      <c r="BH183" s="736"/>
      <c r="BI183" s="736"/>
      <c r="BJ183" s="736"/>
      <c r="BK183" s="736"/>
      <c r="BL183" s="736"/>
      <c r="BM183" s="736"/>
      <c r="BN183" s="736"/>
      <c r="BO183" s="736"/>
      <c r="BP183" s="736"/>
      <c r="BQ183" s="736"/>
      <c r="BR183" s="736"/>
      <c r="BS183" s="736"/>
      <c r="BT183" s="736"/>
    </row>
    <row r="184" spans="1:72" x14ac:dyDescent="0.25">
      <c r="A184" s="736" t="s">
        <v>603</v>
      </c>
      <c r="B184" s="736">
        <v>26.83</v>
      </c>
      <c r="C184" s="736">
        <v>26.93</v>
      </c>
      <c r="D184" s="736">
        <v>23.64</v>
      </c>
      <c r="E184" s="736">
        <v>21.26</v>
      </c>
      <c r="F184" s="736">
        <v>21.89</v>
      </c>
      <c r="G184" s="736">
        <v>23.43</v>
      </c>
      <c r="H184" s="736">
        <v>26.07</v>
      </c>
      <c r="I184" s="736">
        <v>27.64</v>
      </c>
      <c r="J184" s="736">
        <v>28.47</v>
      </c>
      <c r="K184" s="736">
        <v>28.45</v>
      </c>
      <c r="L184" s="736">
        <v>29.92</v>
      </c>
      <c r="M184" s="736">
        <v>31.23</v>
      </c>
      <c r="N184" s="736">
        <v>31.97</v>
      </c>
      <c r="O184" s="736">
        <v>32.94</v>
      </c>
      <c r="P184" s="736">
        <v>34.090000000000003</v>
      </c>
      <c r="Q184" s="736">
        <v>35.479999999999997</v>
      </c>
      <c r="R184" s="736">
        <v>36.880000000000003</v>
      </c>
      <c r="S184" s="736">
        <v>37.979999999999997</v>
      </c>
      <c r="T184" s="736">
        <v>39.17</v>
      </c>
      <c r="U184" s="736">
        <v>40.479999999999997</v>
      </c>
      <c r="V184" s="736">
        <v>41.72</v>
      </c>
      <c r="W184" s="736">
        <v>43.4</v>
      </c>
      <c r="X184" s="736">
        <v>44.96</v>
      </c>
      <c r="Y184" s="736">
        <v>46.25</v>
      </c>
      <c r="Z184" s="736">
        <v>47.62</v>
      </c>
      <c r="AA184" s="736">
        <v>49.36</v>
      </c>
      <c r="AB184" s="736">
        <v>50.75</v>
      </c>
      <c r="AC184" s="736">
        <v>52.29</v>
      </c>
      <c r="AD184" s="736">
        <v>54.17</v>
      </c>
      <c r="AE184" s="770">
        <v>2.5999999999999999E-2</v>
      </c>
      <c r="AF184" s="736"/>
      <c r="AG184" s="736"/>
      <c r="AH184" s="736"/>
      <c r="AI184" s="736"/>
      <c r="AJ184" s="736"/>
      <c r="AK184" s="736"/>
      <c r="AL184" s="736"/>
      <c r="AM184" s="736"/>
      <c r="AN184" s="736"/>
      <c r="AO184" s="736"/>
      <c r="AP184" s="736"/>
      <c r="AQ184" s="736"/>
      <c r="AR184" s="736"/>
      <c r="AS184" s="736"/>
      <c r="AT184" s="736"/>
      <c r="AU184" s="736"/>
      <c r="AV184" s="736"/>
      <c r="AW184" s="736"/>
      <c r="AX184" s="736"/>
      <c r="AY184" s="736"/>
      <c r="AZ184" s="736"/>
      <c r="BA184" s="736"/>
      <c r="BB184" s="736"/>
      <c r="BC184" s="736"/>
      <c r="BD184" s="736"/>
      <c r="BE184" s="736"/>
      <c r="BF184" s="736"/>
      <c r="BG184" s="736"/>
      <c r="BH184" s="736"/>
      <c r="BI184" s="736"/>
      <c r="BJ184" s="736"/>
      <c r="BK184" s="736"/>
      <c r="BL184" s="736"/>
      <c r="BM184" s="736"/>
      <c r="BN184" s="736"/>
      <c r="BO184" s="736"/>
      <c r="BP184" s="736"/>
      <c r="BQ184" s="736"/>
      <c r="BR184" s="736"/>
      <c r="BS184" s="736"/>
      <c r="BT184" s="736"/>
    </row>
    <row r="185" spans="1:72" x14ac:dyDescent="0.25">
      <c r="A185" s="736" t="s">
        <v>604</v>
      </c>
      <c r="B185" s="736">
        <v>23.03</v>
      </c>
      <c r="C185" s="736">
        <v>26.54</v>
      </c>
      <c r="D185" s="736">
        <v>19.440000000000001</v>
      </c>
      <c r="E185" s="736">
        <v>21.17</v>
      </c>
      <c r="F185" s="736">
        <v>21.79</v>
      </c>
      <c r="G185" s="736">
        <v>23.32</v>
      </c>
      <c r="H185" s="736">
        <v>25.87</v>
      </c>
      <c r="I185" s="736">
        <v>27.33</v>
      </c>
      <c r="J185" s="736">
        <v>28.27</v>
      </c>
      <c r="K185" s="736">
        <v>29.42</v>
      </c>
      <c r="L185" s="736">
        <v>30.58</v>
      </c>
      <c r="M185" s="736">
        <v>31.64</v>
      </c>
      <c r="N185" s="736">
        <v>32.6</v>
      </c>
      <c r="O185" s="736">
        <v>33.71</v>
      </c>
      <c r="P185" s="736">
        <v>34.71</v>
      </c>
      <c r="Q185" s="736">
        <v>35.93</v>
      </c>
      <c r="R185" s="736">
        <v>37.020000000000003</v>
      </c>
      <c r="S185" s="736">
        <v>37.950000000000003</v>
      </c>
      <c r="T185" s="736">
        <v>39.17</v>
      </c>
      <c r="U185" s="736">
        <v>40.43</v>
      </c>
      <c r="V185" s="736">
        <v>41.68</v>
      </c>
      <c r="W185" s="736">
        <v>43.21</v>
      </c>
      <c r="X185" s="736">
        <v>44.69</v>
      </c>
      <c r="Y185" s="736">
        <v>45.9</v>
      </c>
      <c r="Z185" s="736">
        <v>47.46</v>
      </c>
      <c r="AA185" s="736">
        <v>49.15</v>
      </c>
      <c r="AB185" s="736">
        <v>50.65</v>
      </c>
      <c r="AC185" s="736">
        <v>52.35</v>
      </c>
      <c r="AD185" s="736">
        <v>54.32</v>
      </c>
      <c r="AE185" s="770">
        <v>2.7E-2</v>
      </c>
      <c r="AF185" s="736"/>
      <c r="AG185" s="736"/>
      <c r="AH185" s="736"/>
      <c r="AI185" s="736"/>
      <c r="AJ185" s="736"/>
      <c r="AK185" s="736"/>
      <c r="AL185" s="736"/>
      <c r="AM185" s="736"/>
      <c r="AN185" s="736"/>
      <c r="AO185" s="736"/>
      <c r="AP185" s="736"/>
      <c r="AQ185" s="736"/>
      <c r="AR185" s="736"/>
      <c r="AS185" s="736"/>
      <c r="AT185" s="736"/>
      <c r="AU185" s="736"/>
      <c r="AV185" s="736"/>
      <c r="AW185" s="736"/>
      <c r="AX185" s="736"/>
      <c r="AY185" s="736"/>
      <c r="AZ185" s="736"/>
      <c r="BA185" s="736"/>
      <c r="BB185" s="736"/>
      <c r="BC185" s="736"/>
      <c r="BD185" s="736"/>
      <c r="BE185" s="736"/>
      <c r="BF185" s="736"/>
      <c r="BG185" s="736"/>
      <c r="BH185" s="736"/>
      <c r="BI185" s="736"/>
      <c r="BJ185" s="736"/>
      <c r="BK185" s="736"/>
      <c r="BL185" s="736"/>
      <c r="BM185" s="736"/>
      <c r="BN185" s="736"/>
      <c r="BO185" s="736"/>
      <c r="BP185" s="736"/>
      <c r="BQ185" s="736"/>
      <c r="BR185" s="736"/>
      <c r="BS185" s="736"/>
      <c r="BT185" s="736"/>
    </row>
    <row r="186" spans="1:72" x14ac:dyDescent="0.25">
      <c r="A186" s="736" t="s">
        <v>611</v>
      </c>
      <c r="B186" s="736">
        <v>15.42</v>
      </c>
      <c r="C186" s="736">
        <v>22.71</v>
      </c>
      <c r="D186" s="736">
        <v>12.92</v>
      </c>
      <c r="E186" s="736">
        <v>15.23</v>
      </c>
      <c r="F186" s="736">
        <v>15.82</v>
      </c>
      <c r="G186" s="736">
        <v>17.510000000000002</v>
      </c>
      <c r="H186" s="736">
        <v>19.05</v>
      </c>
      <c r="I186" s="736">
        <v>20.23</v>
      </c>
      <c r="J186" s="736">
        <v>21.21</v>
      </c>
      <c r="K186" s="736">
        <v>22.42</v>
      </c>
      <c r="L186" s="736">
        <v>23.58</v>
      </c>
      <c r="M186" s="736">
        <v>24.67</v>
      </c>
      <c r="N186" s="736">
        <v>25.58</v>
      </c>
      <c r="O186" s="736">
        <v>26.51</v>
      </c>
      <c r="P186" s="736">
        <v>27.27</v>
      </c>
      <c r="Q186" s="736">
        <v>28.18</v>
      </c>
      <c r="R186" s="736">
        <v>29.2</v>
      </c>
      <c r="S186" s="736">
        <v>30.07</v>
      </c>
      <c r="T186" s="736">
        <v>31.1</v>
      </c>
      <c r="U186" s="736">
        <v>32.130000000000003</v>
      </c>
      <c r="V186" s="736">
        <v>33.21</v>
      </c>
      <c r="W186" s="736">
        <v>34.54</v>
      </c>
      <c r="X186" s="736">
        <v>35.83</v>
      </c>
      <c r="Y186" s="736">
        <v>36.99</v>
      </c>
      <c r="Z186" s="736">
        <v>38.42</v>
      </c>
      <c r="AA186" s="736">
        <v>39.92</v>
      </c>
      <c r="AB186" s="736">
        <v>41.32</v>
      </c>
      <c r="AC186" s="736">
        <v>42.87</v>
      </c>
      <c r="AD186" s="736">
        <v>44.51</v>
      </c>
      <c r="AE186" s="770">
        <v>2.5000000000000001E-2</v>
      </c>
      <c r="AF186" s="736"/>
      <c r="AG186" s="736"/>
      <c r="AH186" s="736"/>
      <c r="AI186" s="736"/>
      <c r="AJ186" s="736"/>
      <c r="AK186" s="736"/>
      <c r="AL186" s="736"/>
      <c r="AM186" s="736"/>
      <c r="AN186" s="736"/>
      <c r="AO186" s="736"/>
      <c r="AP186" s="736"/>
      <c r="AQ186" s="736"/>
      <c r="AR186" s="736"/>
      <c r="AS186" s="736"/>
      <c r="AT186" s="736"/>
      <c r="AU186" s="736"/>
      <c r="AV186" s="736"/>
      <c r="AW186" s="736"/>
      <c r="AX186" s="736"/>
      <c r="AY186" s="736"/>
      <c r="AZ186" s="736"/>
      <c r="BA186" s="736"/>
      <c r="BB186" s="736"/>
      <c r="BC186" s="736"/>
      <c r="BD186" s="736"/>
      <c r="BE186" s="736"/>
      <c r="BF186" s="736"/>
      <c r="BG186" s="736"/>
      <c r="BH186" s="736"/>
      <c r="BI186" s="736"/>
      <c r="BJ186" s="736"/>
      <c r="BK186" s="736"/>
      <c r="BL186" s="736"/>
      <c r="BM186" s="736"/>
      <c r="BN186" s="736"/>
      <c r="BO186" s="736"/>
      <c r="BP186" s="736"/>
      <c r="BQ186" s="736"/>
      <c r="BR186" s="736"/>
      <c r="BS186" s="736"/>
      <c r="BT186" s="736"/>
    </row>
    <row r="187" spans="1:72" x14ac:dyDescent="0.25">
      <c r="A187" s="736" t="s">
        <v>595</v>
      </c>
      <c r="B187" s="736">
        <v>20.260000000000002</v>
      </c>
      <c r="C187" s="736">
        <v>26.27</v>
      </c>
      <c r="D187" s="736">
        <v>17.73</v>
      </c>
      <c r="E187" s="736">
        <v>18.260000000000002</v>
      </c>
      <c r="F187" s="736">
        <v>18.940000000000001</v>
      </c>
      <c r="G187" s="736">
        <v>20.58</v>
      </c>
      <c r="H187" s="736">
        <v>22.21</v>
      </c>
      <c r="I187" s="736">
        <v>23.39</v>
      </c>
      <c r="J187" s="736">
        <v>24.55</v>
      </c>
      <c r="K187" s="736">
        <v>25.86</v>
      </c>
      <c r="L187" s="736">
        <v>27.09</v>
      </c>
      <c r="M187" s="736">
        <v>28.33</v>
      </c>
      <c r="N187" s="736">
        <v>29.33</v>
      </c>
      <c r="O187" s="736">
        <v>30.3</v>
      </c>
      <c r="P187" s="736">
        <v>31.19</v>
      </c>
      <c r="Q187" s="736">
        <v>32.29</v>
      </c>
      <c r="R187" s="736">
        <v>33.22</v>
      </c>
      <c r="S187" s="736">
        <v>34.04</v>
      </c>
      <c r="T187" s="736">
        <v>35.14</v>
      </c>
      <c r="U187" s="736">
        <v>36.19</v>
      </c>
      <c r="V187" s="736">
        <v>37.31</v>
      </c>
      <c r="W187" s="736">
        <v>38.6</v>
      </c>
      <c r="X187" s="736">
        <v>40.04</v>
      </c>
      <c r="Y187" s="736">
        <v>41.2</v>
      </c>
      <c r="Z187" s="736">
        <v>42.78</v>
      </c>
      <c r="AA187" s="736">
        <v>44.38</v>
      </c>
      <c r="AB187" s="736">
        <v>45.87</v>
      </c>
      <c r="AC187" s="736">
        <v>47.52</v>
      </c>
      <c r="AD187" s="736">
        <v>49.31</v>
      </c>
      <c r="AE187" s="770">
        <v>2.4E-2</v>
      </c>
      <c r="AF187" s="736"/>
      <c r="AG187" s="736"/>
      <c r="AH187" s="736"/>
      <c r="AI187" s="736"/>
      <c r="AJ187" s="736"/>
      <c r="AK187" s="736"/>
      <c r="AL187" s="736"/>
      <c r="AM187" s="736"/>
      <c r="AN187" s="736"/>
      <c r="AO187" s="736"/>
      <c r="AP187" s="736"/>
      <c r="AQ187" s="736"/>
      <c r="AR187" s="736"/>
      <c r="AS187" s="736"/>
      <c r="AT187" s="736"/>
      <c r="AU187" s="736"/>
      <c r="AV187" s="736"/>
      <c r="AW187" s="736"/>
      <c r="AX187" s="736"/>
      <c r="AY187" s="736"/>
      <c r="AZ187" s="736"/>
      <c r="BA187" s="736"/>
      <c r="BB187" s="736"/>
      <c r="BC187" s="736"/>
      <c r="BD187" s="736"/>
      <c r="BE187" s="736"/>
      <c r="BF187" s="736"/>
      <c r="BG187" s="736"/>
      <c r="BH187" s="736"/>
      <c r="BI187" s="736"/>
      <c r="BJ187" s="736"/>
      <c r="BK187" s="736"/>
      <c r="BL187" s="736"/>
      <c r="BM187" s="736"/>
      <c r="BN187" s="736"/>
      <c r="BO187" s="736"/>
      <c r="BP187" s="736"/>
      <c r="BQ187" s="736"/>
      <c r="BR187" s="736"/>
      <c r="BS187" s="736"/>
      <c r="BT187" s="736"/>
    </row>
    <row r="188" spans="1:72" x14ac:dyDescent="0.25">
      <c r="A188" s="736" t="s">
        <v>596</v>
      </c>
      <c r="B188" s="736">
        <v>8.8699999999999992</v>
      </c>
      <c r="C188" s="736">
        <v>14.77</v>
      </c>
      <c r="D188" s="736">
        <v>9.1</v>
      </c>
      <c r="E188" s="736">
        <v>11.22</v>
      </c>
      <c r="F188" s="736">
        <v>11.49</v>
      </c>
      <c r="G188" s="736">
        <v>12.89</v>
      </c>
      <c r="H188" s="736">
        <v>14.14</v>
      </c>
      <c r="I188" s="736">
        <v>15.19</v>
      </c>
      <c r="J188" s="736">
        <v>15.89</v>
      </c>
      <c r="K188" s="736">
        <v>16.600000000000001</v>
      </c>
      <c r="L188" s="736">
        <v>17.5</v>
      </c>
      <c r="M188" s="736">
        <v>18.3</v>
      </c>
      <c r="N188" s="736">
        <v>18.89</v>
      </c>
      <c r="O188" s="736">
        <v>19.329999999999998</v>
      </c>
      <c r="P188" s="736">
        <v>20.03</v>
      </c>
      <c r="Q188" s="736">
        <v>20.64</v>
      </c>
      <c r="R188" s="736">
        <v>21.36</v>
      </c>
      <c r="S188" s="736">
        <v>22.08</v>
      </c>
      <c r="T188" s="736">
        <v>22.8</v>
      </c>
      <c r="U188" s="736">
        <v>23.35</v>
      </c>
      <c r="V188" s="736">
        <v>24.24</v>
      </c>
      <c r="W188" s="736">
        <v>25.11</v>
      </c>
      <c r="X188" s="736">
        <v>26.08</v>
      </c>
      <c r="Y188" s="736">
        <v>27.11</v>
      </c>
      <c r="Z188" s="736">
        <v>28.23</v>
      </c>
      <c r="AA188" s="736">
        <v>29.29</v>
      </c>
      <c r="AB188" s="736">
        <v>30.29</v>
      </c>
      <c r="AC188" s="736">
        <v>31.46</v>
      </c>
      <c r="AD188" s="736">
        <v>32.700000000000003</v>
      </c>
      <c r="AE188" s="770">
        <v>0.03</v>
      </c>
      <c r="AF188" s="736"/>
      <c r="AG188" s="736"/>
      <c r="AH188" s="736"/>
      <c r="AI188" s="736"/>
      <c r="AJ188" s="736"/>
      <c r="AK188" s="736"/>
      <c r="AL188" s="736"/>
      <c r="AM188" s="736"/>
      <c r="AN188" s="736"/>
      <c r="AO188" s="736"/>
      <c r="AP188" s="736"/>
      <c r="AQ188" s="736"/>
      <c r="AR188" s="736"/>
      <c r="AS188" s="736"/>
      <c r="AT188" s="736"/>
      <c r="AU188" s="736"/>
      <c r="AV188" s="736"/>
      <c r="AW188" s="736"/>
      <c r="AX188" s="736"/>
      <c r="AY188" s="736"/>
      <c r="AZ188" s="736"/>
      <c r="BA188" s="736"/>
      <c r="BB188" s="736"/>
      <c r="BC188" s="736"/>
      <c r="BD188" s="736"/>
      <c r="BE188" s="736"/>
      <c r="BF188" s="736"/>
      <c r="BG188" s="736"/>
      <c r="BH188" s="736"/>
      <c r="BI188" s="736"/>
      <c r="BJ188" s="736"/>
      <c r="BK188" s="736"/>
      <c r="BL188" s="736"/>
      <c r="BM188" s="736"/>
      <c r="BN188" s="736"/>
      <c r="BO188" s="736"/>
      <c r="BP188" s="736"/>
      <c r="BQ188" s="736"/>
      <c r="BR188" s="736"/>
      <c r="BS188" s="736"/>
      <c r="BT188" s="736"/>
    </row>
    <row r="189" spans="1:72" x14ac:dyDescent="0.25">
      <c r="A189" s="736" t="s">
        <v>496</v>
      </c>
      <c r="B189" s="736">
        <v>8.99</v>
      </c>
      <c r="C189" s="736">
        <v>10.53</v>
      </c>
      <c r="D189" s="736">
        <v>6.67</v>
      </c>
      <c r="E189" s="736">
        <v>7.08</v>
      </c>
      <c r="F189" s="736">
        <v>8.2100000000000009</v>
      </c>
      <c r="G189" s="736">
        <v>8.68</v>
      </c>
      <c r="H189" s="736">
        <v>8.67</v>
      </c>
      <c r="I189" s="736">
        <v>8.7799999999999994</v>
      </c>
      <c r="J189" s="736">
        <v>9.07</v>
      </c>
      <c r="K189" s="736">
        <v>9.33</v>
      </c>
      <c r="L189" s="736">
        <v>9.5</v>
      </c>
      <c r="M189" s="736">
        <v>9.73</v>
      </c>
      <c r="N189" s="736">
        <v>9.98</v>
      </c>
      <c r="O189" s="736">
        <v>10.32</v>
      </c>
      <c r="P189" s="736">
        <v>10.67</v>
      </c>
      <c r="Q189" s="736">
        <v>11.14</v>
      </c>
      <c r="R189" s="736">
        <v>11.42</v>
      </c>
      <c r="S189" s="736">
        <v>11.55</v>
      </c>
      <c r="T189" s="736">
        <v>11.88</v>
      </c>
      <c r="U189" s="736">
        <v>12.31</v>
      </c>
      <c r="V189" s="736">
        <v>12.79</v>
      </c>
      <c r="W189" s="736">
        <v>13.39</v>
      </c>
      <c r="X189" s="736">
        <v>14.02</v>
      </c>
      <c r="Y189" s="736">
        <v>14.7</v>
      </c>
      <c r="Z189" s="736">
        <v>15.51</v>
      </c>
      <c r="AA189" s="736">
        <v>16.05</v>
      </c>
      <c r="AB189" s="736">
        <v>16.46</v>
      </c>
      <c r="AC189" s="736">
        <v>17.12</v>
      </c>
      <c r="AD189" s="736">
        <v>17.71</v>
      </c>
      <c r="AE189" s="770">
        <v>1.9E-2</v>
      </c>
      <c r="AF189" s="736"/>
      <c r="AG189" s="736"/>
      <c r="AH189" s="736"/>
      <c r="AI189" s="736"/>
      <c r="AJ189" s="736"/>
      <c r="AK189" s="736"/>
      <c r="AL189" s="736"/>
      <c r="AM189" s="736"/>
      <c r="AN189" s="736"/>
      <c r="AO189" s="736"/>
      <c r="AP189" s="736"/>
      <c r="AQ189" s="736"/>
      <c r="AR189" s="736"/>
      <c r="AS189" s="736"/>
      <c r="AT189" s="736"/>
      <c r="AU189" s="736"/>
      <c r="AV189" s="736"/>
      <c r="AW189" s="736"/>
      <c r="AX189" s="736"/>
      <c r="AY189" s="736"/>
      <c r="AZ189" s="736"/>
      <c r="BA189" s="736"/>
      <c r="BB189" s="736"/>
      <c r="BC189" s="736"/>
      <c r="BD189" s="736"/>
      <c r="BE189" s="736"/>
      <c r="BF189" s="736"/>
      <c r="BG189" s="736"/>
      <c r="BH189" s="736"/>
      <c r="BI189" s="736"/>
      <c r="BJ189" s="736"/>
      <c r="BK189" s="736"/>
      <c r="BL189" s="736"/>
      <c r="BM189" s="736"/>
      <c r="BN189" s="736"/>
      <c r="BO189" s="736"/>
      <c r="BP189" s="736"/>
      <c r="BQ189" s="736"/>
      <c r="BR189" s="736"/>
      <c r="BS189" s="736"/>
      <c r="BT189" s="736"/>
    </row>
    <row r="190" spans="1:72" x14ac:dyDescent="0.25">
      <c r="A190" s="736" t="s">
        <v>599</v>
      </c>
      <c r="B190" s="736">
        <v>3.61</v>
      </c>
      <c r="C190" s="736">
        <v>4.49</v>
      </c>
      <c r="D190" s="736">
        <v>4.79</v>
      </c>
      <c r="E190" s="736">
        <v>4.9400000000000004</v>
      </c>
      <c r="F190" s="736">
        <v>5.07</v>
      </c>
      <c r="G190" s="736">
        <v>5.31</v>
      </c>
      <c r="H190" s="736">
        <v>5.44</v>
      </c>
      <c r="I190" s="736">
        <v>5.56</v>
      </c>
      <c r="J190" s="736">
        <v>5.66</v>
      </c>
      <c r="K190" s="736">
        <v>5.77</v>
      </c>
      <c r="L190" s="736">
        <v>5.97</v>
      </c>
      <c r="M190" s="736">
        <v>6.14</v>
      </c>
      <c r="N190" s="736">
        <v>6.34</v>
      </c>
      <c r="O190" s="736">
        <v>6.5</v>
      </c>
      <c r="P190" s="736">
        <v>6.68</v>
      </c>
      <c r="Q190" s="736">
        <v>6.84</v>
      </c>
      <c r="R190" s="736">
        <v>6.98</v>
      </c>
      <c r="S190" s="736">
        <v>7.07</v>
      </c>
      <c r="T190" s="736">
        <v>7.11</v>
      </c>
      <c r="U190" s="736">
        <v>7.15</v>
      </c>
      <c r="V190" s="736">
        <v>7.27</v>
      </c>
      <c r="W190" s="736">
        <v>7.43</v>
      </c>
      <c r="X190" s="736">
        <v>7.55</v>
      </c>
      <c r="Y190" s="736">
        <v>7.72</v>
      </c>
      <c r="Z190" s="736">
        <v>7.86</v>
      </c>
      <c r="AA190" s="736">
        <v>8.02</v>
      </c>
      <c r="AB190" s="736">
        <v>8.18</v>
      </c>
      <c r="AC190" s="736">
        <v>8.33</v>
      </c>
      <c r="AD190" s="736">
        <v>8.5</v>
      </c>
      <c r="AE190" s="770">
        <v>2.4E-2</v>
      </c>
      <c r="AF190" s="736"/>
      <c r="AG190" s="736"/>
      <c r="AH190" s="736"/>
      <c r="AI190" s="736"/>
      <c r="AJ190" s="736"/>
      <c r="AK190" s="736"/>
      <c r="AL190" s="736"/>
      <c r="AM190" s="736"/>
      <c r="AN190" s="736"/>
      <c r="AO190" s="736"/>
      <c r="AP190" s="736"/>
      <c r="AQ190" s="736"/>
      <c r="AR190" s="736"/>
      <c r="AS190" s="736"/>
      <c r="AT190" s="736"/>
      <c r="AU190" s="736"/>
      <c r="AV190" s="736"/>
      <c r="AW190" s="736"/>
      <c r="AX190" s="736"/>
      <c r="AY190" s="736"/>
      <c r="AZ190" s="736"/>
      <c r="BA190" s="736"/>
      <c r="BB190" s="736"/>
      <c r="BC190" s="736"/>
      <c r="BD190" s="736"/>
      <c r="BE190" s="736"/>
      <c r="BF190" s="736"/>
      <c r="BG190" s="736"/>
      <c r="BH190" s="736"/>
      <c r="BI190" s="736"/>
      <c r="BJ190" s="736"/>
      <c r="BK190" s="736"/>
      <c r="BL190" s="736"/>
      <c r="BM190" s="736"/>
      <c r="BN190" s="736"/>
      <c r="BO190" s="736"/>
      <c r="BP190" s="736"/>
      <c r="BQ190" s="736"/>
      <c r="BR190" s="736"/>
      <c r="BS190" s="736"/>
      <c r="BT190" s="736"/>
    </row>
    <row r="191" spans="1:72" x14ac:dyDescent="0.25">
      <c r="A191" s="736" t="s">
        <v>612</v>
      </c>
      <c r="B191" s="736">
        <v>1.8</v>
      </c>
      <c r="C191" s="736">
        <v>2.1</v>
      </c>
      <c r="D191" s="736">
        <v>2.2200000000000002</v>
      </c>
      <c r="E191" s="736">
        <v>2.09</v>
      </c>
      <c r="F191" s="736">
        <v>2.11</v>
      </c>
      <c r="G191" s="736">
        <v>2.14</v>
      </c>
      <c r="H191" s="736">
        <v>2.19</v>
      </c>
      <c r="I191" s="736">
        <v>2.23</v>
      </c>
      <c r="J191" s="736">
        <v>2.2799999999999998</v>
      </c>
      <c r="K191" s="736">
        <v>2.2999999999999998</v>
      </c>
      <c r="L191" s="736">
        <v>2.35</v>
      </c>
      <c r="M191" s="736">
        <v>2.39</v>
      </c>
      <c r="N191" s="736">
        <v>2.4300000000000002</v>
      </c>
      <c r="O191" s="736">
        <v>2.4700000000000002</v>
      </c>
      <c r="P191" s="736">
        <v>2.52</v>
      </c>
      <c r="Q191" s="736">
        <v>2.58</v>
      </c>
      <c r="R191" s="736">
        <v>2.64</v>
      </c>
      <c r="S191" s="736">
        <v>2.69</v>
      </c>
      <c r="T191" s="736">
        <v>2.74</v>
      </c>
      <c r="U191" s="736">
        <v>2.81</v>
      </c>
      <c r="V191" s="736">
        <v>2.87</v>
      </c>
      <c r="W191" s="736">
        <v>2.95</v>
      </c>
      <c r="X191" s="736">
        <v>3.03</v>
      </c>
      <c r="Y191" s="736">
        <v>3.11</v>
      </c>
      <c r="Z191" s="736">
        <v>3.2</v>
      </c>
      <c r="AA191" s="736">
        <v>3.28</v>
      </c>
      <c r="AB191" s="736">
        <v>3.37</v>
      </c>
      <c r="AC191" s="736">
        <v>3.46</v>
      </c>
      <c r="AD191" s="736">
        <v>3.56</v>
      </c>
      <c r="AE191" s="770">
        <v>0.02</v>
      </c>
      <c r="AF191" s="736"/>
      <c r="AG191" s="736"/>
      <c r="AH191" s="736"/>
      <c r="AI191" s="736"/>
      <c r="AJ191" s="736"/>
      <c r="AK191" s="736"/>
      <c r="AL191" s="736"/>
      <c r="AM191" s="736"/>
      <c r="AN191" s="736"/>
      <c r="AO191" s="736"/>
      <c r="AP191" s="736"/>
      <c r="AQ191" s="736"/>
      <c r="AR191" s="736"/>
      <c r="AS191" s="736"/>
      <c r="AT191" s="736"/>
      <c r="AU191" s="736"/>
      <c r="AV191" s="736"/>
      <c r="AW191" s="736"/>
      <c r="AX191" s="736"/>
      <c r="AY191" s="736"/>
      <c r="AZ191" s="736"/>
      <c r="BA191" s="736"/>
      <c r="BB191" s="736"/>
      <c r="BC191" s="736"/>
      <c r="BD191" s="736"/>
      <c r="BE191" s="736"/>
      <c r="BF191" s="736"/>
      <c r="BG191" s="736"/>
      <c r="BH191" s="736"/>
      <c r="BI191" s="736"/>
      <c r="BJ191" s="736"/>
      <c r="BK191" s="736"/>
      <c r="BL191" s="736"/>
      <c r="BM191" s="736"/>
      <c r="BN191" s="736"/>
      <c r="BO191" s="736"/>
      <c r="BP191" s="736"/>
      <c r="BQ191" s="736"/>
      <c r="BR191" s="736"/>
      <c r="BS191" s="736"/>
      <c r="BT191" s="736"/>
    </row>
    <row r="192" spans="1:72" x14ac:dyDescent="0.25">
      <c r="A192" s="736" t="s">
        <v>601</v>
      </c>
      <c r="B192" s="736" t="s">
        <v>773</v>
      </c>
      <c r="C192" s="736" t="s">
        <v>773</v>
      </c>
      <c r="D192" s="736" t="s">
        <v>773</v>
      </c>
      <c r="E192" s="736" t="s">
        <v>773</v>
      </c>
      <c r="F192" s="736">
        <v>1.32</v>
      </c>
      <c r="G192" s="736">
        <v>1.1000000000000001</v>
      </c>
      <c r="H192" s="736">
        <v>1.1200000000000001</v>
      </c>
      <c r="I192" s="736">
        <v>1.55</v>
      </c>
      <c r="J192" s="736">
        <v>1.58</v>
      </c>
      <c r="K192" s="736">
        <v>1.65</v>
      </c>
      <c r="L192" s="736">
        <v>1.72</v>
      </c>
      <c r="M192" s="736">
        <v>1.74</v>
      </c>
      <c r="N192" s="736">
        <v>1.76</v>
      </c>
      <c r="O192" s="736">
        <v>1.79</v>
      </c>
      <c r="P192" s="736">
        <v>1.86</v>
      </c>
      <c r="Q192" s="736">
        <v>1.91</v>
      </c>
      <c r="R192" s="736">
        <v>1.98</v>
      </c>
      <c r="S192" s="736">
        <v>1.99</v>
      </c>
      <c r="T192" s="736">
        <v>2.02</v>
      </c>
      <c r="U192" s="736">
        <v>2.04</v>
      </c>
      <c r="V192" s="736">
        <v>2.0699999999999998</v>
      </c>
      <c r="W192" s="736">
        <v>2.1</v>
      </c>
      <c r="X192" s="736">
        <v>2.13</v>
      </c>
      <c r="Y192" s="736">
        <v>2.1800000000000002</v>
      </c>
      <c r="Z192" s="736">
        <v>2.2200000000000002</v>
      </c>
      <c r="AA192" s="736">
        <v>2.2799999999999998</v>
      </c>
      <c r="AB192" s="736">
        <v>2.35</v>
      </c>
      <c r="AC192" s="736">
        <v>2.44</v>
      </c>
      <c r="AD192" s="736">
        <v>2.5299999999999998</v>
      </c>
      <c r="AE192" s="736" t="s">
        <v>773</v>
      </c>
      <c r="AF192" s="736"/>
      <c r="AG192" s="736"/>
      <c r="AH192" s="736"/>
      <c r="AI192" s="736"/>
      <c r="AJ192" s="736"/>
      <c r="AK192" s="736"/>
      <c r="AL192" s="736"/>
      <c r="AM192" s="736"/>
      <c r="AN192" s="736"/>
      <c r="AO192" s="736"/>
      <c r="AP192" s="736"/>
      <c r="AQ192" s="736"/>
      <c r="AR192" s="736"/>
      <c r="AS192" s="736"/>
      <c r="AT192" s="736"/>
      <c r="AU192" s="736"/>
      <c r="AV192" s="736"/>
      <c r="AW192" s="736"/>
      <c r="AX192" s="736"/>
      <c r="AY192" s="736"/>
      <c r="AZ192" s="736"/>
      <c r="BA192" s="736"/>
      <c r="BB192" s="736"/>
      <c r="BC192" s="736"/>
      <c r="BD192" s="736"/>
      <c r="BE192" s="736"/>
      <c r="BF192" s="736"/>
      <c r="BG192" s="736"/>
      <c r="BH192" s="736"/>
      <c r="BI192" s="736"/>
      <c r="BJ192" s="736"/>
      <c r="BK192" s="736"/>
      <c r="BL192" s="736"/>
      <c r="BM192" s="736"/>
      <c r="BN192" s="736"/>
      <c r="BO192" s="736"/>
      <c r="BP192" s="736"/>
      <c r="BQ192" s="736"/>
      <c r="BR192" s="736"/>
      <c r="BS192" s="736"/>
      <c r="BT192" s="736"/>
    </row>
    <row r="193" spans="1:72" x14ac:dyDescent="0.25">
      <c r="A193" s="736" t="s">
        <v>465</v>
      </c>
      <c r="B193" s="736">
        <v>26.66</v>
      </c>
      <c r="C193" s="736">
        <v>28.81</v>
      </c>
      <c r="D193" s="736">
        <v>28.5</v>
      </c>
      <c r="E193" s="736">
        <v>27.58</v>
      </c>
      <c r="F193" s="736">
        <v>26.29</v>
      </c>
      <c r="G193" s="736">
        <v>27.63</v>
      </c>
      <c r="H193" s="736">
        <v>28.19</v>
      </c>
      <c r="I193" s="736">
        <v>28.46</v>
      </c>
      <c r="J193" s="736">
        <v>28.92</v>
      </c>
      <c r="K193" s="736">
        <v>29.72</v>
      </c>
      <c r="L193" s="736">
        <v>30.45</v>
      </c>
      <c r="M193" s="736">
        <v>31.03</v>
      </c>
      <c r="N193" s="736">
        <v>31.53</v>
      </c>
      <c r="O193" s="736">
        <v>32.4</v>
      </c>
      <c r="P193" s="736">
        <v>33.33</v>
      </c>
      <c r="Q193" s="736">
        <v>34.229999999999997</v>
      </c>
      <c r="R193" s="736">
        <v>35.22</v>
      </c>
      <c r="S193" s="736">
        <v>36.159999999999997</v>
      </c>
      <c r="T193" s="736">
        <v>36.869999999999997</v>
      </c>
      <c r="U193" s="736">
        <v>37.86</v>
      </c>
      <c r="V193" s="736">
        <v>38.94</v>
      </c>
      <c r="W193" s="736">
        <v>40.090000000000003</v>
      </c>
      <c r="X193" s="736">
        <v>41.58</v>
      </c>
      <c r="Y193" s="736">
        <v>43</v>
      </c>
      <c r="Z193" s="736">
        <v>44.53</v>
      </c>
      <c r="AA193" s="736">
        <v>46.07</v>
      </c>
      <c r="AB193" s="736">
        <v>47.34</v>
      </c>
      <c r="AC193" s="736">
        <v>48.78</v>
      </c>
      <c r="AD193" s="736">
        <v>50.19</v>
      </c>
      <c r="AE193" s="770">
        <v>2.1000000000000001E-2</v>
      </c>
      <c r="AF193" s="736"/>
      <c r="AG193" s="736"/>
      <c r="AH193" s="736"/>
      <c r="AI193" s="736"/>
      <c r="AJ193" s="736"/>
      <c r="AK193" s="736"/>
      <c r="AL193" s="736"/>
      <c r="AM193" s="736"/>
      <c r="AN193" s="736"/>
      <c r="AO193" s="736"/>
      <c r="AP193" s="736"/>
      <c r="AQ193" s="736"/>
      <c r="AR193" s="736"/>
      <c r="AS193" s="736"/>
      <c r="AT193" s="736"/>
      <c r="AU193" s="736"/>
      <c r="AV193" s="736"/>
      <c r="AW193" s="736"/>
      <c r="AX193" s="736"/>
      <c r="AY193" s="736"/>
      <c r="AZ193" s="736"/>
      <c r="BA193" s="736"/>
      <c r="BB193" s="736"/>
      <c r="BC193" s="736"/>
      <c r="BD193" s="736"/>
      <c r="BE193" s="736"/>
      <c r="BF193" s="736"/>
      <c r="BG193" s="736"/>
      <c r="BH193" s="736"/>
      <c r="BI193" s="736"/>
      <c r="BJ193" s="736"/>
      <c r="BK193" s="736"/>
      <c r="BL193" s="736"/>
      <c r="BM193" s="736"/>
      <c r="BN193" s="736"/>
      <c r="BO193" s="736"/>
      <c r="BP193" s="736"/>
      <c r="BQ193" s="736"/>
      <c r="BR193" s="736"/>
      <c r="BS193" s="736"/>
      <c r="BT193" s="736"/>
    </row>
    <row r="194" spans="1:72" x14ac:dyDescent="0.25">
      <c r="A194" s="736"/>
      <c r="B194" s="736"/>
      <c r="C194" s="736"/>
      <c r="D194" s="736"/>
      <c r="E194" s="736"/>
      <c r="F194" s="736"/>
      <c r="G194" s="736"/>
      <c r="H194" s="736"/>
      <c r="I194" s="736"/>
      <c r="J194" s="736"/>
      <c r="K194" s="736"/>
      <c r="L194" s="736"/>
      <c r="M194" s="736"/>
      <c r="N194" s="736"/>
      <c r="O194" s="736"/>
      <c r="P194" s="736"/>
      <c r="Q194" s="736"/>
      <c r="R194" s="736"/>
      <c r="S194" s="736"/>
      <c r="T194" s="736"/>
      <c r="U194" s="736"/>
      <c r="V194" s="736"/>
      <c r="W194" s="736"/>
      <c r="X194" s="736"/>
      <c r="Y194" s="736"/>
      <c r="Z194" s="736"/>
      <c r="AA194" s="736"/>
      <c r="AB194" s="736"/>
      <c r="AC194" s="736"/>
      <c r="AD194" s="736"/>
      <c r="AE194" s="736"/>
      <c r="AF194" s="736"/>
      <c r="AG194" s="736"/>
      <c r="AH194" s="736"/>
      <c r="AI194" s="736"/>
      <c r="AJ194" s="736"/>
      <c r="AK194" s="736"/>
      <c r="AL194" s="736"/>
      <c r="AM194" s="736"/>
      <c r="AN194" s="736"/>
      <c r="AO194" s="736"/>
      <c r="AP194" s="736"/>
      <c r="AQ194" s="736"/>
      <c r="AR194" s="736"/>
      <c r="AS194" s="736"/>
      <c r="AT194" s="736"/>
      <c r="AU194" s="736"/>
      <c r="AV194" s="736"/>
      <c r="AW194" s="736"/>
      <c r="AX194" s="736"/>
      <c r="AY194" s="736"/>
      <c r="AZ194" s="736"/>
      <c r="BA194" s="736"/>
      <c r="BB194" s="736"/>
      <c r="BC194" s="736"/>
      <c r="BD194" s="736"/>
      <c r="BE194" s="736"/>
      <c r="BF194" s="736"/>
      <c r="BG194" s="736"/>
      <c r="BH194" s="736"/>
      <c r="BI194" s="736"/>
      <c r="BJ194" s="736"/>
      <c r="BK194" s="736"/>
      <c r="BL194" s="736"/>
      <c r="BM194" s="736"/>
      <c r="BN194" s="736"/>
      <c r="BO194" s="736"/>
      <c r="BP194" s="736"/>
      <c r="BQ194" s="736"/>
      <c r="BR194" s="736"/>
      <c r="BS194" s="736"/>
      <c r="BT194" s="736"/>
    </row>
    <row r="195" spans="1:72" x14ac:dyDescent="0.25">
      <c r="A195" s="736" t="s">
        <v>499</v>
      </c>
      <c r="B195" s="736"/>
      <c r="C195" s="736"/>
      <c r="D195" s="736"/>
      <c r="E195" s="736"/>
      <c r="F195" s="736"/>
      <c r="G195" s="736"/>
      <c r="H195" s="736"/>
      <c r="I195" s="736"/>
      <c r="J195" s="736"/>
      <c r="K195" s="736"/>
      <c r="L195" s="736"/>
      <c r="M195" s="736"/>
      <c r="N195" s="736"/>
      <c r="O195" s="736"/>
      <c r="P195" s="736"/>
      <c r="Q195" s="736"/>
      <c r="R195" s="736"/>
      <c r="S195" s="736"/>
      <c r="T195" s="736"/>
      <c r="U195" s="736"/>
      <c r="V195" s="736"/>
      <c r="W195" s="736"/>
      <c r="X195" s="736"/>
      <c r="Y195" s="736"/>
      <c r="Z195" s="736"/>
      <c r="AA195" s="736"/>
      <c r="AB195" s="736"/>
      <c r="AC195" s="736"/>
      <c r="AD195" s="736"/>
      <c r="AE195" s="736"/>
      <c r="AF195" s="736"/>
      <c r="AG195" s="736"/>
      <c r="AH195" s="736"/>
      <c r="AI195" s="736"/>
      <c r="AJ195" s="736"/>
      <c r="AK195" s="736"/>
      <c r="AL195" s="736"/>
      <c r="AM195" s="736"/>
      <c r="AN195" s="736"/>
      <c r="AO195" s="736"/>
      <c r="AP195" s="736"/>
      <c r="AQ195" s="736"/>
      <c r="AR195" s="736"/>
      <c r="AS195" s="736"/>
      <c r="AT195" s="736"/>
      <c r="AU195" s="736"/>
      <c r="AV195" s="736"/>
      <c r="AW195" s="736"/>
      <c r="AX195" s="736"/>
      <c r="AY195" s="736"/>
      <c r="AZ195" s="736"/>
      <c r="BA195" s="736"/>
      <c r="BB195" s="736"/>
      <c r="BC195" s="736"/>
      <c r="BD195" s="736"/>
      <c r="BE195" s="736"/>
      <c r="BF195" s="736"/>
      <c r="BG195" s="736"/>
      <c r="BH195" s="736"/>
      <c r="BI195" s="736"/>
      <c r="BJ195" s="736"/>
      <c r="BK195" s="736"/>
      <c r="BL195" s="736"/>
      <c r="BM195" s="736"/>
      <c r="BN195" s="736"/>
      <c r="BO195" s="736"/>
      <c r="BP195" s="736"/>
      <c r="BQ195" s="736"/>
      <c r="BR195" s="736"/>
      <c r="BS195" s="736"/>
      <c r="BT195" s="736"/>
    </row>
    <row r="196" spans="1:72" x14ac:dyDescent="0.25">
      <c r="A196" s="736" t="s">
        <v>712</v>
      </c>
      <c r="B196" s="736"/>
      <c r="C196" s="736"/>
      <c r="D196" s="736"/>
      <c r="E196" s="736"/>
      <c r="F196" s="736"/>
      <c r="G196" s="736"/>
      <c r="H196" s="736"/>
      <c r="I196" s="736"/>
      <c r="J196" s="736"/>
      <c r="K196" s="736"/>
      <c r="L196" s="736"/>
      <c r="M196" s="736"/>
      <c r="N196" s="736"/>
      <c r="O196" s="736"/>
      <c r="P196" s="736"/>
      <c r="Q196" s="736"/>
      <c r="R196" s="736"/>
      <c r="S196" s="736"/>
      <c r="T196" s="736"/>
      <c r="U196" s="736"/>
      <c r="V196" s="736"/>
      <c r="W196" s="736"/>
      <c r="X196" s="736"/>
      <c r="Y196" s="736"/>
      <c r="Z196" s="736"/>
      <c r="AA196" s="736"/>
      <c r="AB196" s="736"/>
      <c r="AC196" s="736"/>
      <c r="AD196" s="736"/>
      <c r="AE196" s="736"/>
      <c r="AF196" s="736"/>
      <c r="AG196" s="736"/>
      <c r="AH196" s="736"/>
      <c r="AI196" s="736"/>
      <c r="AJ196" s="736"/>
      <c r="AK196" s="736"/>
      <c r="AL196" s="736"/>
      <c r="AM196" s="736"/>
      <c r="AN196" s="736"/>
      <c r="AO196" s="736"/>
      <c r="AP196" s="736"/>
      <c r="AQ196" s="736"/>
      <c r="AR196" s="736"/>
      <c r="AS196" s="736"/>
      <c r="AT196" s="736"/>
      <c r="AU196" s="736"/>
      <c r="AV196" s="736"/>
      <c r="AW196" s="736"/>
      <c r="AX196" s="736"/>
      <c r="AY196" s="736"/>
      <c r="AZ196" s="736"/>
      <c r="BA196" s="736"/>
      <c r="BB196" s="736"/>
      <c r="BC196" s="736"/>
      <c r="BD196" s="736"/>
      <c r="BE196" s="736"/>
      <c r="BF196" s="736"/>
      <c r="BG196" s="736"/>
      <c r="BH196" s="736"/>
      <c r="BI196" s="736"/>
      <c r="BJ196" s="736"/>
      <c r="BK196" s="736"/>
      <c r="BL196" s="736"/>
      <c r="BM196" s="736"/>
      <c r="BN196" s="736"/>
      <c r="BO196" s="736"/>
      <c r="BP196" s="736"/>
      <c r="BQ196" s="736"/>
      <c r="BR196" s="736"/>
      <c r="BS196" s="736"/>
      <c r="BT196" s="736"/>
    </row>
    <row r="197" spans="1:72" x14ac:dyDescent="0.25">
      <c r="A197" s="736" t="s">
        <v>459</v>
      </c>
      <c r="B197" s="736">
        <v>236.38</v>
      </c>
      <c r="C197" s="736">
        <v>254.66</v>
      </c>
      <c r="D197" s="736">
        <v>235.17</v>
      </c>
      <c r="E197" s="736">
        <v>230.51</v>
      </c>
      <c r="F197" s="736">
        <v>232.31</v>
      </c>
      <c r="G197" s="736">
        <v>244.12</v>
      </c>
      <c r="H197" s="736">
        <v>246.57</v>
      </c>
      <c r="I197" s="736">
        <v>251.37</v>
      </c>
      <c r="J197" s="736">
        <v>257.29000000000002</v>
      </c>
      <c r="K197" s="736">
        <v>266.02999999999997</v>
      </c>
      <c r="L197" s="736">
        <v>273.52999999999997</v>
      </c>
      <c r="M197" s="736">
        <v>281.39999999999998</v>
      </c>
      <c r="N197" s="736">
        <v>289.27</v>
      </c>
      <c r="O197" s="736">
        <v>299.58999999999997</v>
      </c>
      <c r="P197" s="736">
        <v>309.45</v>
      </c>
      <c r="Q197" s="736">
        <v>320.3</v>
      </c>
      <c r="R197" s="736">
        <v>330.83</v>
      </c>
      <c r="S197" s="736">
        <v>341.36</v>
      </c>
      <c r="T197" s="736">
        <v>351.09</v>
      </c>
      <c r="U197" s="736">
        <v>363.72</v>
      </c>
      <c r="V197" s="736">
        <v>377.1</v>
      </c>
      <c r="W197" s="736">
        <v>392.03</v>
      </c>
      <c r="X197" s="736">
        <v>407.27</v>
      </c>
      <c r="Y197" s="736">
        <v>423.22</v>
      </c>
      <c r="Z197" s="736">
        <v>441.01</v>
      </c>
      <c r="AA197" s="736">
        <v>458.4</v>
      </c>
      <c r="AB197" s="736">
        <v>471.99</v>
      </c>
      <c r="AC197" s="736">
        <v>489.06</v>
      </c>
      <c r="AD197" s="736">
        <v>506.03</v>
      </c>
      <c r="AE197" s="770">
        <v>2.5999999999999999E-2</v>
      </c>
      <c r="AF197" s="736"/>
      <c r="AG197" s="736"/>
      <c r="AH197" s="736"/>
      <c r="AI197" s="736"/>
      <c r="AJ197" s="736"/>
      <c r="AK197" s="736"/>
      <c r="AL197" s="736"/>
      <c r="AM197" s="736"/>
      <c r="AN197" s="736"/>
      <c r="AO197" s="736"/>
      <c r="AP197" s="736"/>
      <c r="AQ197" s="736"/>
      <c r="AR197" s="736"/>
      <c r="AS197" s="736"/>
      <c r="AT197" s="736"/>
      <c r="AU197" s="736"/>
      <c r="AV197" s="736"/>
      <c r="AW197" s="736"/>
      <c r="AX197" s="736"/>
      <c r="AY197" s="736"/>
      <c r="AZ197" s="736"/>
      <c r="BA197" s="736"/>
      <c r="BB197" s="736"/>
      <c r="BC197" s="736"/>
      <c r="BD197" s="736"/>
      <c r="BE197" s="736"/>
      <c r="BF197" s="736"/>
      <c r="BG197" s="736"/>
      <c r="BH197" s="736"/>
      <c r="BI197" s="736"/>
      <c r="BJ197" s="736"/>
      <c r="BK197" s="736"/>
      <c r="BL197" s="736"/>
      <c r="BM197" s="736"/>
      <c r="BN197" s="736"/>
      <c r="BO197" s="736"/>
      <c r="BP197" s="736"/>
      <c r="BQ197" s="736"/>
      <c r="BR197" s="736"/>
      <c r="BS197" s="736"/>
      <c r="BT197" s="736"/>
    </row>
    <row r="198" spans="1:72" x14ac:dyDescent="0.25">
      <c r="A198" s="736" t="s">
        <v>466</v>
      </c>
      <c r="B198" s="736">
        <v>172.75</v>
      </c>
      <c r="C198" s="736">
        <v>191.19</v>
      </c>
      <c r="D198" s="736">
        <v>171.27</v>
      </c>
      <c r="E198" s="736">
        <v>168.36</v>
      </c>
      <c r="F198" s="736">
        <v>170.83</v>
      </c>
      <c r="G198" s="736">
        <v>182.74</v>
      </c>
      <c r="H198" s="736">
        <v>187.26</v>
      </c>
      <c r="I198" s="736">
        <v>190.86</v>
      </c>
      <c r="J198" s="736">
        <v>197.13</v>
      </c>
      <c r="K198" s="736">
        <v>205.11</v>
      </c>
      <c r="L198" s="736">
        <v>212.7</v>
      </c>
      <c r="M198" s="736">
        <v>219.88</v>
      </c>
      <c r="N198" s="736">
        <v>226.94</v>
      </c>
      <c r="O198" s="736">
        <v>236.05</v>
      </c>
      <c r="P198" s="736">
        <v>245.65</v>
      </c>
      <c r="Q198" s="736">
        <v>255.58</v>
      </c>
      <c r="R198" s="736">
        <v>265.91000000000003</v>
      </c>
      <c r="S198" s="736">
        <v>275.66000000000003</v>
      </c>
      <c r="T198" s="736">
        <v>285.08999999999997</v>
      </c>
      <c r="U198" s="736">
        <v>296.79000000000002</v>
      </c>
      <c r="V198" s="736">
        <v>309.27</v>
      </c>
      <c r="W198" s="736">
        <v>322.77</v>
      </c>
      <c r="X198" s="736">
        <v>338.69</v>
      </c>
      <c r="Y198" s="736">
        <v>354.37</v>
      </c>
      <c r="Z198" s="736">
        <v>371.75</v>
      </c>
      <c r="AA198" s="736">
        <v>388.64</v>
      </c>
      <c r="AB198" s="736">
        <v>403.84</v>
      </c>
      <c r="AC198" s="736">
        <v>421.34</v>
      </c>
      <c r="AD198" s="736">
        <v>438.74</v>
      </c>
      <c r="AE198" s="770">
        <v>3.1E-2</v>
      </c>
      <c r="AF198" s="736"/>
      <c r="AG198" s="736"/>
      <c r="AH198" s="736"/>
      <c r="AI198" s="736"/>
      <c r="AJ198" s="736"/>
      <c r="AK198" s="736"/>
      <c r="AL198" s="736"/>
      <c r="AM198" s="736"/>
      <c r="AN198" s="736"/>
      <c r="AO198" s="736"/>
      <c r="AP198" s="736"/>
      <c r="AQ198" s="736"/>
      <c r="AR198" s="736"/>
      <c r="AS198" s="736"/>
      <c r="AT198" s="736"/>
      <c r="AU198" s="736"/>
      <c r="AV198" s="736"/>
      <c r="AW198" s="736"/>
      <c r="AX198" s="736"/>
      <c r="AY198" s="736"/>
      <c r="AZ198" s="736"/>
      <c r="BA198" s="736"/>
      <c r="BB198" s="736"/>
      <c r="BC198" s="736"/>
      <c r="BD198" s="736"/>
      <c r="BE198" s="736"/>
      <c r="BF198" s="736"/>
      <c r="BG198" s="736"/>
      <c r="BH198" s="736"/>
      <c r="BI198" s="736"/>
      <c r="BJ198" s="736"/>
      <c r="BK198" s="736"/>
      <c r="BL198" s="736"/>
      <c r="BM198" s="736"/>
      <c r="BN198" s="736"/>
      <c r="BO198" s="736"/>
      <c r="BP198" s="736"/>
      <c r="BQ198" s="736"/>
      <c r="BR198" s="736"/>
      <c r="BS198" s="736"/>
      <c r="BT198" s="736"/>
    </row>
    <row r="199" spans="1:72" x14ac:dyDescent="0.25">
      <c r="A199" s="736" t="s">
        <v>501</v>
      </c>
      <c r="B199" s="736">
        <v>214.89</v>
      </c>
      <c r="C199" s="736">
        <v>244.81</v>
      </c>
      <c r="D199" s="736">
        <v>178.09</v>
      </c>
      <c r="E199" s="736">
        <v>168.16</v>
      </c>
      <c r="F199" s="736">
        <v>181.07</v>
      </c>
      <c r="G199" s="736">
        <v>202.87</v>
      </c>
      <c r="H199" s="736">
        <v>217.07</v>
      </c>
      <c r="I199" s="736">
        <v>227.35</v>
      </c>
      <c r="J199" s="736">
        <v>237.51</v>
      </c>
      <c r="K199" s="736">
        <v>248.26</v>
      </c>
      <c r="L199" s="736">
        <v>257.8</v>
      </c>
      <c r="M199" s="736">
        <v>268.36</v>
      </c>
      <c r="N199" s="736">
        <v>277.25</v>
      </c>
      <c r="O199" s="736">
        <v>287.02999999999997</v>
      </c>
      <c r="P199" s="736">
        <v>295.06</v>
      </c>
      <c r="Q199" s="736">
        <v>303.12</v>
      </c>
      <c r="R199" s="736">
        <v>311.48</v>
      </c>
      <c r="S199" s="736">
        <v>319.60000000000002</v>
      </c>
      <c r="T199" s="736">
        <v>328.09</v>
      </c>
      <c r="U199" s="736">
        <v>336.58</v>
      </c>
      <c r="V199" s="736">
        <v>346.81</v>
      </c>
      <c r="W199" s="736">
        <v>357.93</v>
      </c>
      <c r="X199" s="736">
        <v>370.58</v>
      </c>
      <c r="Y199" s="736">
        <v>382.62</v>
      </c>
      <c r="Z199" s="736">
        <v>397.61</v>
      </c>
      <c r="AA199" s="736">
        <v>409.44</v>
      </c>
      <c r="AB199" s="736">
        <v>421.52</v>
      </c>
      <c r="AC199" s="736">
        <v>436.23</v>
      </c>
      <c r="AD199" s="736">
        <v>449</v>
      </c>
      <c r="AE199" s="770">
        <v>2.3E-2</v>
      </c>
      <c r="AF199" s="736"/>
      <c r="AG199" s="736"/>
      <c r="AH199" s="736"/>
      <c r="AI199" s="736"/>
      <c r="AJ199" s="736"/>
      <c r="AK199" s="736"/>
      <c r="AL199" s="736"/>
      <c r="AM199" s="736"/>
      <c r="AN199" s="736"/>
      <c r="AO199" s="736"/>
      <c r="AP199" s="736"/>
      <c r="AQ199" s="736"/>
      <c r="AR199" s="736"/>
      <c r="AS199" s="736"/>
      <c r="AT199" s="736"/>
      <c r="AU199" s="736"/>
      <c r="AV199" s="736"/>
      <c r="AW199" s="736"/>
      <c r="AX199" s="736"/>
      <c r="AY199" s="736"/>
      <c r="AZ199" s="736"/>
      <c r="BA199" s="736"/>
      <c r="BB199" s="736"/>
      <c r="BC199" s="736"/>
      <c r="BD199" s="736"/>
      <c r="BE199" s="736"/>
      <c r="BF199" s="736"/>
      <c r="BG199" s="736"/>
      <c r="BH199" s="736"/>
      <c r="BI199" s="736"/>
      <c r="BJ199" s="736"/>
      <c r="BK199" s="736"/>
      <c r="BL199" s="736"/>
      <c r="BM199" s="736"/>
      <c r="BN199" s="736"/>
      <c r="BO199" s="736"/>
      <c r="BP199" s="736"/>
      <c r="BQ199" s="736"/>
      <c r="BR199" s="736"/>
      <c r="BS199" s="736"/>
      <c r="BT199" s="736"/>
    </row>
    <row r="200" spans="1:72" x14ac:dyDescent="0.25">
      <c r="A200" s="736" t="s">
        <v>473</v>
      </c>
      <c r="B200" s="736">
        <v>599.94000000000005</v>
      </c>
      <c r="C200" s="736">
        <v>705.86</v>
      </c>
      <c r="D200" s="736">
        <v>472.76</v>
      </c>
      <c r="E200" s="736">
        <v>523.54</v>
      </c>
      <c r="F200" s="736">
        <v>551.54</v>
      </c>
      <c r="G200" s="736">
        <v>600.52</v>
      </c>
      <c r="H200" s="736">
        <v>663.3</v>
      </c>
      <c r="I200" s="736">
        <v>702.29</v>
      </c>
      <c r="J200" s="736">
        <v>730.78</v>
      </c>
      <c r="K200" s="736">
        <v>762.17</v>
      </c>
      <c r="L200" s="736">
        <v>797.53</v>
      </c>
      <c r="M200" s="736">
        <v>828.81</v>
      </c>
      <c r="N200" s="736">
        <v>859.4</v>
      </c>
      <c r="O200" s="736">
        <v>891.87</v>
      </c>
      <c r="P200" s="736">
        <v>920.68</v>
      </c>
      <c r="Q200" s="736">
        <v>948.26</v>
      </c>
      <c r="R200" s="736">
        <v>986.59</v>
      </c>
      <c r="S200" s="736">
        <v>1021.27</v>
      </c>
      <c r="T200" s="736">
        <v>1062.24</v>
      </c>
      <c r="U200" s="736">
        <v>1101.69</v>
      </c>
      <c r="V200" s="736">
        <v>1143.03</v>
      </c>
      <c r="W200" s="736">
        <v>1188</v>
      </c>
      <c r="X200" s="736">
        <v>1232.23</v>
      </c>
      <c r="Y200" s="736">
        <v>1277.8499999999999</v>
      </c>
      <c r="Z200" s="736">
        <v>1321.12</v>
      </c>
      <c r="AA200" s="736">
        <v>1371.03</v>
      </c>
      <c r="AB200" s="736">
        <v>1423.78</v>
      </c>
      <c r="AC200" s="736">
        <v>1471.43</v>
      </c>
      <c r="AD200" s="736">
        <v>1525.95</v>
      </c>
      <c r="AE200" s="770">
        <v>2.9000000000000001E-2</v>
      </c>
      <c r="AF200" s="736"/>
      <c r="AG200" s="736"/>
      <c r="AH200" s="736"/>
      <c r="AI200" s="736"/>
      <c r="AJ200" s="736"/>
      <c r="AK200" s="736"/>
      <c r="AL200" s="736"/>
      <c r="AM200" s="736"/>
      <c r="AN200" s="736"/>
      <c r="AO200" s="736"/>
      <c r="AP200" s="736"/>
      <c r="AQ200" s="736"/>
      <c r="AR200" s="736"/>
      <c r="AS200" s="736"/>
      <c r="AT200" s="736"/>
      <c r="AU200" s="736"/>
      <c r="AV200" s="736"/>
      <c r="AW200" s="736"/>
      <c r="AX200" s="736"/>
      <c r="AY200" s="736"/>
      <c r="AZ200" s="736"/>
      <c r="BA200" s="736"/>
      <c r="BB200" s="736"/>
      <c r="BC200" s="736"/>
      <c r="BD200" s="736"/>
      <c r="BE200" s="736"/>
      <c r="BF200" s="736"/>
      <c r="BG200" s="736"/>
      <c r="BH200" s="736"/>
      <c r="BI200" s="736"/>
      <c r="BJ200" s="736"/>
      <c r="BK200" s="736"/>
      <c r="BL200" s="736"/>
      <c r="BM200" s="736"/>
      <c r="BN200" s="736"/>
      <c r="BO200" s="736"/>
      <c r="BP200" s="736"/>
      <c r="BQ200" s="736"/>
      <c r="BR200" s="736"/>
      <c r="BS200" s="736"/>
      <c r="BT200" s="736"/>
    </row>
    <row r="201" spans="1:72" x14ac:dyDescent="0.25">
      <c r="A201" s="736" t="s">
        <v>502</v>
      </c>
      <c r="B201" s="736">
        <v>1223.96</v>
      </c>
      <c r="C201" s="736">
        <v>1396.52</v>
      </c>
      <c r="D201" s="736">
        <v>1057.29</v>
      </c>
      <c r="E201" s="736">
        <v>1090.58</v>
      </c>
      <c r="F201" s="736">
        <v>1135.76</v>
      </c>
      <c r="G201" s="736">
        <v>1230.25</v>
      </c>
      <c r="H201" s="736">
        <v>1314.19</v>
      </c>
      <c r="I201" s="736">
        <v>1371.86</v>
      </c>
      <c r="J201" s="736">
        <v>1422.72</v>
      </c>
      <c r="K201" s="736">
        <v>1481.57</v>
      </c>
      <c r="L201" s="736">
        <v>1541.56</v>
      </c>
      <c r="M201" s="736">
        <v>1598.45</v>
      </c>
      <c r="N201" s="736">
        <v>1652.86</v>
      </c>
      <c r="O201" s="736">
        <v>1714.54</v>
      </c>
      <c r="P201" s="736">
        <v>1770.84</v>
      </c>
      <c r="Q201" s="736">
        <v>1827.25</v>
      </c>
      <c r="R201" s="736">
        <v>1894.81</v>
      </c>
      <c r="S201" s="736">
        <v>1957.89</v>
      </c>
      <c r="T201" s="736">
        <v>2026.51</v>
      </c>
      <c r="U201" s="736">
        <v>2098.7800000000002</v>
      </c>
      <c r="V201" s="736">
        <v>2176.1999999999998</v>
      </c>
      <c r="W201" s="736">
        <v>2260.73</v>
      </c>
      <c r="X201" s="736">
        <v>2348.7600000000002</v>
      </c>
      <c r="Y201" s="736">
        <v>2438.06</v>
      </c>
      <c r="Z201" s="736">
        <v>2531.5</v>
      </c>
      <c r="AA201" s="736">
        <v>2627.51</v>
      </c>
      <c r="AB201" s="736">
        <v>2721.14</v>
      </c>
      <c r="AC201" s="736">
        <v>2818.06</v>
      </c>
      <c r="AD201" s="736">
        <v>2919.72</v>
      </c>
      <c r="AE201" s="770">
        <v>2.8000000000000001E-2</v>
      </c>
      <c r="AF201" s="736"/>
      <c r="AG201" s="736"/>
      <c r="AH201" s="736"/>
      <c r="AI201" s="736"/>
      <c r="AJ201" s="736"/>
      <c r="AK201" s="736"/>
      <c r="AL201" s="736"/>
      <c r="AM201" s="736"/>
      <c r="AN201" s="736"/>
      <c r="AO201" s="736"/>
      <c r="AP201" s="736"/>
      <c r="AQ201" s="736"/>
      <c r="AR201" s="736"/>
      <c r="AS201" s="736"/>
      <c r="AT201" s="736"/>
      <c r="AU201" s="736"/>
      <c r="AV201" s="736"/>
      <c r="AW201" s="736"/>
      <c r="AX201" s="736"/>
      <c r="AY201" s="736"/>
      <c r="AZ201" s="736"/>
      <c r="BA201" s="736"/>
      <c r="BB201" s="736"/>
      <c r="BC201" s="736"/>
      <c r="BD201" s="736"/>
      <c r="BE201" s="736"/>
      <c r="BF201" s="736"/>
      <c r="BG201" s="736"/>
      <c r="BH201" s="736"/>
      <c r="BI201" s="736"/>
      <c r="BJ201" s="736"/>
      <c r="BK201" s="736"/>
      <c r="BL201" s="736"/>
      <c r="BM201" s="736"/>
      <c r="BN201" s="736"/>
      <c r="BO201" s="736"/>
      <c r="BP201" s="736"/>
      <c r="BQ201" s="736"/>
      <c r="BR201" s="736"/>
      <c r="BS201" s="736"/>
      <c r="BT201" s="736"/>
    </row>
    <row r="202" spans="1:72" x14ac:dyDescent="0.25">
      <c r="A202" s="736" t="s">
        <v>614</v>
      </c>
      <c r="B202" s="736">
        <v>0.04</v>
      </c>
      <c r="C202" s="736">
        <v>0.17</v>
      </c>
      <c r="D202" s="736">
        <v>0.04</v>
      </c>
      <c r="E202" s="736">
        <v>0.09</v>
      </c>
      <c r="F202" s="736">
        <v>0.11</v>
      </c>
      <c r="G202" s="736">
        <v>0.13</v>
      </c>
      <c r="H202" s="736">
        <v>0.16</v>
      </c>
      <c r="I202" s="736">
        <v>0.18</v>
      </c>
      <c r="J202" s="736">
        <v>0.24</v>
      </c>
      <c r="K202" s="736">
        <v>2.65</v>
      </c>
      <c r="L202" s="736">
        <v>3.64</v>
      </c>
      <c r="M202" s="736">
        <v>4.71</v>
      </c>
      <c r="N202" s="736">
        <v>6.36</v>
      </c>
      <c r="O202" s="736">
        <v>8.6999999999999993</v>
      </c>
      <c r="P202" s="736">
        <v>11.96</v>
      </c>
      <c r="Q202" s="736">
        <v>22.18</v>
      </c>
      <c r="R202" s="736">
        <v>20.28</v>
      </c>
      <c r="S202" s="736">
        <v>19.329999999999998</v>
      </c>
      <c r="T202" s="736">
        <v>20.440000000000001</v>
      </c>
      <c r="U202" s="736">
        <v>23.52</v>
      </c>
      <c r="V202" s="736">
        <v>26.81</v>
      </c>
      <c r="W202" s="736">
        <v>29.72</v>
      </c>
      <c r="X202" s="736">
        <v>34.94</v>
      </c>
      <c r="Y202" s="736">
        <v>37.81</v>
      </c>
      <c r="Z202" s="736">
        <v>49.23</v>
      </c>
      <c r="AA202" s="736">
        <v>57.96</v>
      </c>
      <c r="AB202" s="736">
        <v>65.66</v>
      </c>
      <c r="AC202" s="736">
        <v>79.569999999999993</v>
      </c>
      <c r="AD202" s="736">
        <v>94.81</v>
      </c>
      <c r="AE202" s="770">
        <v>0.26500000000000001</v>
      </c>
      <c r="AF202" s="736"/>
      <c r="AG202" s="736"/>
      <c r="AH202" s="736"/>
      <c r="AI202" s="736"/>
      <c r="AJ202" s="736"/>
      <c r="AK202" s="736"/>
      <c r="AL202" s="736"/>
      <c r="AM202" s="736"/>
      <c r="AN202" s="736"/>
      <c r="AO202" s="736"/>
      <c r="AP202" s="736"/>
      <c r="AQ202" s="736"/>
      <c r="AR202" s="736"/>
      <c r="AS202" s="736"/>
      <c r="AT202" s="736"/>
      <c r="AU202" s="736"/>
      <c r="AV202" s="736"/>
      <c r="AW202" s="736"/>
      <c r="AX202" s="736"/>
      <c r="AY202" s="736"/>
      <c r="AZ202" s="736"/>
      <c r="BA202" s="736"/>
      <c r="BB202" s="736"/>
      <c r="BC202" s="736"/>
      <c r="BD202" s="736"/>
      <c r="BE202" s="736"/>
      <c r="BF202" s="736"/>
      <c r="BG202" s="736"/>
      <c r="BH202" s="736"/>
      <c r="BI202" s="736"/>
      <c r="BJ202" s="736"/>
      <c r="BK202" s="736"/>
      <c r="BL202" s="736"/>
      <c r="BM202" s="736"/>
      <c r="BN202" s="736"/>
      <c r="BO202" s="736"/>
      <c r="BP202" s="736"/>
      <c r="BQ202" s="736"/>
      <c r="BR202" s="736"/>
      <c r="BS202" s="736"/>
      <c r="BT202" s="736"/>
    </row>
    <row r="203" spans="1:72" x14ac:dyDescent="0.25">
      <c r="A203" s="736" t="s">
        <v>504</v>
      </c>
      <c r="B203" s="736">
        <v>1224</v>
      </c>
      <c r="C203" s="736">
        <v>1396.69</v>
      </c>
      <c r="D203" s="736">
        <v>1057.33</v>
      </c>
      <c r="E203" s="736">
        <v>1090.67</v>
      </c>
      <c r="F203" s="736">
        <v>1135.8699999999999</v>
      </c>
      <c r="G203" s="736">
        <v>1230.3800000000001</v>
      </c>
      <c r="H203" s="736">
        <v>1314.36</v>
      </c>
      <c r="I203" s="736">
        <v>1372.05</v>
      </c>
      <c r="J203" s="736">
        <v>1422.95</v>
      </c>
      <c r="K203" s="736">
        <v>1484.22</v>
      </c>
      <c r="L203" s="736">
        <v>1545.2</v>
      </c>
      <c r="M203" s="736">
        <v>1603.16</v>
      </c>
      <c r="N203" s="736">
        <v>1659.22</v>
      </c>
      <c r="O203" s="736">
        <v>1723.24</v>
      </c>
      <c r="P203" s="736">
        <v>1782.8</v>
      </c>
      <c r="Q203" s="736">
        <v>1849.44</v>
      </c>
      <c r="R203" s="736">
        <v>1915.09</v>
      </c>
      <c r="S203" s="736">
        <v>1977.22</v>
      </c>
      <c r="T203" s="736">
        <v>2046.94</v>
      </c>
      <c r="U203" s="736">
        <v>2122.3000000000002</v>
      </c>
      <c r="V203" s="736">
        <v>2203.0100000000002</v>
      </c>
      <c r="W203" s="736">
        <v>2290.46</v>
      </c>
      <c r="X203" s="736">
        <v>2383.6999999999998</v>
      </c>
      <c r="Y203" s="736">
        <v>2475.87</v>
      </c>
      <c r="Z203" s="736">
        <v>2580.73</v>
      </c>
      <c r="AA203" s="736">
        <v>2685.47</v>
      </c>
      <c r="AB203" s="736">
        <v>2786.79</v>
      </c>
      <c r="AC203" s="736">
        <v>2897.63</v>
      </c>
      <c r="AD203" s="736">
        <v>3014.53</v>
      </c>
      <c r="AE203" s="770">
        <v>2.9000000000000001E-2</v>
      </c>
      <c r="AF203" s="736"/>
      <c r="AG203" s="736"/>
      <c r="AH203" s="736"/>
      <c r="AI203" s="736"/>
      <c r="AJ203" s="736"/>
      <c r="AK203" s="736"/>
      <c r="AL203" s="736"/>
      <c r="AM203" s="736"/>
      <c r="AN203" s="736"/>
      <c r="AO203" s="736"/>
      <c r="AP203" s="736"/>
      <c r="AQ203" s="736"/>
      <c r="AR203" s="736"/>
      <c r="AS203" s="736"/>
      <c r="AT203" s="736"/>
      <c r="AU203" s="736"/>
      <c r="AV203" s="736"/>
      <c r="AW203" s="736"/>
      <c r="AX203" s="736"/>
      <c r="AY203" s="736"/>
      <c r="AZ203" s="736"/>
      <c r="BA203" s="736"/>
      <c r="BB203" s="736"/>
      <c r="BC203" s="736"/>
      <c r="BD203" s="736"/>
      <c r="BE203" s="736"/>
      <c r="BF203" s="736"/>
      <c r="BG203" s="736"/>
      <c r="BH203" s="736"/>
      <c r="BI203" s="736"/>
      <c r="BJ203" s="736"/>
      <c r="BK203" s="736"/>
      <c r="BL203" s="736"/>
      <c r="BM203" s="736"/>
      <c r="BN203" s="736"/>
      <c r="BO203" s="736"/>
      <c r="BP203" s="736"/>
      <c r="BQ203" s="736"/>
      <c r="BR203" s="736"/>
      <c r="BS203" s="736"/>
      <c r="BT203" s="736"/>
    </row>
    <row r="204" spans="1:72" x14ac:dyDescent="0.25">
      <c r="A204" s="736"/>
      <c r="B204" s="736"/>
      <c r="C204" s="736"/>
      <c r="D204" s="736"/>
      <c r="E204" s="736"/>
      <c r="F204" s="736"/>
      <c r="G204" s="736"/>
      <c r="H204" s="736"/>
      <c r="I204" s="736"/>
      <c r="J204" s="736"/>
      <c r="K204" s="736"/>
      <c r="L204" s="736"/>
      <c r="M204" s="736"/>
      <c r="N204" s="736"/>
      <c r="O204" s="736"/>
      <c r="P204" s="736"/>
      <c r="Q204" s="736"/>
      <c r="R204" s="736"/>
      <c r="S204" s="736"/>
      <c r="T204" s="736"/>
      <c r="U204" s="736"/>
      <c r="V204" s="736"/>
      <c r="W204" s="736"/>
      <c r="X204" s="736"/>
      <c r="Y204" s="736"/>
      <c r="Z204" s="736"/>
      <c r="AA204" s="736"/>
      <c r="AB204" s="736"/>
      <c r="AC204" s="736"/>
      <c r="AD204" s="736"/>
      <c r="AE204" s="736"/>
      <c r="AF204" s="736"/>
      <c r="AG204" s="736"/>
      <c r="AH204" s="736"/>
      <c r="AI204" s="736"/>
      <c r="AJ204" s="736"/>
      <c r="AK204" s="736"/>
      <c r="AL204" s="736"/>
      <c r="AM204" s="736"/>
      <c r="AN204" s="736"/>
      <c r="AO204" s="736"/>
      <c r="AP204" s="736"/>
      <c r="AQ204" s="736"/>
      <c r="AR204" s="736"/>
      <c r="AS204" s="736"/>
      <c r="AT204" s="736"/>
      <c r="AU204" s="736"/>
      <c r="AV204" s="736"/>
      <c r="AW204" s="736"/>
      <c r="AX204" s="736"/>
      <c r="AY204" s="736"/>
      <c r="AZ204" s="736"/>
      <c r="BA204" s="736"/>
      <c r="BB204" s="736"/>
      <c r="BC204" s="736"/>
      <c r="BD204" s="736"/>
      <c r="BE204" s="736"/>
      <c r="BF204" s="736"/>
      <c r="BG204" s="736"/>
      <c r="BH204" s="736"/>
      <c r="BI204" s="736"/>
      <c r="BJ204" s="736"/>
      <c r="BK204" s="736"/>
      <c r="BL204" s="736"/>
      <c r="BM204" s="736"/>
      <c r="BN204" s="736"/>
      <c r="BO204" s="736"/>
      <c r="BP204" s="736"/>
      <c r="BQ204" s="736"/>
      <c r="BR204" s="736"/>
      <c r="BS204" s="736"/>
      <c r="BT204" s="736"/>
    </row>
    <row r="205" spans="1:72" x14ac:dyDescent="0.25">
      <c r="A205" s="736"/>
      <c r="B205" s="736"/>
      <c r="C205" s="736"/>
      <c r="D205" s="736"/>
      <c r="E205" s="736"/>
      <c r="F205" s="736"/>
      <c r="G205" s="736"/>
      <c r="H205" s="736"/>
      <c r="I205" s="736"/>
      <c r="J205" s="736"/>
      <c r="K205" s="736"/>
      <c r="L205" s="736"/>
      <c r="M205" s="736"/>
      <c r="N205" s="736"/>
      <c r="O205" s="736"/>
      <c r="P205" s="736"/>
      <c r="Q205" s="736"/>
      <c r="R205" s="736"/>
      <c r="S205" s="736"/>
      <c r="T205" s="736"/>
      <c r="U205" s="736"/>
      <c r="V205" s="736"/>
      <c r="W205" s="736"/>
      <c r="X205" s="736"/>
      <c r="Y205" s="736"/>
      <c r="Z205" s="736"/>
      <c r="AA205" s="736"/>
      <c r="AB205" s="736"/>
      <c r="AC205" s="736"/>
      <c r="AD205" s="736"/>
      <c r="AE205" s="736"/>
      <c r="AF205" s="736"/>
      <c r="AG205" s="736"/>
      <c r="AH205" s="736"/>
      <c r="AI205" s="736"/>
      <c r="AJ205" s="736"/>
      <c r="AK205" s="736"/>
      <c r="AL205" s="736"/>
      <c r="AM205" s="736"/>
      <c r="AN205" s="736"/>
      <c r="AO205" s="736"/>
      <c r="AP205" s="736"/>
      <c r="AQ205" s="736"/>
      <c r="AR205" s="736"/>
      <c r="AS205" s="736"/>
      <c r="AT205" s="736"/>
      <c r="AU205" s="736"/>
      <c r="AV205" s="736"/>
      <c r="AW205" s="736"/>
      <c r="AX205" s="736"/>
      <c r="AY205" s="736"/>
      <c r="AZ205" s="736"/>
      <c r="BA205" s="736"/>
      <c r="BB205" s="736"/>
      <c r="BC205" s="736"/>
      <c r="BD205" s="736"/>
      <c r="BE205" s="736"/>
      <c r="BF205" s="736"/>
      <c r="BG205" s="736"/>
      <c r="BH205" s="736"/>
      <c r="BI205" s="736"/>
      <c r="BJ205" s="736"/>
      <c r="BK205" s="736"/>
      <c r="BL205" s="736"/>
      <c r="BM205" s="736"/>
      <c r="BN205" s="736"/>
      <c r="BO205" s="736"/>
      <c r="BP205" s="736"/>
      <c r="BQ205" s="736"/>
      <c r="BR205" s="736"/>
      <c r="BS205" s="736"/>
      <c r="BT205" s="736"/>
    </row>
    <row r="206" spans="1:72" x14ac:dyDescent="0.25">
      <c r="A206" s="736"/>
      <c r="B206" s="736"/>
      <c r="C206" s="736"/>
      <c r="D206" s="736"/>
      <c r="E206" s="736"/>
      <c r="F206" s="736"/>
      <c r="G206" s="736"/>
      <c r="H206" s="736"/>
      <c r="I206" s="736"/>
      <c r="J206" s="736"/>
      <c r="K206" s="736"/>
      <c r="L206" s="736"/>
      <c r="M206" s="736"/>
      <c r="N206" s="736"/>
      <c r="O206" s="736"/>
      <c r="P206" s="736"/>
      <c r="Q206" s="736"/>
      <c r="R206" s="736"/>
      <c r="S206" s="736"/>
      <c r="T206" s="736"/>
      <c r="U206" s="736"/>
      <c r="V206" s="736"/>
      <c r="W206" s="736"/>
      <c r="X206" s="736"/>
      <c r="Y206" s="736"/>
      <c r="Z206" s="736"/>
      <c r="AA206" s="736"/>
      <c r="AB206" s="736"/>
      <c r="AC206" s="736"/>
      <c r="AD206" s="736"/>
      <c r="AE206" s="736"/>
      <c r="AF206" s="736"/>
      <c r="AG206" s="736"/>
      <c r="AH206" s="736"/>
      <c r="AI206" s="736"/>
      <c r="AJ206" s="736"/>
      <c r="AK206" s="736"/>
      <c r="AL206" s="736"/>
      <c r="AM206" s="736"/>
      <c r="AN206" s="736"/>
      <c r="AO206" s="736"/>
      <c r="AP206" s="736"/>
      <c r="AQ206" s="736"/>
      <c r="AR206" s="736"/>
      <c r="AS206" s="736"/>
      <c r="AT206" s="736"/>
      <c r="AU206" s="736"/>
      <c r="AV206" s="736"/>
      <c r="AW206" s="736"/>
      <c r="AX206" s="736"/>
      <c r="AY206" s="736"/>
      <c r="AZ206" s="736"/>
      <c r="BA206" s="736"/>
      <c r="BB206" s="736"/>
      <c r="BC206" s="736"/>
      <c r="BD206" s="736"/>
      <c r="BE206" s="736"/>
      <c r="BF206" s="736"/>
      <c r="BG206" s="736"/>
      <c r="BH206" s="736"/>
      <c r="BI206" s="736"/>
      <c r="BJ206" s="736"/>
      <c r="BK206" s="736"/>
      <c r="BL206" s="736"/>
      <c r="BM206" s="736"/>
      <c r="BN206" s="736"/>
      <c r="BO206" s="736"/>
      <c r="BP206" s="736"/>
      <c r="BQ206" s="736"/>
      <c r="BR206" s="736"/>
      <c r="BS206" s="736"/>
      <c r="BT206" s="736"/>
    </row>
    <row r="207" spans="1:72" x14ac:dyDescent="0.25">
      <c r="A207" s="736" t="s">
        <v>615</v>
      </c>
      <c r="B207" s="736"/>
      <c r="C207" s="736"/>
      <c r="D207" s="736"/>
      <c r="E207" s="736"/>
      <c r="F207" s="736"/>
      <c r="G207" s="736"/>
      <c r="H207" s="736"/>
      <c r="I207" s="736"/>
      <c r="J207" s="736"/>
      <c r="K207" s="736"/>
      <c r="L207" s="736"/>
      <c r="M207" s="736"/>
      <c r="N207" s="736"/>
      <c r="O207" s="736"/>
      <c r="P207" s="736"/>
      <c r="Q207" s="736"/>
      <c r="R207" s="736"/>
      <c r="S207" s="736"/>
      <c r="T207" s="736"/>
      <c r="U207" s="736"/>
      <c r="V207" s="736"/>
      <c r="W207" s="736"/>
      <c r="X207" s="736"/>
      <c r="Y207" s="736"/>
      <c r="Z207" s="736"/>
      <c r="AA207" s="736"/>
      <c r="AB207" s="736"/>
      <c r="AC207" s="736"/>
      <c r="AD207" s="736"/>
      <c r="AE207" s="736"/>
      <c r="AF207" s="736"/>
      <c r="AG207" s="736"/>
      <c r="AH207" s="736"/>
      <c r="AI207" s="736"/>
      <c r="AJ207" s="736"/>
      <c r="AK207" s="736"/>
      <c r="AL207" s="736"/>
      <c r="AM207" s="736"/>
      <c r="AN207" s="736"/>
      <c r="AO207" s="736"/>
      <c r="AP207" s="736"/>
      <c r="AQ207" s="736"/>
      <c r="AR207" s="736"/>
      <c r="AS207" s="736"/>
      <c r="AT207" s="736"/>
      <c r="AU207" s="736"/>
      <c r="AV207" s="736"/>
      <c r="AW207" s="736"/>
      <c r="AX207" s="736"/>
      <c r="AY207" s="736"/>
      <c r="AZ207" s="736"/>
      <c r="BA207" s="736"/>
      <c r="BB207" s="736"/>
      <c r="BC207" s="736"/>
      <c r="BD207" s="736"/>
      <c r="BE207" s="736"/>
      <c r="BF207" s="736"/>
      <c r="BG207" s="736"/>
      <c r="BH207" s="736"/>
      <c r="BI207" s="736"/>
      <c r="BJ207" s="736"/>
      <c r="BK207" s="736"/>
      <c r="BL207" s="736"/>
      <c r="BM207" s="736"/>
      <c r="BN207" s="736"/>
      <c r="BO207" s="736"/>
      <c r="BP207" s="736"/>
      <c r="BQ207" s="736"/>
      <c r="BR207" s="736"/>
      <c r="BS207" s="736"/>
      <c r="BT207" s="736"/>
    </row>
    <row r="208" spans="1:72" x14ac:dyDescent="0.25">
      <c r="A208" s="736" t="s">
        <v>616</v>
      </c>
      <c r="B208" s="736"/>
      <c r="C208" s="736"/>
      <c r="D208" s="736"/>
      <c r="E208" s="736"/>
      <c r="F208" s="736"/>
      <c r="G208" s="736"/>
      <c r="H208" s="736"/>
      <c r="I208" s="736"/>
      <c r="J208" s="736"/>
      <c r="K208" s="736"/>
      <c r="L208" s="736"/>
      <c r="M208" s="736"/>
      <c r="N208" s="736"/>
      <c r="O208" s="736"/>
      <c r="P208" s="736"/>
      <c r="Q208" s="736"/>
      <c r="R208" s="736"/>
      <c r="S208" s="736"/>
      <c r="T208" s="736"/>
      <c r="U208" s="736"/>
      <c r="V208" s="736"/>
      <c r="W208" s="736"/>
      <c r="X208" s="736"/>
      <c r="Y208" s="736"/>
      <c r="Z208" s="736"/>
      <c r="AA208" s="736"/>
      <c r="AB208" s="736"/>
      <c r="AC208" s="736"/>
      <c r="AD208" s="736"/>
      <c r="AE208" s="736"/>
      <c r="AF208" s="736"/>
      <c r="AG208" s="736"/>
      <c r="AH208" s="736"/>
      <c r="AI208" s="736"/>
      <c r="AJ208" s="736"/>
      <c r="AK208" s="736"/>
      <c r="AL208" s="736"/>
      <c r="AM208" s="736"/>
      <c r="AN208" s="736"/>
      <c r="AO208" s="736"/>
      <c r="AP208" s="736"/>
      <c r="AQ208" s="736"/>
      <c r="AR208" s="736"/>
      <c r="AS208" s="736"/>
      <c r="AT208" s="736"/>
      <c r="AU208" s="736"/>
      <c r="AV208" s="736"/>
      <c r="AW208" s="736"/>
      <c r="AX208" s="736"/>
      <c r="AY208" s="736"/>
      <c r="AZ208" s="736"/>
      <c r="BA208" s="736"/>
      <c r="BB208" s="736"/>
      <c r="BC208" s="736"/>
      <c r="BD208" s="736"/>
      <c r="BE208" s="736"/>
      <c r="BF208" s="736"/>
      <c r="BG208" s="736"/>
      <c r="BH208" s="736"/>
      <c r="BI208" s="736"/>
      <c r="BJ208" s="736"/>
      <c r="BK208" s="736"/>
      <c r="BL208" s="736"/>
      <c r="BM208" s="736"/>
      <c r="BN208" s="736"/>
      <c r="BO208" s="736"/>
      <c r="BP208" s="736"/>
      <c r="BQ208" s="736"/>
      <c r="BR208" s="736"/>
      <c r="BS208" s="736"/>
      <c r="BT208" s="736"/>
    </row>
    <row r="209" spans="1:72" x14ac:dyDescent="0.25">
      <c r="A209" s="736" t="s">
        <v>617</v>
      </c>
      <c r="B209" s="736"/>
      <c r="C209" s="736"/>
      <c r="D209" s="736"/>
      <c r="E209" s="736"/>
      <c r="F209" s="736"/>
      <c r="G209" s="736"/>
      <c r="H209" s="736"/>
      <c r="I209" s="736"/>
      <c r="J209" s="736"/>
      <c r="K209" s="736"/>
      <c r="L209" s="736"/>
      <c r="M209" s="736"/>
      <c r="N209" s="736"/>
      <c r="O209" s="736"/>
      <c r="P209" s="736"/>
      <c r="Q209" s="736"/>
      <c r="R209" s="736"/>
      <c r="S209" s="736"/>
      <c r="T209" s="736"/>
      <c r="U209" s="736"/>
      <c r="V209" s="736"/>
      <c r="W209" s="736"/>
      <c r="X209" s="736"/>
      <c r="Y209" s="736"/>
      <c r="Z209" s="736"/>
      <c r="AA209" s="736"/>
      <c r="AB209" s="736"/>
      <c r="AC209" s="736"/>
      <c r="AD209" s="736"/>
      <c r="AE209" s="736"/>
      <c r="AF209" s="736"/>
      <c r="AG209" s="736"/>
      <c r="AH209" s="736"/>
      <c r="AI209" s="736"/>
      <c r="AJ209" s="736"/>
      <c r="AK209" s="736"/>
      <c r="AL209" s="736"/>
      <c r="AM209" s="736"/>
      <c r="AN209" s="736"/>
      <c r="AO209" s="736"/>
      <c r="AP209" s="736"/>
      <c r="AQ209" s="736"/>
      <c r="AR209" s="736"/>
      <c r="AS209" s="736"/>
      <c r="AT209" s="736"/>
      <c r="AU209" s="736"/>
      <c r="AV209" s="736"/>
      <c r="AW209" s="736"/>
      <c r="AX209" s="736"/>
      <c r="AY209" s="736"/>
      <c r="AZ209" s="736"/>
      <c r="BA209" s="736"/>
      <c r="BB209" s="736"/>
      <c r="BC209" s="736"/>
      <c r="BD209" s="736"/>
      <c r="BE209" s="736"/>
      <c r="BF209" s="736"/>
      <c r="BG209" s="736"/>
      <c r="BH209" s="736"/>
      <c r="BI209" s="736"/>
      <c r="BJ209" s="736"/>
      <c r="BK209" s="736"/>
      <c r="BL209" s="736"/>
      <c r="BM209" s="736"/>
      <c r="BN209" s="736"/>
      <c r="BO209" s="736"/>
      <c r="BP209" s="736"/>
      <c r="BQ209" s="736"/>
      <c r="BR209" s="736"/>
      <c r="BS209" s="736"/>
      <c r="BT209" s="736"/>
    </row>
    <row r="210" spans="1:72" x14ac:dyDescent="0.25">
      <c r="A210" s="736" t="s">
        <v>775</v>
      </c>
      <c r="B210" s="736"/>
      <c r="C210" s="736"/>
      <c r="D210" s="736"/>
      <c r="E210" s="736"/>
      <c r="F210" s="736"/>
      <c r="G210" s="736"/>
      <c r="H210" s="736"/>
      <c r="I210" s="736"/>
      <c r="J210" s="736"/>
      <c r="K210" s="736"/>
      <c r="L210" s="736"/>
      <c r="M210" s="736"/>
      <c r="N210" s="736"/>
      <c r="O210" s="736"/>
      <c r="P210" s="736"/>
      <c r="Q210" s="736"/>
      <c r="R210" s="736"/>
      <c r="S210" s="736"/>
      <c r="T210" s="736"/>
      <c r="U210" s="736"/>
      <c r="V210" s="736"/>
      <c r="W210" s="736"/>
      <c r="X210" s="736"/>
      <c r="Y210" s="736"/>
      <c r="Z210" s="736"/>
      <c r="AA210" s="736"/>
      <c r="AB210" s="736"/>
      <c r="AC210" s="736"/>
      <c r="AD210" s="736"/>
      <c r="AE210" s="736"/>
      <c r="AF210" s="736"/>
      <c r="AG210" s="736"/>
      <c r="AH210" s="736"/>
      <c r="AI210" s="736"/>
      <c r="AJ210" s="736"/>
      <c r="AK210" s="736"/>
      <c r="AL210" s="736"/>
      <c r="AM210" s="736"/>
      <c r="AN210" s="736"/>
      <c r="AO210" s="736"/>
      <c r="AP210" s="736"/>
      <c r="AQ210" s="736"/>
      <c r="AR210" s="736"/>
      <c r="AS210" s="736"/>
      <c r="AT210" s="736"/>
      <c r="AU210" s="736"/>
      <c r="AV210" s="736"/>
      <c r="AW210" s="736"/>
      <c r="AX210" s="736"/>
      <c r="AY210" s="736"/>
      <c r="AZ210" s="736"/>
      <c r="BA210" s="736"/>
      <c r="BB210" s="736"/>
      <c r="BC210" s="736"/>
      <c r="BD210" s="736"/>
      <c r="BE210" s="736"/>
      <c r="BF210" s="736"/>
      <c r="BG210" s="736"/>
      <c r="BH210" s="736"/>
      <c r="BI210" s="736"/>
      <c r="BJ210" s="736"/>
      <c r="BK210" s="736"/>
      <c r="BL210" s="736"/>
      <c r="BM210" s="736"/>
      <c r="BN210" s="736"/>
      <c r="BO210" s="736"/>
      <c r="BP210" s="736"/>
      <c r="BQ210" s="736"/>
      <c r="BR210" s="736"/>
      <c r="BS210" s="736"/>
      <c r="BT210" s="736"/>
    </row>
    <row r="211" spans="1:72" x14ac:dyDescent="0.25">
      <c r="A211" s="736" t="s">
        <v>776</v>
      </c>
      <c r="B211" s="736"/>
      <c r="C211" s="736"/>
      <c r="D211" s="736"/>
      <c r="E211" s="736"/>
      <c r="F211" s="736"/>
      <c r="G211" s="736"/>
      <c r="H211" s="736"/>
      <c r="I211" s="736"/>
      <c r="J211" s="736"/>
      <c r="K211" s="736"/>
      <c r="L211" s="736"/>
      <c r="M211" s="736"/>
      <c r="N211" s="736"/>
      <c r="O211" s="736"/>
      <c r="P211" s="736"/>
      <c r="Q211" s="736"/>
      <c r="R211" s="736"/>
      <c r="S211" s="736"/>
      <c r="T211" s="736"/>
      <c r="U211" s="736"/>
      <c r="V211" s="736"/>
      <c r="W211" s="736"/>
      <c r="X211" s="736"/>
      <c r="Y211" s="736"/>
      <c r="Z211" s="736"/>
      <c r="AA211" s="736"/>
      <c r="AB211" s="736"/>
      <c r="AC211" s="736"/>
      <c r="AD211" s="736"/>
      <c r="AE211" s="736"/>
      <c r="AF211" s="736"/>
      <c r="AG211" s="736"/>
      <c r="AH211" s="736"/>
      <c r="AI211" s="736"/>
      <c r="AJ211" s="736"/>
      <c r="AK211" s="736"/>
      <c r="AL211" s="736"/>
      <c r="AM211" s="736"/>
      <c r="AN211" s="736"/>
      <c r="AO211" s="736"/>
      <c r="AP211" s="736"/>
      <c r="AQ211" s="736"/>
      <c r="AR211" s="736"/>
      <c r="AS211" s="736"/>
      <c r="AT211" s="736"/>
      <c r="AU211" s="736"/>
      <c r="AV211" s="736"/>
      <c r="AW211" s="736"/>
      <c r="AX211" s="736"/>
      <c r="AY211" s="736"/>
      <c r="AZ211" s="736"/>
      <c r="BA211" s="736"/>
      <c r="BB211" s="736"/>
      <c r="BC211" s="736"/>
      <c r="BD211" s="736"/>
      <c r="BE211" s="736"/>
      <c r="BF211" s="736"/>
      <c r="BG211" s="736"/>
      <c r="BH211" s="736"/>
      <c r="BI211" s="736"/>
      <c r="BJ211" s="736"/>
      <c r="BK211" s="736"/>
      <c r="BL211" s="736"/>
      <c r="BM211" s="736"/>
      <c r="BN211" s="736"/>
      <c r="BO211" s="736"/>
      <c r="BP211" s="736"/>
      <c r="BQ211" s="736"/>
      <c r="BR211" s="736"/>
      <c r="BS211" s="736"/>
      <c r="BT211" s="736"/>
    </row>
    <row r="212" spans="1:72" x14ac:dyDescent="0.25">
      <c r="A212" s="736" t="s">
        <v>634</v>
      </c>
      <c r="B212" s="736"/>
      <c r="C212" s="736"/>
      <c r="D212" s="736"/>
      <c r="E212" s="736"/>
      <c r="F212" s="736"/>
      <c r="G212" s="736"/>
      <c r="H212" s="736"/>
      <c r="I212" s="736"/>
      <c r="J212" s="736"/>
      <c r="K212" s="736"/>
      <c r="L212" s="736"/>
      <c r="M212" s="736"/>
      <c r="N212" s="736"/>
      <c r="O212" s="736"/>
      <c r="P212" s="736"/>
      <c r="Q212" s="736"/>
      <c r="R212" s="736"/>
      <c r="S212" s="736"/>
      <c r="T212" s="736"/>
      <c r="U212" s="736"/>
      <c r="V212" s="736"/>
      <c r="W212" s="736"/>
      <c r="X212" s="736"/>
      <c r="Y212" s="736"/>
      <c r="Z212" s="736"/>
      <c r="AA212" s="736"/>
      <c r="AB212" s="736"/>
      <c r="AC212" s="736"/>
      <c r="AD212" s="736"/>
      <c r="AE212" s="736"/>
      <c r="AF212" s="736"/>
      <c r="AG212" s="736"/>
      <c r="AH212" s="736"/>
      <c r="AI212" s="736"/>
      <c r="AJ212" s="736"/>
      <c r="AK212" s="736"/>
      <c r="AL212" s="736"/>
      <c r="AM212" s="736"/>
      <c r="AN212" s="736"/>
      <c r="AO212" s="736"/>
      <c r="AP212" s="736"/>
      <c r="AQ212" s="736"/>
      <c r="AR212" s="736"/>
      <c r="AS212" s="736"/>
      <c r="AT212" s="736"/>
      <c r="AU212" s="736"/>
      <c r="AV212" s="736"/>
      <c r="AW212" s="736"/>
      <c r="AX212" s="736"/>
      <c r="AY212" s="736"/>
      <c r="AZ212" s="736"/>
      <c r="BA212" s="736"/>
      <c r="BB212" s="736"/>
      <c r="BC212" s="736"/>
      <c r="BD212" s="736"/>
      <c r="BE212" s="736"/>
      <c r="BF212" s="736"/>
      <c r="BG212" s="736"/>
      <c r="BH212" s="736"/>
      <c r="BI212" s="736"/>
      <c r="BJ212" s="736"/>
      <c r="BK212" s="736"/>
      <c r="BL212" s="736"/>
      <c r="BM212" s="736"/>
      <c r="BN212" s="736"/>
      <c r="BO212" s="736"/>
      <c r="BP212" s="736"/>
      <c r="BQ212" s="736"/>
      <c r="BR212" s="736"/>
      <c r="BS212" s="736"/>
      <c r="BT212" s="736"/>
    </row>
    <row r="213" spans="1:72" x14ac:dyDescent="0.25">
      <c r="A213" s="736" t="s">
        <v>635</v>
      </c>
      <c r="B213" s="736"/>
      <c r="C213" s="736"/>
      <c r="D213" s="736"/>
      <c r="E213" s="736"/>
      <c r="F213" s="736"/>
      <c r="G213" s="736"/>
      <c r="H213" s="736"/>
      <c r="I213" s="736"/>
      <c r="J213" s="736"/>
      <c r="K213" s="736"/>
      <c r="L213" s="736"/>
      <c r="M213" s="736"/>
      <c r="N213" s="736"/>
      <c r="O213" s="736"/>
      <c r="P213" s="736"/>
      <c r="Q213" s="736"/>
      <c r="R213" s="736"/>
      <c r="S213" s="736"/>
      <c r="T213" s="736"/>
      <c r="U213" s="736"/>
      <c r="V213" s="736"/>
      <c r="W213" s="736"/>
      <c r="X213" s="736"/>
      <c r="Y213" s="736"/>
      <c r="Z213" s="736"/>
      <c r="AA213" s="736"/>
      <c r="AB213" s="736"/>
      <c r="AC213" s="736"/>
      <c r="AD213" s="736"/>
      <c r="AE213" s="736"/>
      <c r="AF213" s="736"/>
      <c r="AG213" s="736"/>
      <c r="AH213" s="736"/>
      <c r="AI213" s="736"/>
      <c r="AJ213" s="736"/>
      <c r="AK213" s="736"/>
      <c r="AL213" s="736"/>
      <c r="AM213" s="736"/>
      <c r="AN213" s="736"/>
      <c r="AO213" s="736"/>
      <c r="AP213" s="736"/>
      <c r="AQ213" s="736"/>
      <c r="AR213" s="736"/>
      <c r="AS213" s="736"/>
      <c r="AT213" s="736"/>
      <c r="AU213" s="736"/>
      <c r="AV213" s="736"/>
      <c r="AW213" s="736"/>
      <c r="AX213" s="736"/>
      <c r="AY213" s="736"/>
      <c r="AZ213" s="736"/>
      <c r="BA213" s="736"/>
      <c r="BB213" s="736"/>
      <c r="BC213" s="736"/>
      <c r="BD213" s="736"/>
      <c r="BE213" s="736"/>
      <c r="BF213" s="736"/>
      <c r="BG213" s="736"/>
      <c r="BH213" s="736"/>
      <c r="BI213" s="736"/>
      <c r="BJ213" s="736"/>
      <c r="BK213" s="736"/>
      <c r="BL213" s="736"/>
      <c r="BM213" s="736"/>
      <c r="BN213" s="736"/>
      <c r="BO213" s="736"/>
      <c r="BP213" s="736"/>
      <c r="BQ213" s="736"/>
      <c r="BR213" s="736"/>
      <c r="BS213" s="736"/>
      <c r="BT213" s="736"/>
    </row>
    <row r="214" spans="1:72" x14ac:dyDescent="0.25">
      <c r="A214" s="736" t="s">
        <v>636</v>
      </c>
      <c r="B214" s="736"/>
      <c r="C214" s="736"/>
      <c r="D214" s="736"/>
      <c r="E214" s="736"/>
      <c r="F214" s="736"/>
      <c r="G214" s="736"/>
      <c r="H214" s="736"/>
      <c r="I214" s="736"/>
      <c r="J214" s="736"/>
      <c r="K214" s="736"/>
      <c r="L214" s="736"/>
      <c r="M214" s="736"/>
      <c r="N214" s="736"/>
      <c r="O214" s="736"/>
      <c r="P214" s="736"/>
      <c r="Q214" s="736"/>
      <c r="R214" s="736"/>
      <c r="S214" s="736"/>
      <c r="T214" s="736"/>
      <c r="U214" s="736"/>
      <c r="V214" s="736"/>
      <c r="W214" s="736"/>
      <c r="X214" s="736"/>
      <c r="Y214" s="736"/>
      <c r="Z214" s="736"/>
      <c r="AA214" s="736"/>
      <c r="AB214" s="736"/>
      <c r="AC214" s="736"/>
      <c r="AD214" s="736"/>
      <c r="AE214" s="736"/>
      <c r="AF214" s="736"/>
      <c r="AG214" s="736"/>
      <c r="AH214" s="736"/>
      <c r="AI214" s="736"/>
      <c r="AJ214" s="736"/>
      <c r="AK214" s="736"/>
      <c r="AL214" s="736"/>
      <c r="AM214" s="736"/>
      <c r="AN214" s="736"/>
      <c r="AO214" s="736"/>
      <c r="AP214" s="736"/>
      <c r="AQ214" s="736"/>
      <c r="AR214" s="736"/>
      <c r="AS214" s="736"/>
      <c r="AT214" s="736"/>
      <c r="AU214" s="736"/>
      <c r="AV214" s="736"/>
      <c r="AW214" s="736"/>
      <c r="AX214" s="736"/>
      <c r="AY214" s="736"/>
      <c r="AZ214" s="736"/>
      <c r="BA214" s="736"/>
      <c r="BB214" s="736"/>
      <c r="BC214" s="736"/>
      <c r="BD214" s="736"/>
      <c r="BE214" s="736"/>
      <c r="BF214" s="736"/>
      <c r="BG214" s="736"/>
      <c r="BH214" s="736"/>
      <c r="BI214" s="736"/>
      <c r="BJ214" s="736"/>
      <c r="BK214" s="736"/>
      <c r="BL214" s="736"/>
      <c r="BM214" s="736"/>
      <c r="BN214" s="736"/>
      <c r="BO214" s="736"/>
      <c r="BP214" s="736"/>
      <c r="BQ214" s="736"/>
      <c r="BR214" s="736"/>
      <c r="BS214" s="736"/>
      <c r="BT214" s="736"/>
    </row>
    <row r="215" spans="1:72" x14ac:dyDescent="0.25">
      <c r="A215" s="736" t="s">
        <v>637</v>
      </c>
      <c r="B215" s="736"/>
      <c r="C215" s="736"/>
      <c r="D215" s="736"/>
      <c r="E215" s="736"/>
      <c r="F215" s="736"/>
      <c r="G215" s="736"/>
      <c r="H215" s="736"/>
      <c r="I215" s="736"/>
      <c r="J215" s="736"/>
      <c r="K215" s="736"/>
      <c r="L215" s="736"/>
      <c r="M215" s="736"/>
      <c r="N215" s="736"/>
      <c r="O215" s="736"/>
      <c r="P215" s="736"/>
      <c r="Q215" s="736"/>
      <c r="R215" s="736"/>
      <c r="S215" s="736"/>
      <c r="T215" s="736"/>
      <c r="U215" s="736"/>
      <c r="V215" s="736"/>
      <c r="W215" s="736"/>
      <c r="X215" s="736"/>
      <c r="Y215" s="736"/>
      <c r="Z215" s="736"/>
      <c r="AA215" s="736"/>
      <c r="AB215" s="736"/>
      <c r="AC215" s="736"/>
      <c r="AD215" s="736"/>
      <c r="AE215" s="736"/>
      <c r="AF215" s="736"/>
      <c r="AG215" s="736"/>
      <c r="AH215" s="736"/>
      <c r="AI215" s="736"/>
      <c r="AJ215" s="736"/>
      <c r="AK215" s="736"/>
      <c r="AL215" s="736"/>
      <c r="AM215" s="736"/>
      <c r="AN215" s="736"/>
      <c r="AO215" s="736"/>
      <c r="AP215" s="736"/>
      <c r="AQ215" s="736"/>
      <c r="AR215" s="736"/>
      <c r="AS215" s="736"/>
      <c r="AT215" s="736"/>
      <c r="AU215" s="736"/>
      <c r="AV215" s="736"/>
      <c r="AW215" s="736"/>
      <c r="AX215" s="736"/>
      <c r="AY215" s="736"/>
      <c r="AZ215" s="736"/>
      <c r="BA215" s="736"/>
      <c r="BB215" s="736"/>
      <c r="BC215" s="736"/>
      <c r="BD215" s="736"/>
      <c r="BE215" s="736"/>
      <c r="BF215" s="736"/>
      <c r="BG215" s="736"/>
      <c r="BH215" s="736"/>
      <c r="BI215" s="736"/>
      <c r="BJ215" s="736"/>
      <c r="BK215" s="736"/>
      <c r="BL215" s="736"/>
      <c r="BM215" s="736"/>
      <c r="BN215" s="736"/>
      <c r="BO215" s="736"/>
      <c r="BP215" s="736"/>
      <c r="BQ215" s="736"/>
      <c r="BR215" s="736"/>
      <c r="BS215" s="736"/>
      <c r="BT215" s="736"/>
    </row>
    <row r="216" spans="1:72" x14ac:dyDescent="0.25">
      <c r="A216" s="736" t="s">
        <v>638</v>
      </c>
      <c r="B216" s="736"/>
      <c r="C216" s="736"/>
      <c r="D216" s="736"/>
      <c r="E216" s="736"/>
      <c r="F216" s="736"/>
      <c r="G216" s="736"/>
      <c r="H216" s="736"/>
      <c r="I216" s="736"/>
      <c r="J216" s="736"/>
      <c r="K216" s="736"/>
      <c r="L216" s="736"/>
      <c r="M216" s="736"/>
      <c r="N216" s="736"/>
      <c r="O216" s="736"/>
      <c r="P216" s="736"/>
      <c r="Q216" s="736"/>
      <c r="R216" s="736"/>
      <c r="S216" s="736"/>
      <c r="T216" s="736"/>
      <c r="U216" s="736"/>
      <c r="V216" s="736"/>
      <c r="W216" s="736"/>
      <c r="X216" s="736"/>
      <c r="Y216" s="736"/>
      <c r="Z216" s="736"/>
      <c r="AA216" s="736"/>
      <c r="AB216" s="736"/>
      <c r="AC216" s="736"/>
      <c r="AD216" s="736"/>
      <c r="AE216" s="736"/>
      <c r="AF216" s="736"/>
      <c r="AG216" s="736"/>
      <c r="AH216" s="736"/>
      <c r="AI216" s="736"/>
      <c r="AJ216" s="736"/>
      <c r="AK216" s="736"/>
      <c r="AL216" s="736"/>
      <c r="AM216" s="736"/>
      <c r="AN216" s="736"/>
      <c r="AO216" s="736"/>
      <c r="AP216" s="736"/>
      <c r="AQ216" s="736"/>
      <c r="AR216" s="736"/>
      <c r="AS216" s="736"/>
      <c r="AT216" s="736"/>
      <c r="AU216" s="736"/>
      <c r="AV216" s="736"/>
      <c r="AW216" s="736"/>
      <c r="AX216" s="736"/>
      <c r="AY216" s="736"/>
      <c r="AZ216" s="736"/>
      <c r="BA216" s="736"/>
      <c r="BB216" s="736"/>
      <c r="BC216" s="736"/>
      <c r="BD216" s="736"/>
      <c r="BE216" s="736"/>
      <c r="BF216" s="736"/>
      <c r="BG216" s="736"/>
      <c r="BH216" s="736"/>
      <c r="BI216" s="736"/>
      <c r="BJ216" s="736"/>
      <c r="BK216" s="736"/>
      <c r="BL216" s="736"/>
      <c r="BM216" s="736"/>
      <c r="BN216" s="736"/>
      <c r="BO216" s="736"/>
      <c r="BP216" s="736"/>
      <c r="BQ216" s="736"/>
      <c r="BR216" s="736"/>
      <c r="BS216" s="736"/>
      <c r="BT216" s="736"/>
    </row>
    <row r="217" spans="1:72" x14ac:dyDescent="0.25">
      <c r="A217" s="736" t="s">
        <v>639</v>
      </c>
      <c r="B217" s="736"/>
      <c r="C217" s="736"/>
      <c r="D217" s="736"/>
      <c r="E217" s="736"/>
      <c r="F217" s="736"/>
      <c r="G217" s="736"/>
      <c r="H217" s="736"/>
      <c r="I217" s="736"/>
      <c r="J217" s="736"/>
      <c r="K217" s="736"/>
      <c r="L217" s="736"/>
      <c r="M217" s="736"/>
      <c r="N217" s="736"/>
      <c r="O217" s="736"/>
      <c r="P217" s="736"/>
      <c r="Q217" s="736"/>
      <c r="R217" s="736"/>
      <c r="S217" s="736"/>
      <c r="T217" s="736"/>
      <c r="U217" s="736"/>
      <c r="V217" s="736"/>
      <c r="W217" s="736"/>
      <c r="X217" s="736"/>
      <c r="Y217" s="736"/>
      <c r="Z217" s="736"/>
      <c r="AA217" s="736"/>
      <c r="AB217" s="736"/>
      <c r="AC217" s="736"/>
      <c r="AD217" s="736"/>
      <c r="AE217" s="736"/>
      <c r="AF217" s="736"/>
      <c r="AG217" s="736"/>
      <c r="AH217" s="736"/>
      <c r="AI217" s="736"/>
      <c r="AJ217" s="736"/>
      <c r="AK217" s="736"/>
      <c r="AL217" s="736"/>
      <c r="AM217" s="736"/>
      <c r="AN217" s="736"/>
      <c r="AO217" s="736"/>
      <c r="AP217" s="736"/>
      <c r="AQ217" s="736"/>
      <c r="AR217" s="736"/>
      <c r="AS217" s="736"/>
      <c r="AT217" s="736"/>
      <c r="AU217" s="736"/>
      <c r="AV217" s="736"/>
      <c r="AW217" s="736"/>
      <c r="AX217" s="736"/>
      <c r="AY217" s="736"/>
      <c r="AZ217" s="736"/>
      <c r="BA217" s="736"/>
      <c r="BB217" s="736"/>
      <c r="BC217" s="736"/>
      <c r="BD217" s="736"/>
      <c r="BE217" s="736"/>
      <c r="BF217" s="736"/>
      <c r="BG217" s="736"/>
      <c r="BH217" s="736"/>
      <c r="BI217" s="736"/>
      <c r="BJ217" s="736"/>
      <c r="BK217" s="736"/>
      <c r="BL217" s="736"/>
      <c r="BM217" s="736"/>
      <c r="BN217" s="736"/>
      <c r="BO217" s="736"/>
      <c r="BP217" s="736"/>
      <c r="BQ217" s="736"/>
      <c r="BR217" s="736"/>
      <c r="BS217" s="736"/>
      <c r="BT217" s="736"/>
    </row>
    <row r="218" spans="1:72" x14ac:dyDescent="0.25">
      <c r="A218" s="736" t="s">
        <v>531</v>
      </c>
      <c r="B218" s="736"/>
      <c r="C218" s="736"/>
      <c r="D218" s="736"/>
      <c r="E218" s="736"/>
      <c r="F218" s="736"/>
      <c r="G218" s="736"/>
      <c r="H218" s="736"/>
      <c r="I218" s="736"/>
      <c r="J218" s="736"/>
      <c r="K218" s="736"/>
      <c r="L218" s="736"/>
      <c r="M218" s="736"/>
      <c r="N218" s="736"/>
      <c r="O218" s="736"/>
      <c r="P218" s="736"/>
      <c r="Q218" s="736"/>
      <c r="R218" s="736"/>
      <c r="S218" s="736"/>
      <c r="T218" s="736"/>
      <c r="U218" s="736"/>
      <c r="V218" s="736"/>
      <c r="W218" s="736"/>
      <c r="X218" s="736"/>
      <c r="Y218" s="736"/>
      <c r="Z218" s="736"/>
      <c r="AA218" s="736"/>
      <c r="AB218" s="736"/>
      <c r="AC218" s="736"/>
      <c r="AD218" s="736"/>
      <c r="AE218" s="736"/>
      <c r="AF218" s="736"/>
      <c r="AG218" s="736"/>
      <c r="AH218" s="736"/>
      <c r="AI218" s="736"/>
      <c r="AJ218" s="736"/>
      <c r="AK218" s="736"/>
      <c r="AL218" s="736"/>
      <c r="AM218" s="736"/>
      <c r="AN218" s="736"/>
      <c r="AO218" s="736"/>
      <c r="AP218" s="736"/>
      <c r="AQ218" s="736"/>
      <c r="AR218" s="736"/>
      <c r="AS218" s="736"/>
      <c r="AT218" s="736"/>
      <c r="AU218" s="736"/>
      <c r="AV218" s="736"/>
      <c r="AW218" s="736"/>
      <c r="AX218" s="736"/>
      <c r="AY218" s="736"/>
      <c r="AZ218" s="736"/>
      <c r="BA218" s="736"/>
      <c r="BB218" s="736"/>
      <c r="BC218" s="736"/>
      <c r="BD218" s="736"/>
      <c r="BE218" s="736"/>
      <c r="BF218" s="736"/>
      <c r="BG218" s="736"/>
      <c r="BH218" s="736"/>
      <c r="BI218" s="736"/>
      <c r="BJ218" s="736"/>
      <c r="BK218" s="736"/>
      <c r="BL218" s="736"/>
      <c r="BM218" s="736"/>
      <c r="BN218" s="736"/>
      <c r="BO218" s="736"/>
      <c r="BP218" s="736"/>
      <c r="BQ218" s="736"/>
      <c r="BR218" s="736"/>
      <c r="BS218" s="736"/>
      <c r="BT218" s="736"/>
    </row>
    <row r="219" spans="1:72" x14ac:dyDescent="0.25">
      <c r="A219" s="736" t="s">
        <v>715</v>
      </c>
      <c r="B219" s="736"/>
      <c r="C219" s="736"/>
      <c r="D219" s="736"/>
      <c r="E219" s="736"/>
      <c r="F219" s="736"/>
      <c r="G219" s="736"/>
      <c r="H219" s="736"/>
      <c r="I219" s="736"/>
      <c r="J219" s="736"/>
      <c r="K219" s="736"/>
      <c r="L219" s="736"/>
      <c r="M219" s="736"/>
      <c r="N219" s="736"/>
      <c r="O219" s="736"/>
      <c r="P219" s="736"/>
      <c r="Q219" s="736"/>
      <c r="R219" s="736"/>
      <c r="S219" s="736"/>
      <c r="T219" s="736"/>
      <c r="U219" s="736"/>
      <c r="V219" s="736"/>
      <c r="W219" s="736"/>
      <c r="X219" s="736"/>
      <c r="Y219" s="736"/>
      <c r="Z219" s="736"/>
      <c r="AA219" s="736"/>
      <c r="AB219" s="736"/>
      <c r="AC219" s="736"/>
      <c r="AD219" s="736"/>
      <c r="AE219" s="736"/>
      <c r="AF219" s="736"/>
      <c r="AG219" s="736"/>
      <c r="AH219" s="736"/>
      <c r="AI219" s="736"/>
      <c r="AJ219" s="736"/>
      <c r="AK219" s="736"/>
      <c r="AL219" s="736"/>
      <c r="AM219" s="736"/>
      <c r="AN219" s="736"/>
      <c r="AO219" s="736"/>
      <c r="AP219" s="736"/>
      <c r="AQ219" s="736"/>
      <c r="AR219" s="736"/>
      <c r="AS219" s="736"/>
      <c r="AT219" s="736"/>
      <c r="AU219" s="736"/>
      <c r="AV219" s="736"/>
      <c r="AW219" s="736"/>
      <c r="AX219" s="736"/>
      <c r="AY219" s="736"/>
      <c r="AZ219" s="736"/>
      <c r="BA219" s="736"/>
      <c r="BB219" s="736"/>
      <c r="BC219" s="736"/>
      <c r="BD219" s="736"/>
      <c r="BE219" s="736"/>
      <c r="BF219" s="736"/>
      <c r="BG219" s="736"/>
      <c r="BH219" s="736"/>
      <c r="BI219" s="736"/>
      <c r="BJ219" s="736"/>
      <c r="BK219" s="736"/>
      <c r="BL219" s="736"/>
      <c r="BM219" s="736"/>
      <c r="BN219" s="736"/>
      <c r="BO219" s="736"/>
      <c r="BP219" s="736"/>
      <c r="BQ219" s="736"/>
      <c r="BR219" s="736"/>
      <c r="BS219" s="736"/>
      <c r="BT219" s="736"/>
    </row>
    <row r="220" spans="1:72" x14ac:dyDescent="0.25">
      <c r="A220" s="736" t="s">
        <v>777</v>
      </c>
      <c r="B220" s="736"/>
      <c r="C220" s="736"/>
      <c r="D220" s="736"/>
      <c r="E220" s="736"/>
      <c r="F220" s="736"/>
      <c r="G220" s="736"/>
      <c r="H220" s="736"/>
      <c r="I220" s="736"/>
      <c r="J220" s="736"/>
      <c r="K220" s="736"/>
      <c r="L220" s="736"/>
      <c r="M220" s="736"/>
      <c r="N220" s="736"/>
      <c r="O220" s="736"/>
      <c r="P220" s="736"/>
      <c r="Q220" s="736"/>
      <c r="R220" s="736"/>
      <c r="S220" s="736"/>
      <c r="T220" s="736"/>
      <c r="U220" s="736"/>
      <c r="V220" s="736"/>
      <c r="W220" s="736"/>
      <c r="X220" s="736"/>
      <c r="Y220" s="736"/>
      <c r="Z220" s="736"/>
      <c r="AA220" s="736"/>
      <c r="AB220" s="736"/>
      <c r="AC220" s="736"/>
      <c r="AD220" s="736"/>
      <c r="AE220" s="736"/>
      <c r="AF220" s="736"/>
      <c r="AG220" s="736"/>
      <c r="AH220" s="736"/>
      <c r="AI220" s="736"/>
      <c r="AJ220" s="736"/>
      <c r="AK220" s="736"/>
      <c r="AL220" s="736"/>
      <c r="AM220" s="736"/>
      <c r="AN220" s="736"/>
      <c r="AO220" s="736"/>
      <c r="AP220" s="736"/>
      <c r="AQ220" s="736"/>
      <c r="AR220" s="736"/>
      <c r="AS220" s="736"/>
      <c r="AT220" s="736"/>
      <c r="AU220" s="736"/>
      <c r="AV220" s="736"/>
      <c r="AW220" s="736"/>
      <c r="AX220" s="736"/>
      <c r="AY220" s="736"/>
      <c r="AZ220" s="736"/>
      <c r="BA220" s="736"/>
      <c r="BB220" s="736"/>
      <c r="BC220" s="736"/>
      <c r="BD220" s="736"/>
      <c r="BE220" s="736"/>
      <c r="BF220" s="736"/>
      <c r="BG220" s="736"/>
      <c r="BH220" s="736"/>
      <c r="BI220" s="736"/>
      <c r="BJ220" s="736"/>
      <c r="BK220" s="736"/>
      <c r="BL220" s="736"/>
      <c r="BM220" s="736"/>
      <c r="BN220" s="736"/>
      <c r="BO220" s="736"/>
      <c r="BP220" s="736"/>
      <c r="BQ220" s="736"/>
      <c r="BR220" s="736"/>
      <c r="BS220" s="736"/>
      <c r="BT220" s="736"/>
    </row>
    <row r="221" spans="1:72" x14ac:dyDescent="0.25">
      <c r="A221" s="736" t="s">
        <v>778</v>
      </c>
      <c r="B221" s="736"/>
      <c r="C221" s="736"/>
      <c r="D221" s="736"/>
      <c r="E221" s="736"/>
      <c r="F221" s="736"/>
      <c r="G221" s="736"/>
      <c r="H221" s="736"/>
      <c r="I221" s="736"/>
      <c r="J221" s="736"/>
      <c r="K221" s="736"/>
      <c r="L221" s="736"/>
      <c r="M221" s="736"/>
      <c r="N221" s="736"/>
      <c r="O221" s="736"/>
      <c r="P221" s="736"/>
      <c r="Q221" s="736"/>
      <c r="R221" s="736"/>
      <c r="S221" s="736"/>
      <c r="T221" s="736"/>
      <c r="U221" s="736"/>
      <c r="V221" s="736"/>
      <c r="W221" s="736"/>
      <c r="X221" s="736"/>
      <c r="Y221" s="736"/>
      <c r="Z221" s="736"/>
      <c r="AA221" s="736"/>
      <c r="AB221" s="736"/>
      <c r="AC221" s="736"/>
      <c r="AD221" s="736"/>
      <c r="AE221" s="736"/>
      <c r="AF221" s="736"/>
      <c r="AG221" s="736"/>
      <c r="AH221" s="736"/>
      <c r="AI221" s="736"/>
      <c r="AJ221" s="736"/>
      <c r="AK221" s="736"/>
      <c r="AL221" s="736"/>
      <c r="AM221" s="736"/>
      <c r="AN221" s="736"/>
      <c r="AO221" s="736"/>
      <c r="AP221" s="736"/>
      <c r="AQ221" s="736"/>
      <c r="AR221" s="736"/>
      <c r="AS221" s="736"/>
      <c r="AT221" s="736"/>
      <c r="AU221" s="736"/>
      <c r="AV221" s="736"/>
      <c r="AW221" s="736"/>
      <c r="AX221" s="736"/>
      <c r="AY221" s="736"/>
      <c r="AZ221" s="736"/>
      <c r="BA221" s="736"/>
      <c r="BB221" s="736"/>
      <c r="BC221" s="736"/>
      <c r="BD221" s="736"/>
      <c r="BE221" s="736"/>
      <c r="BF221" s="736"/>
      <c r="BG221" s="736"/>
      <c r="BH221" s="736"/>
      <c r="BI221" s="736"/>
      <c r="BJ221" s="736"/>
      <c r="BK221" s="736"/>
      <c r="BL221" s="736"/>
      <c r="BM221" s="736"/>
      <c r="BN221" s="736"/>
      <c r="BO221" s="736"/>
      <c r="BP221" s="736"/>
      <c r="BQ221" s="736"/>
      <c r="BR221" s="736"/>
      <c r="BS221" s="736"/>
      <c r="BT221" s="736"/>
    </row>
    <row r="222" spans="1:72" x14ac:dyDescent="0.25">
      <c r="A222" s="736" t="s">
        <v>779</v>
      </c>
      <c r="B222" s="736"/>
      <c r="C222" s="736"/>
      <c r="D222" s="736"/>
      <c r="E222" s="736"/>
      <c r="F222" s="736"/>
      <c r="G222" s="736"/>
      <c r="H222" s="736"/>
      <c r="I222" s="736"/>
      <c r="J222" s="736"/>
      <c r="K222" s="736"/>
      <c r="L222" s="736"/>
      <c r="M222" s="736"/>
      <c r="N222" s="736"/>
      <c r="O222" s="736"/>
      <c r="P222" s="736"/>
      <c r="Q222" s="736"/>
      <c r="R222" s="736"/>
      <c r="S222" s="736"/>
      <c r="T222" s="736"/>
      <c r="U222" s="736"/>
      <c r="V222" s="736"/>
      <c r="W222" s="736"/>
      <c r="X222" s="736"/>
      <c r="Y222" s="736"/>
      <c r="Z222" s="736"/>
      <c r="AA222" s="736"/>
      <c r="AB222" s="736"/>
      <c r="AC222" s="736"/>
      <c r="AD222" s="736"/>
      <c r="AE222" s="736"/>
      <c r="AF222" s="736"/>
      <c r="AG222" s="736"/>
      <c r="AH222" s="736"/>
      <c r="AI222" s="736"/>
      <c r="AJ222" s="736"/>
      <c r="AK222" s="736"/>
      <c r="AL222" s="736"/>
      <c r="AM222" s="736"/>
      <c r="AN222" s="736"/>
      <c r="AO222" s="736"/>
      <c r="AP222" s="736"/>
      <c r="AQ222" s="736"/>
      <c r="AR222" s="736"/>
      <c r="AS222" s="736"/>
      <c r="AT222" s="736"/>
      <c r="AU222" s="736"/>
      <c r="AV222" s="736"/>
      <c r="AW222" s="736"/>
      <c r="AX222" s="736"/>
      <c r="AY222" s="736"/>
      <c r="AZ222" s="736"/>
      <c r="BA222" s="736"/>
      <c r="BB222" s="736"/>
      <c r="BC222" s="736"/>
      <c r="BD222" s="736"/>
      <c r="BE222" s="736"/>
      <c r="BF222" s="736"/>
      <c r="BG222" s="736"/>
      <c r="BH222" s="736"/>
      <c r="BI222" s="736"/>
      <c r="BJ222" s="736"/>
      <c r="BK222" s="736"/>
      <c r="BL222" s="736"/>
      <c r="BM222" s="736"/>
      <c r="BN222" s="736"/>
      <c r="BO222" s="736"/>
      <c r="BP222" s="736"/>
      <c r="BQ222" s="736"/>
      <c r="BR222" s="736"/>
      <c r="BS222" s="736"/>
      <c r="BT222" s="736"/>
    </row>
    <row r="223" spans="1:72" x14ac:dyDescent="0.25">
      <c r="A223" s="736" t="s">
        <v>780</v>
      </c>
      <c r="B223" s="736"/>
      <c r="C223" s="736"/>
      <c r="D223" s="736"/>
      <c r="E223" s="736"/>
      <c r="F223" s="736"/>
      <c r="G223" s="736"/>
      <c r="H223" s="736"/>
      <c r="I223" s="736"/>
      <c r="J223" s="736"/>
      <c r="K223" s="736"/>
      <c r="L223" s="736"/>
      <c r="M223" s="736"/>
      <c r="N223" s="736"/>
      <c r="O223" s="736"/>
      <c r="P223" s="736"/>
      <c r="Q223" s="736"/>
      <c r="R223" s="736"/>
      <c r="S223" s="736"/>
      <c r="T223" s="736"/>
      <c r="U223" s="736"/>
      <c r="V223" s="736"/>
      <c r="W223" s="736"/>
      <c r="X223" s="736"/>
      <c r="Y223" s="736"/>
      <c r="Z223" s="736"/>
      <c r="AA223" s="736"/>
      <c r="AB223" s="736"/>
      <c r="AC223" s="736"/>
      <c r="AD223" s="736"/>
      <c r="AE223" s="736"/>
      <c r="AF223" s="736"/>
      <c r="AG223" s="736"/>
      <c r="AH223" s="736"/>
      <c r="AI223" s="736"/>
      <c r="AJ223" s="736"/>
      <c r="AK223" s="736"/>
      <c r="AL223" s="736"/>
      <c r="AM223" s="736"/>
      <c r="AN223" s="736"/>
      <c r="AO223" s="736"/>
      <c r="AP223" s="736"/>
      <c r="AQ223" s="736"/>
      <c r="AR223" s="736"/>
      <c r="AS223" s="736"/>
      <c r="AT223" s="736"/>
      <c r="AU223" s="736"/>
      <c r="AV223" s="736"/>
      <c r="AW223" s="736"/>
      <c r="AX223" s="736"/>
      <c r="AY223" s="736"/>
      <c r="AZ223" s="736"/>
      <c r="BA223" s="736"/>
      <c r="BB223" s="736"/>
      <c r="BC223" s="736"/>
      <c r="BD223" s="736"/>
      <c r="BE223" s="736"/>
      <c r="BF223" s="736"/>
      <c r="BG223" s="736"/>
      <c r="BH223" s="736"/>
      <c r="BI223" s="736"/>
      <c r="BJ223" s="736"/>
      <c r="BK223" s="736"/>
      <c r="BL223" s="736"/>
      <c r="BM223" s="736"/>
      <c r="BN223" s="736"/>
      <c r="BO223" s="736"/>
      <c r="BP223" s="736"/>
      <c r="BQ223" s="736"/>
      <c r="BR223" s="736"/>
      <c r="BS223" s="736"/>
      <c r="BT223" s="736"/>
    </row>
    <row r="224" spans="1:72" x14ac:dyDescent="0.25">
      <c r="A224" s="736" t="s">
        <v>781</v>
      </c>
      <c r="B224" s="736"/>
      <c r="C224" s="736"/>
      <c r="D224" s="736"/>
      <c r="E224" s="736"/>
      <c r="F224" s="736"/>
      <c r="G224" s="736"/>
      <c r="H224" s="736"/>
      <c r="I224" s="736"/>
      <c r="J224" s="736"/>
      <c r="K224" s="736"/>
      <c r="L224" s="736"/>
      <c r="M224" s="736"/>
      <c r="N224" s="736"/>
      <c r="O224" s="736"/>
      <c r="P224" s="736"/>
      <c r="Q224" s="736"/>
      <c r="R224" s="736"/>
      <c r="S224" s="736"/>
      <c r="T224" s="736"/>
      <c r="U224" s="736"/>
      <c r="V224" s="736"/>
      <c r="W224" s="736"/>
      <c r="X224" s="736"/>
      <c r="Y224" s="736"/>
      <c r="Z224" s="736"/>
      <c r="AA224" s="736"/>
      <c r="AB224" s="736"/>
      <c r="AC224" s="736"/>
      <c r="AD224" s="736"/>
      <c r="AE224" s="736"/>
      <c r="AF224" s="736"/>
      <c r="AG224" s="736"/>
      <c r="AH224" s="736"/>
      <c r="AI224" s="736"/>
      <c r="AJ224" s="736"/>
      <c r="AK224" s="736"/>
      <c r="AL224" s="736"/>
      <c r="AM224" s="736"/>
      <c r="AN224" s="736"/>
      <c r="AO224" s="736"/>
      <c r="AP224" s="736"/>
      <c r="AQ224" s="736"/>
      <c r="AR224" s="736"/>
      <c r="AS224" s="736"/>
      <c r="AT224" s="736"/>
      <c r="AU224" s="736"/>
      <c r="AV224" s="736"/>
      <c r="AW224" s="736"/>
      <c r="AX224" s="736"/>
      <c r="AY224" s="736"/>
      <c r="AZ224" s="736"/>
      <c r="BA224" s="736"/>
      <c r="BB224" s="736"/>
      <c r="BC224" s="736"/>
      <c r="BD224" s="736"/>
      <c r="BE224" s="736"/>
      <c r="BF224" s="736"/>
      <c r="BG224" s="736"/>
      <c r="BH224" s="736"/>
      <c r="BI224" s="736"/>
      <c r="BJ224" s="736"/>
      <c r="BK224" s="736"/>
      <c r="BL224" s="736"/>
      <c r="BM224" s="736"/>
      <c r="BN224" s="736"/>
      <c r="BO224" s="736"/>
      <c r="BP224" s="736"/>
      <c r="BQ224" s="736"/>
      <c r="BR224" s="736"/>
      <c r="BS224" s="736"/>
      <c r="BT224" s="736"/>
    </row>
    <row r="225" spans="1:72" x14ac:dyDescent="0.25">
      <c r="A225" s="736" t="s">
        <v>782</v>
      </c>
      <c r="B225" s="736"/>
      <c r="C225" s="736"/>
      <c r="D225" s="736"/>
      <c r="E225" s="736"/>
      <c r="F225" s="736"/>
      <c r="G225" s="736"/>
      <c r="H225" s="736"/>
      <c r="I225" s="736"/>
      <c r="J225" s="736"/>
      <c r="K225" s="736"/>
      <c r="L225" s="736"/>
      <c r="M225" s="736"/>
      <c r="N225" s="736"/>
      <c r="O225" s="736"/>
      <c r="P225" s="736"/>
      <c r="Q225" s="736"/>
      <c r="R225" s="736"/>
      <c r="S225" s="736"/>
      <c r="T225" s="736"/>
      <c r="U225" s="736"/>
      <c r="V225" s="736"/>
      <c r="W225" s="736"/>
      <c r="X225" s="736"/>
      <c r="Y225" s="736"/>
      <c r="Z225" s="736"/>
      <c r="AA225" s="736"/>
      <c r="AB225" s="736"/>
      <c r="AC225" s="736"/>
      <c r="AD225" s="736"/>
      <c r="AE225" s="736"/>
      <c r="AF225" s="736"/>
      <c r="AG225" s="736"/>
      <c r="AH225" s="736"/>
      <c r="AI225" s="736"/>
      <c r="AJ225" s="736"/>
      <c r="AK225" s="736"/>
      <c r="AL225" s="736"/>
      <c r="AM225" s="736"/>
      <c r="AN225" s="736"/>
      <c r="AO225" s="736"/>
      <c r="AP225" s="736"/>
      <c r="AQ225" s="736"/>
      <c r="AR225" s="736"/>
      <c r="AS225" s="736"/>
      <c r="AT225" s="736"/>
      <c r="AU225" s="736"/>
      <c r="AV225" s="736"/>
      <c r="AW225" s="736"/>
      <c r="AX225" s="736"/>
      <c r="AY225" s="736"/>
      <c r="AZ225" s="736"/>
      <c r="BA225" s="736"/>
      <c r="BB225" s="736"/>
      <c r="BC225" s="736"/>
      <c r="BD225" s="736"/>
      <c r="BE225" s="736"/>
      <c r="BF225" s="736"/>
      <c r="BG225" s="736"/>
      <c r="BH225" s="736"/>
      <c r="BI225" s="736"/>
      <c r="BJ225" s="736"/>
      <c r="BK225" s="736"/>
      <c r="BL225" s="736"/>
      <c r="BM225" s="736"/>
      <c r="BN225" s="736"/>
      <c r="BO225" s="736"/>
      <c r="BP225" s="736"/>
      <c r="BQ225" s="736"/>
      <c r="BR225" s="736"/>
      <c r="BS225" s="736"/>
      <c r="BT225" s="736"/>
    </row>
    <row r="226" spans="1:72" x14ac:dyDescent="0.25">
      <c r="A226" s="736" t="s">
        <v>783</v>
      </c>
      <c r="B226" s="736"/>
      <c r="C226" s="736"/>
      <c r="D226" s="736"/>
      <c r="E226" s="736"/>
      <c r="F226" s="736"/>
      <c r="G226" s="736"/>
      <c r="H226" s="736"/>
      <c r="I226" s="736"/>
      <c r="J226" s="736"/>
      <c r="K226" s="736"/>
      <c r="L226" s="736"/>
      <c r="M226" s="736"/>
      <c r="N226" s="736"/>
      <c r="O226" s="736"/>
      <c r="P226" s="736"/>
      <c r="Q226" s="736"/>
      <c r="R226" s="736"/>
      <c r="S226" s="736"/>
      <c r="T226" s="736"/>
      <c r="U226" s="736"/>
      <c r="V226" s="736"/>
      <c r="W226" s="736"/>
      <c r="X226" s="736"/>
      <c r="Y226" s="736"/>
      <c r="Z226" s="736"/>
      <c r="AA226" s="736"/>
      <c r="AB226" s="736"/>
      <c r="AC226" s="736"/>
      <c r="AD226" s="736"/>
      <c r="AE226" s="736"/>
      <c r="AF226" s="736"/>
      <c r="AG226" s="736"/>
      <c r="AH226" s="736"/>
      <c r="AI226" s="736"/>
      <c r="AJ226" s="736"/>
      <c r="AK226" s="736"/>
      <c r="AL226" s="736"/>
      <c r="AM226" s="736"/>
      <c r="AN226" s="736"/>
      <c r="AO226" s="736"/>
      <c r="AP226" s="736"/>
      <c r="AQ226" s="736"/>
      <c r="AR226" s="736"/>
      <c r="AS226" s="736"/>
      <c r="AT226" s="736"/>
      <c r="AU226" s="736"/>
      <c r="AV226" s="736"/>
      <c r="AW226" s="736"/>
      <c r="AX226" s="736"/>
      <c r="AY226" s="736"/>
      <c r="AZ226" s="736"/>
      <c r="BA226" s="736"/>
      <c r="BB226" s="736"/>
      <c r="BC226" s="736"/>
      <c r="BD226" s="736"/>
      <c r="BE226" s="736"/>
      <c r="BF226" s="736"/>
      <c r="BG226" s="736"/>
      <c r="BH226" s="736"/>
      <c r="BI226" s="736"/>
      <c r="BJ226" s="736"/>
      <c r="BK226" s="736"/>
      <c r="BL226" s="736"/>
      <c r="BM226" s="736"/>
      <c r="BN226" s="736"/>
      <c r="BO226" s="736"/>
      <c r="BP226" s="736"/>
      <c r="BQ226" s="736"/>
      <c r="BR226" s="736"/>
      <c r="BS226" s="736"/>
      <c r="BT226" s="736"/>
    </row>
    <row r="227" spans="1:72" x14ac:dyDescent="0.25">
      <c r="A227" s="736" t="s">
        <v>784</v>
      </c>
      <c r="B227" s="736"/>
      <c r="C227" s="736"/>
      <c r="D227" s="736"/>
      <c r="E227" s="736"/>
      <c r="F227" s="736"/>
      <c r="G227" s="736"/>
      <c r="H227" s="736"/>
      <c r="I227" s="736"/>
      <c r="J227" s="736"/>
      <c r="K227" s="736"/>
      <c r="L227" s="736"/>
      <c r="M227" s="736"/>
      <c r="N227" s="736"/>
      <c r="O227" s="736"/>
      <c r="P227" s="736"/>
      <c r="Q227" s="736"/>
      <c r="R227" s="736"/>
      <c r="S227" s="736"/>
      <c r="T227" s="736"/>
      <c r="U227" s="736"/>
      <c r="V227" s="736"/>
      <c r="W227" s="736"/>
      <c r="X227" s="736"/>
      <c r="Y227" s="736"/>
      <c r="Z227" s="736"/>
      <c r="AA227" s="736"/>
      <c r="AB227" s="736"/>
      <c r="AC227" s="736"/>
      <c r="AD227" s="736"/>
      <c r="AE227" s="736"/>
      <c r="AF227" s="736"/>
      <c r="AG227" s="736"/>
      <c r="AH227" s="736"/>
      <c r="AI227" s="736"/>
      <c r="AJ227" s="736"/>
      <c r="AK227" s="736"/>
      <c r="AL227" s="736"/>
      <c r="AM227" s="736"/>
      <c r="AN227" s="736"/>
      <c r="AO227" s="736"/>
      <c r="AP227" s="736"/>
      <c r="AQ227" s="736"/>
      <c r="AR227" s="736"/>
      <c r="AS227" s="736"/>
      <c r="AT227" s="736"/>
      <c r="AU227" s="736"/>
      <c r="AV227" s="736"/>
      <c r="AW227" s="736"/>
      <c r="AX227" s="736"/>
      <c r="AY227" s="736"/>
      <c r="AZ227" s="736"/>
      <c r="BA227" s="736"/>
      <c r="BB227" s="736"/>
      <c r="BC227" s="736"/>
      <c r="BD227" s="736"/>
      <c r="BE227" s="736"/>
      <c r="BF227" s="736"/>
      <c r="BG227" s="736"/>
      <c r="BH227" s="736"/>
      <c r="BI227" s="736"/>
      <c r="BJ227" s="736"/>
      <c r="BK227" s="736"/>
      <c r="BL227" s="736"/>
      <c r="BM227" s="736"/>
      <c r="BN227" s="736"/>
      <c r="BO227" s="736"/>
      <c r="BP227" s="736"/>
      <c r="BQ227" s="736"/>
      <c r="BR227" s="736"/>
      <c r="BS227" s="736"/>
      <c r="BT227" s="736"/>
    </row>
    <row r="228" spans="1:72" x14ac:dyDescent="0.25">
      <c r="A228" s="736" t="s">
        <v>785</v>
      </c>
      <c r="B228" s="736"/>
      <c r="C228" s="736"/>
      <c r="D228" s="736"/>
      <c r="E228" s="736"/>
      <c r="F228" s="736"/>
      <c r="G228" s="736"/>
      <c r="H228" s="736"/>
      <c r="I228" s="736"/>
      <c r="J228" s="736"/>
      <c r="K228" s="736"/>
      <c r="L228" s="736"/>
      <c r="M228" s="736"/>
      <c r="N228" s="736"/>
      <c r="O228" s="736"/>
      <c r="P228" s="736"/>
      <c r="Q228" s="736"/>
      <c r="R228" s="736"/>
      <c r="S228" s="736"/>
      <c r="T228" s="736"/>
      <c r="U228" s="736"/>
      <c r="V228" s="736"/>
      <c r="W228" s="736"/>
      <c r="X228" s="736"/>
      <c r="Y228" s="736"/>
      <c r="Z228" s="736"/>
      <c r="AA228" s="736"/>
      <c r="AB228" s="736"/>
      <c r="AC228" s="736"/>
      <c r="AD228" s="736"/>
      <c r="AE228" s="736"/>
      <c r="AF228" s="736"/>
      <c r="AG228" s="736"/>
      <c r="AH228" s="736"/>
      <c r="AI228" s="736"/>
      <c r="AJ228" s="736"/>
      <c r="AK228" s="736"/>
      <c r="AL228" s="736"/>
      <c r="AM228" s="736"/>
      <c r="AN228" s="736"/>
      <c r="AO228" s="736"/>
      <c r="AP228" s="736"/>
      <c r="AQ228" s="736"/>
      <c r="AR228" s="736"/>
      <c r="AS228" s="736"/>
      <c r="AT228" s="736"/>
      <c r="AU228" s="736"/>
      <c r="AV228" s="736"/>
      <c r="AW228" s="736"/>
      <c r="AX228" s="736"/>
      <c r="AY228" s="736"/>
      <c r="AZ228" s="736"/>
      <c r="BA228" s="736"/>
      <c r="BB228" s="736"/>
      <c r="BC228" s="736"/>
      <c r="BD228" s="736"/>
      <c r="BE228" s="736"/>
      <c r="BF228" s="736"/>
      <c r="BG228" s="736"/>
      <c r="BH228" s="736"/>
      <c r="BI228" s="736"/>
      <c r="BJ228" s="736"/>
      <c r="BK228" s="736"/>
      <c r="BL228" s="736"/>
      <c r="BM228" s="736"/>
      <c r="BN228" s="736"/>
      <c r="BO228" s="736"/>
      <c r="BP228" s="736"/>
      <c r="BQ228" s="736"/>
      <c r="BR228" s="736"/>
      <c r="BS228" s="736"/>
      <c r="BT228" s="736"/>
    </row>
    <row r="229" spans="1:72" x14ac:dyDescent="0.25">
      <c r="A229" s="736" t="s">
        <v>786</v>
      </c>
      <c r="B229" s="736"/>
      <c r="C229" s="736"/>
      <c r="D229" s="736"/>
      <c r="E229" s="736"/>
      <c r="F229" s="736"/>
      <c r="G229" s="736"/>
      <c r="H229" s="736"/>
      <c r="I229" s="736"/>
      <c r="J229" s="736"/>
      <c r="K229" s="736"/>
      <c r="L229" s="736"/>
      <c r="M229" s="736"/>
      <c r="N229" s="736"/>
      <c r="O229" s="736"/>
      <c r="P229" s="736"/>
      <c r="Q229" s="736"/>
      <c r="R229" s="736"/>
      <c r="S229" s="736"/>
      <c r="T229" s="736"/>
      <c r="U229" s="736"/>
      <c r="V229" s="736"/>
      <c r="W229" s="736"/>
      <c r="X229" s="736"/>
      <c r="Y229" s="736"/>
      <c r="Z229" s="736"/>
      <c r="AA229" s="736"/>
      <c r="AB229" s="736"/>
      <c r="AC229" s="736"/>
      <c r="AD229" s="736"/>
      <c r="AE229" s="736"/>
      <c r="AF229" s="736"/>
      <c r="AG229" s="736"/>
      <c r="AH229" s="736"/>
      <c r="AI229" s="736"/>
      <c r="AJ229" s="736"/>
      <c r="AK229" s="736"/>
      <c r="AL229" s="736"/>
      <c r="AM229" s="736"/>
      <c r="AN229" s="736"/>
      <c r="AO229" s="736"/>
      <c r="AP229" s="736"/>
      <c r="AQ229" s="736"/>
      <c r="AR229" s="736"/>
      <c r="AS229" s="736"/>
      <c r="AT229" s="736"/>
      <c r="AU229" s="736"/>
      <c r="AV229" s="736"/>
      <c r="AW229" s="736"/>
      <c r="AX229" s="736"/>
      <c r="AY229" s="736"/>
      <c r="AZ229" s="736"/>
      <c r="BA229" s="736"/>
      <c r="BB229" s="736"/>
      <c r="BC229" s="736"/>
      <c r="BD229" s="736"/>
      <c r="BE229" s="736"/>
      <c r="BF229" s="736"/>
      <c r="BG229" s="736"/>
      <c r="BH229" s="736"/>
      <c r="BI229" s="736"/>
      <c r="BJ229" s="736"/>
      <c r="BK229" s="736"/>
      <c r="BL229" s="736"/>
      <c r="BM229" s="736"/>
      <c r="BN229" s="736"/>
      <c r="BO229" s="736"/>
      <c r="BP229" s="736"/>
      <c r="BQ229" s="736"/>
      <c r="BR229" s="736"/>
      <c r="BS229" s="736"/>
      <c r="BT229" s="736"/>
    </row>
    <row r="230" spans="1:72" x14ac:dyDescent="0.25">
      <c r="A230" s="736" t="s">
        <v>787</v>
      </c>
      <c r="B230" s="736"/>
      <c r="C230" s="736"/>
      <c r="D230" s="736"/>
      <c r="E230" s="736"/>
      <c r="F230" s="736"/>
      <c r="G230" s="736"/>
      <c r="H230" s="736"/>
      <c r="I230" s="736"/>
      <c r="J230" s="736"/>
      <c r="K230" s="736"/>
      <c r="L230" s="736"/>
      <c r="M230" s="736"/>
      <c r="N230" s="736"/>
      <c r="O230" s="736"/>
      <c r="P230" s="736"/>
      <c r="Q230" s="736"/>
      <c r="R230" s="736"/>
      <c r="S230" s="736"/>
      <c r="T230" s="736"/>
      <c r="U230" s="736"/>
      <c r="V230" s="736"/>
      <c r="W230" s="736"/>
      <c r="X230" s="736"/>
      <c r="Y230" s="736"/>
      <c r="Z230" s="736"/>
      <c r="AA230" s="736"/>
      <c r="AB230" s="736"/>
      <c r="AC230" s="736"/>
      <c r="AD230" s="736"/>
      <c r="AE230" s="736"/>
      <c r="AF230" s="736"/>
      <c r="AG230" s="736"/>
      <c r="AH230" s="736"/>
      <c r="AI230" s="736"/>
      <c r="AJ230" s="736"/>
      <c r="AK230" s="736"/>
      <c r="AL230" s="736"/>
      <c r="AM230" s="736"/>
      <c r="AN230" s="736"/>
      <c r="AO230" s="736"/>
      <c r="AP230" s="736"/>
      <c r="AQ230" s="736"/>
      <c r="AR230" s="736"/>
      <c r="AS230" s="736"/>
      <c r="AT230" s="736"/>
      <c r="AU230" s="736"/>
      <c r="AV230" s="736"/>
      <c r="AW230" s="736"/>
      <c r="AX230" s="736"/>
      <c r="AY230" s="736"/>
      <c r="AZ230" s="736"/>
      <c r="BA230" s="736"/>
      <c r="BB230" s="736"/>
      <c r="BC230" s="736"/>
      <c r="BD230" s="736"/>
      <c r="BE230" s="736"/>
      <c r="BF230" s="736"/>
      <c r="BG230" s="736"/>
      <c r="BH230" s="736"/>
      <c r="BI230" s="736"/>
      <c r="BJ230" s="736"/>
      <c r="BK230" s="736"/>
      <c r="BL230" s="736"/>
      <c r="BM230" s="736"/>
      <c r="BN230" s="736"/>
      <c r="BO230" s="736"/>
      <c r="BP230" s="736"/>
      <c r="BQ230" s="736"/>
      <c r="BR230" s="736"/>
      <c r="BS230" s="736"/>
      <c r="BT230" s="736"/>
    </row>
    <row r="231" spans="1:72" x14ac:dyDescent="0.25">
      <c r="A231" s="736" t="s">
        <v>788</v>
      </c>
      <c r="B231" s="736"/>
      <c r="C231" s="736"/>
      <c r="D231" s="736"/>
      <c r="E231" s="736"/>
      <c r="F231" s="736"/>
      <c r="G231" s="736"/>
      <c r="H231" s="736"/>
      <c r="I231" s="736"/>
      <c r="J231" s="736"/>
      <c r="K231" s="736"/>
      <c r="L231" s="736"/>
      <c r="M231" s="736"/>
      <c r="N231" s="736"/>
      <c r="O231" s="736"/>
      <c r="P231" s="736"/>
      <c r="Q231" s="736"/>
      <c r="R231" s="736"/>
      <c r="S231" s="736"/>
      <c r="T231" s="736"/>
      <c r="U231" s="736"/>
      <c r="V231" s="736"/>
      <c r="W231" s="736"/>
      <c r="X231" s="736"/>
      <c r="Y231" s="736"/>
      <c r="Z231" s="736"/>
      <c r="AA231" s="736"/>
      <c r="AB231" s="736"/>
      <c r="AC231" s="736"/>
      <c r="AD231" s="736"/>
      <c r="AE231" s="736"/>
      <c r="AF231" s="736"/>
      <c r="AG231" s="736"/>
      <c r="AH231" s="736"/>
      <c r="AI231" s="736"/>
      <c r="AJ231" s="736"/>
      <c r="AK231" s="736"/>
      <c r="AL231" s="736"/>
      <c r="AM231" s="736"/>
      <c r="AN231" s="736"/>
      <c r="AO231" s="736"/>
      <c r="AP231" s="736"/>
      <c r="AQ231" s="736"/>
      <c r="AR231" s="736"/>
      <c r="AS231" s="736"/>
      <c r="AT231" s="736"/>
      <c r="AU231" s="736"/>
      <c r="AV231" s="736"/>
      <c r="AW231" s="736"/>
      <c r="AX231" s="736"/>
      <c r="AY231" s="736"/>
      <c r="AZ231" s="736"/>
      <c r="BA231" s="736"/>
      <c r="BB231" s="736"/>
      <c r="BC231" s="736"/>
      <c r="BD231" s="736"/>
      <c r="BE231" s="736"/>
      <c r="BF231" s="736"/>
      <c r="BG231" s="736"/>
      <c r="BH231" s="736"/>
      <c r="BI231" s="736"/>
      <c r="BJ231" s="736"/>
      <c r="BK231" s="736"/>
      <c r="BL231" s="736"/>
      <c r="BM231" s="736"/>
      <c r="BN231" s="736"/>
      <c r="BO231" s="736"/>
      <c r="BP231" s="736"/>
      <c r="BQ231" s="736"/>
      <c r="BR231" s="736"/>
      <c r="BS231" s="736"/>
      <c r="BT231" s="736"/>
    </row>
    <row r="232" spans="1:72" x14ac:dyDescent="0.25">
      <c r="A232" s="736" t="s">
        <v>789</v>
      </c>
      <c r="B232" s="736"/>
      <c r="C232" s="736"/>
      <c r="D232" s="736"/>
      <c r="E232" s="736"/>
      <c r="F232" s="736"/>
      <c r="G232" s="736"/>
      <c r="H232" s="736"/>
      <c r="I232" s="736"/>
      <c r="J232" s="736"/>
      <c r="K232" s="736"/>
      <c r="L232" s="736"/>
      <c r="M232" s="736"/>
      <c r="N232" s="736"/>
      <c r="O232" s="736"/>
      <c r="P232" s="736"/>
      <c r="Q232" s="736"/>
      <c r="R232" s="736"/>
      <c r="S232" s="736"/>
      <c r="T232" s="736"/>
      <c r="U232" s="736"/>
      <c r="V232" s="736"/>
      <c r="W232" s="736"/>
      <c r="X232" s="736"/>
      <c r="Y232" s="736"/>
      <c r="Z232" s="736"/>
      <c r="AA232" s="736"/>
      <c r="AB232" s="736"/>
      <c r="AC232" s="736"/>
      <c r="AD232" s="736"/>
      <c r="AE232" s="736"/>
      <c r="AF232" s="736"/>
      <c r="AG232" s="736"/>
      <c r="AH232" s="736"/>
      <c r="AI232" s="736"/>
      <c r="AJ232" s="736"/>
      <c r="AK232" s="736"/>
      <c r="AL232" s="736"/>
      <c r="AM232" s="736"/>
      <c r="AN232" s="736"/>
      <c r="AO232" s="736"/>
      <c r="AP232" s="736"/>
      <c r="AQ232" s="736"/>
      <c r="AR232" s="736"/>
      <c r="AS232" s="736"/>
      <c r="AT232" s="736"/>
      <c r="AU232" s="736"/>
      <c r="AV232" s="736"/>
      <c r="AW232" s="736"/>
      <c r="AX232" s="736"/>
      <c r="AY232" s="736"/>
      <c r="AZ232" s="736"/>
      <c r="BA232" s="736"/>
      <c r="BB232" s="736"/>
      <c r="BC232" s="736"/>
      <c r="BD232" s="736"/>
      <c r="BE232" s="736"/>
      <c r="BF232" s="736"/>
      <c r="BG232" s="736"/>
      <c r="BH232" s="736"/>
      <c r="BI232" s="736"/>
      <c r="BJ232" s="736"/>
      <c r="BK232" s="736"/>
      <c r="BL232" s="736"/>
      <c r="BM232" s="736"/>
      <c r="BN232" s="736"/>
      <c r="BO232" s="736"/>
      <c r="BP232" s="736"/>
      <c r="BQ232" s="736"/>
      <c r="BR232" s="736"/>
      <c r="BS232" s="736"/>
      <c r="BT232" s="736"/>
    </row>
    <row r="233" spans="1:72" x14ac:dyDescent="0.25">
      <c r="A233" s="716" t="s">
        <v>790</v>
      </c>
      <c r="AA233" s="282"/>
      <c r="AB233" s="282"/>
      <c r="AC233" s="282"/>
      <c r="AD233" s="282"/>
    </row>
    <row r="234" spans="1:72" x14ac:dyDescent="0.25">
      <c r="A234" s="716" t="s">
        <v>791</v>
      </c>
      <c r="AA234" s="282"/>
      <c r="AB234" s="282"/>
      <c r="AC234" s="282"/>
      <c r="AD234" s="282"/>
    </row>
    <row r="235" spans="1:72" x14ac:dyDescent="0.25">
      <c r="A235" s="716" t="s">
        <v>703</v>
      </c>
      <c r="B235" t="s">
        <v>704</v>
      </c>
      <c r="C235" t="s">
        <v>705</v>
      </c>
      <c r="E235" t="s">
        <v>706</v>
      </c>
      <c r="AA235" s="282"/>
      <c r="AB235" s="282"/>
      <c r="AC235" s="282"/>
      <c r="AD235" s="282"/>
    </row>
    <row r="236" spans="1:72" x14ac:dyDescent="0.25">
      <c r="AA236" s="282"/>
      <c r="AB236" s="282"/>
      <c r="AC236" s="282"/>
      <c r="AD236" s="282"/>
    </row>
    <row r="237" spans="1:72" x14ac:dyDescent="0.25">
      <c r="A237" s="716" t="s">
        <v>433</v>
      </c>
      <c r="AA237" s="282"/>
      <c r="AB237" s="282"/>
      <c r="AC237" s="282"/>
      <c r="AD237" s="282"/>
    </row>
    <row r="238" spans="1:72" x14ac:dyDescent="0.25">
      <c r="A238" s="716" t="s">
        <v>707</v>
      </c>
      <c r="AA238" s="282"/>
      <c r="AB238" s="282"/>
      <c r="AC238" s="282"/>
      <c r="AD238" s="282"/>
    </row>
    <row r="239" spans="1:72" x14ac:dyDescent="0.25">
      <c r="AA239" s="282"/>
      <c r="AB239" s="282"/>
      <c r="AC239" s="282"/>
      <c r="AD239" s="282"/>
    </row>
    <row r="240" spans="1:72" x14ac:dyDescent="0.25">
      <c r="AA240" s="282"/>
      <c r="AB240" s="282"/>
      <c r="AC240" s="282"/>
      <c r="AD240" s="282"/>
    </row>
    <row r="241" spans="1:70" x14ac:dyDescent="0.25">
      <c r="AA241" s="282"/>
      <c r="AB241" s="282"/>
      <c r="AC241" s="282"/>
      <c r="AD241" s="282"/>
    </row>
    <row r="242" spans="1:70" x14ac:dyDescent="0.25">
      <c r="B242" s="717" t="s">
        <v>439</v>
      </c>
      <c r="C242" s="717" t="s">
        <v>440</v>
      </c>
      <c r="D242" s="717" t="s">
        <v>441</v>
      </c>
      <c r="E242" s="717" t="s">
        <v>442</v>
      </c>
      <c r="F242" s="717" t="s">
        <v>443</v>
      </c>
      <c r="G242" s="717" t="s">
        <v>444</v>
      </c>
      <c r="H242" s="717" t="s">
        <v>445</v>
      </c>
      <c r="I242" s="717" t="s">
        <v>446</v>
      </c>
      <c r="J242" s="717" t="s">
        <v>447</v>
      </c>
      <c r="K242" s="717" t="s">
        <v>448</v>
      </c>
      <c r="L242" s="717" t="s">
        <v>449</v>
      </c>
      <c r="M242" s="717" t="s">
        <v>450</v>
      </c>
      <c r="N242" s="717" t="s">
        <v>451</v>
      </c>
      <c r="O242" s="717" t="s">
        <v>452</v>
      </c>
      <c r="P242" s="717" t="s">
        <v>453</v>
      </c>
      <c r="Q242" s="717" t="s">
        <v>454</v>
      </c>
      <c r="R242" s="717" t="s">
        <v>455</v>
      </c>
      <c r="S242" s="717" t="s">
        <v>456</v>
      </c>
      <c r="T242" s="717" t="s">
        <v>457</v>
      </c>
      <c r="U242" s="717" t="s">
        <v>458</v>
      </c>
      <c r="V242" s="717" t="s">
        <v>589</v>
      </c>
      <c r="W242" s="717" t="s">
        <v>590</v>
      </c>
      <c r="X242" s="717" t="s">
        <v>591</v>
      </c>
      <c r="Y242" s="717" t="s">
        <v>592</v>
      </c>
      <c r="Z242" s="717" t="s">
        <v>593</v>
      </c>
      <c r="AA242" s="282" t="s">
        <v>590</v>
      </c>
      <c r="AB242" s="282" t="s">
        <v>591</v>
      </c>
      <c r="AC242" s="282" t="s">
        <v>592</v>
      </c>
      <c r="AD242" s="282" t="s">
        <v>593</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282"/>
      <c r="AB243" s="282"/>
      <c r="AC243" s="282"/>
      <c r="AD243" s="282"/>
    </row>
    <row r="244" spans="1:70" x14ac:dyDescent="0.25">
      <c r="AA244" s="282"/>
      <c r="AB244" s="282"/>
      <c r="AC244" s="282"/>
      <c r="AD244" s="282"/>
    </row>
    <row r="245" spans="1:70" x14ac:dyDescent="0.25">
      <c r="A245" s="716" t="s">
        <v>459</v>
      </c>
      <c r="AA245" s="282"/>
      <c r="AB245" s="282"/>
      <c r="AC245" s="282"/>
      <c r="AD245" s="282"/>
    </row>
    <row r="246" spans="1:70" x14ac:dyDescent="0.25">
      <c r="A246" s="716" t="s">
        <v>594</v>
      </c>
      <c r="B246" s="718">
        <v>23.882804870605501</v>
      </c>
      <c r="C246" s="718">
        <v>24.973464965820298</v>
      </c>
      <c r="D246" s="718">
        <v>28.470840454101602</v>
      </c>
      <c r="E246" s="718">
        <v>21.505495071411101</v>
      </c>
      <c r="F246" s="718">
        <v>20.697200775146499</v>
      </c>
      <c r="G246" s="718">
        <v>23.0020751953125</v>
      </c>
      <c r="H246" s="718">
        <v>24.980747222900401</v>
      </c>
      <c r="I246" s="718">
        <v>26.7403888702393</v>
      </c>
      <c r="J246" s="718">
        <v>28.254840850830099</v>
      </c>
      <c r="K246" s="718">
        <v>29.8807067871094</v>
      </c>
      <c r="L246" s="718">
        <v>30.930690765380898</v>
      </c>
      <c r="M246" s="718">
        <v>31.804765701293899</v>
      </c>
      <c r="N246" s="718">
        <v>32.682899475097699</v>
      </c>
      <c r="O246" s="718">
        <v>33.084945678710902</v>
      </c>
      <c r="P246" s="718">
        <v>33.339298248291001</v>
      </c>
      <c r="Q246" s="718">
        <v>33.569530487060497</v>
      </c>
      <c r="R246" s="718">
        <v>33.692008972167997</v>
      </c>
      <c r="S246" s="718">
        <v>34.029460906982401</v>
      </c>
      <c r="T246" s="718">
        <v>34.165733337402301</v>
      </c>
      <c r="U246" s="718">
        <v>33.722698211669901</v>
      </c>
      <c r="V246" s="718">
        <v>33.999015808105497</v>
      </c>
      <c r="W246" s="718">
        <v>34.276668548583999</v>
      </c>
      <c r="X246" s="718">
        <v>34.616855621337898</v>
      </c>
      <c r="Y246" s="718">
        <v>34.804977416992202</v>
      </c>
      <c r="Z246" s="718">
        <v>35.163482666015597</v>
      </c>
      <c r="AA246" s="282">
        <v>23.653226852416999</v>
      </c>
      <c r="AB246" s="282">
        <v>23.781959533691399</v>
      </c>
      <c r="AC246" s="282">
        <v>23.869001388549801</v>
      </c>
      <c r="AD246" s="282">
        <v>23.909082412719702</v>
      </c>
    </row>
    <row r="247" spans="1:70" x14ac:dyDescent="0.25">
      <c r="A247" s="716" t="s">
        <v>595</v>
      </c>
      <c r="B247" s="718">
        <v>18.4642543792725</v>
      </c>
      <c r="C247" s="718">
        <v>19.664405822753899</v>
      </c>
      <c r="D247" s="718">
        <v>23.940315246581999</v>
      </c>
      <c r="E247" s="718">
        <v>15.6857194900513</v>
      </c>
      <c r="F247" s="718">
        <v>13.3512983322144</v>
      </c>
      <c r="G247" s="718">
        <v>15.708171844482401</v>
      </c>
      <c r="H247" s="718">
        <v>17.491518020629901</v>
      </c>
      <c r="I247" s="718">
        <v>18.8044624328613</v>
      </c>
      <c r="J247" s="718">
        <v>20.071212768554702</v>
      </c>
      <c r="K247" s="718">
        <v>21.571735382080099</v>
      </c>
      <c r="L247" s="718">
        <v>22.444984436035199</v>
      </c>
      <c r="M247" s="718">
        <v>23.2645053863525</v>
      </c>
      <c r="N247" s="718">
        <v>23.975505828857401</v>
      </c>
      <c r="O247" s="718">
        <v>24.350082397460898</v>
      </c>
      <c r="P247" s="718">
        <v>24.6401481628418</v>
      </c>
      <c r="Q247" s="718">
        <v>24.7862453460693</v>
      </c>
      <c r="R247" s="718">
        <v>24.899822235107401</v>
      </c>
      <c r="S247" s="718">
        <v>25.1952934265137</v>
      </c>
      <c r="T247" s="718">
        <v>25.492937088012699</v>
      </c>
      <c r="U247" s="718">
        <v>25.134300231933601</v>
      </c>
      <c r="V247" s="718">
        <v>25.433099746704102</v>
      </c>
      <c r="W247" s="718">
        <v>25.7546691894531</v>
      </c>
      <c r="X247" s="718">
        <v>26.098386764526399</v>
      </c>
      <c r="Y247" s="718">
        <v>26.3820476531982</v>
      </c>
      <c r="Z247" s="718">
        <v>26.7700805664063</v>
      </c>
      <c r="AA247" s="282">
        <v>13.801754951477101</v>
      </c>
      <c r="AB247" s="282">
        <v>13.897899627685501</v>
      </c>
      <c r="AC247" s="282">
        <v>14.058331489563001</v>
      </c>
      <c r="AD247" s="282">
        <v>14.125551223754901</v>
      </c>
    </row>
    <row r="248" spans="1:70" x14ac:dyDescent="0.25">
      <c r="A248" s="716" t="s">
        <v>496</v>
      </c>
      <c r="B248" s="718">
        <v>13.7000589370728</v>
      </c>
      <c r="C248" s="718">
        <v>12.691158294677701</v>
      </c>
      <c r="D248" s="718">
        <v>12.9778490066528</v>
      </c>
      <c r="E248" s="718">
        <v>10.717614173889199</v>
      </c>
      <c r="F248" s="718">
        <v>11.192774772644</v>
      </c>
      <c r="G248" s="718">
        <v>11.487280845642101</v>
      </c>
      <c r="H248" s="718">
        <v>11.3991556167603</v>
      </c>
      <c r="I248" s="718">
        <v>11.307798385620099</v>
      </c>
      <c r="J248" s="718">
        <v>11.2896461486816</v>
      </c>
      <c r="K248" s="718">
        <v>11.345415115356399</v>
      </c>
      <c r="L248" s="718">
        <v>11.538298606872599</v>
      </c>
      <c r="M248" s="718">
        <v>11.7583208084106</v>
      </c>
      <c r="N248" s="718">
        <v>11.975100517272899</v>
      </c>
      <c r="O248" s="718">
        <v>12.23952293396</v>
      </c>
      <c r="P248" s="718">
        <v>12.557071685791</v>
      </c>
      <c r="Q248" s="718">
        <v>12.7957820892334</v>
      </c>
      <c r="R248" s="718">
        <v>12.871651649475099</v>
      </c>
      <c r="S248" s="718">
        <v>12.660281181335399</v>
      </c>
      <c r="T248" s="718">
        <v>12.6240320205688</v>
      </c>
      <c r="U248" s="718">
        <v>12.5992183685303</v>
      </c>
      <c r="V248" s="718">
        <v>12.7868556976318</v>
      </c>
      <c r="W248" s="718">
        <v>13.07555103302</v>
      </c>
      <c r="X248" s="718">
        <v>13.407883644104</v>
      </c>
      <c r="Y248" s="718">
        <v>13.6725673675537</v>
      </c>
      <c r="Z248" s="718">
        <v>13.962038993835399</v>
      </c>
      <c r="AA248" s="282">
        <v>11.116808891296399</v>
      </c>
      <c r="AB248" s="282">
        <v>11.2574377059937</v>
      </c>
      <c r="AC248" s="282">
        <v>11.3709173202515</v>
      </c>
      <c r="AD248" s="282">
        <v>11.426144599914601</v>
      </c>
    </row>
    <row r="249" spans="1:70" x14ac:dyDescent="0.25">
      <c r="A249" s="716" t="s">
        <v>465</v>
      </c>
      <c r="B249" s="718">
        <v>31.206779479980501</v>
      </c>
      <c r="C249" s="718">
        <v>31.181957244873001</v>
      </c>
      <c r="D249" s="718">
        <v>31.772819519043001</v>
      </c>
      <c r="E249" s="718">
        <v>30.736837387085</v>
      </c>
      <c r="F249" s="718">
        <v>28.616357803344702</v>
      </c>
      <c r="G249" s="718">
        <v>29.873619079589801</v>
      </c>
      <c r="H249" s="718">
        <v>30.101655960083001</v>
      </c>
      <c r="I249" s="718">
        <v>30.425390243530298</v>
      </c>
      <c r="J249" s="718">
        <v>30.7938537597656</v>
      </c>
      <c r="K249" s="718">
        <v>30.883028030395501</v>
      </c>
      <c r="L249" s="718">
        <v>31.149145126342798</v>
      </c>
      <c r="M249" s="718">
        <v>31.4898681640625</v>
      </c>
      <c r="N249" s="718">
        <v>31.815629959106399</v>
      </c>
      <c r="O249" s="718">
        <v>32.020698547363303</v>
      </c>
      <c r="P249" s="718">
        <v>32.4303588867188</v>
      </c>
      <c r="Q249" s="718">
        <v>32.7907905578613</v>
      </c>
      <c r="R249" s="718">
        <v>32.994007110595703</v>
      </c>
      <c r="S249" s="718">
        <v>32.923465728759801</v>
      </c>
      <c r="T249" s="718">
        <v>32.920154571533203</v>
      </c>
      <c r="U249" s="718">
        <v>32.902271270752003</v>
      </c>
      <c r="V249" s="718">
        <v>32.958240509033203</v>
      </c>
      <c r="W249" s="718">
        <v>33.321102142333999</v>
      </c>
      <c r="X249" s="718">
        <v>33.734363555908203</v>
      </c>
      <c r="Y249" s="718">
        <v>34.149539947509801</v>
      </c>
      <c r="Z249" s="718">
        <v>34.490489959716797</v>
      </c>
      <c r="AA249" s="282">
        <v>26.5695495605469</v>
      </c>
      <c r="AB249" s="282">
        <v>26.6057014465332</v>
      </c>
      <c r="AC249" s="282">
        <v>26.7373046875</v>
      </c>
      <c r="AD249" s="282">
        <v>26.757972717285199</v>
      </c>
    </row>
    <row r="250" spans="1:70" x14ac:dyDescent="0.25">
      <c r="AA250" s="282"/>
      <c r="AB250" s="282"/>
      <c r="AC250" s="282"/>
      <c r="AD250" s="282"/>
    </row>
    <row r="251" spans="1:70" x14ac:dyDescent="0.25">
      <c r="A251" s="716" t="s">
        <v>466</v>
      </c>
      <c r="AA251" s="282">
        <v>12.0537929534912</v>
      </c>
      <c r="AB251" s="282">
        <v>12.2529897689819</v>
      </c>
      <c r="AC251" s="282">
        <v>12.3258762359619</v>
      </c>
      <c r="AD251" s="282">
        <v>12.452996253967299</v>
      </c>
    </row>
    <row r="252" spans="1:70" ht="13.8" thickBot="1" x14ac:dyDescent="0.3">
      <c r="A252" s="716" t="s">
        <v>594</v>
      </c>
      <c r="B252" s="718">
        <v>21.1974983215332</v>
      </c>
      <c r="C252" s="718">
        <v>23.041419982910199</v>
      </c>
      <c r="D252" s="718">
        <v>23.540430068969702</v>
      </c>
      <c r="E252" s="718">
        <v>20.975297927856399</v>
      </c>
      <c r="F252" s="718">
        <v>17.540355682373001</v>
      </c>
      <c r="G252" s="718">
        <v>19.827720642089801</v>
      </c>
      <c r="H252" s="718">
        <v>21.7962131500244</v>
      </c>
      <c r="I252" s="718">
        <v>23.5440998077393</v>
      </c>
      <c r="J252" s="718">
        <v>25.047388076782202</v>
      </c>
      <c r="K252" s="718">
        <v>26.6623840332031</v>
      </c>
      <c r="L252" s="718">
        <v>27.701774597168001</v>
      </c>
      <c r="M252" s="718">
        <v>28.565574645996101</v>
      </c>
      <c r="N252" s="718">
        <v>29.4346523284912</v>
      </c>
      <c r="O252" s="718">
        <v>29.8274021148682</v>
      </c>
      <c r="P252" s="718">
        <v>30.0731811523438</v>
      </c>
      <c r="Q252" s="718">
        <v>30.2960014343262</v>
      </c>
      <c r="R252" s="718">
        <v>30.4115695953369</v>
      </c>
      <c r="S252" s="718">
        <v>30.7421360015869</v>
      </c>
      <c r="T252" s="718">
        <v>30.871879577636701</v>
      </c>
      <c r="U252" s="718">
        <v>30.422807693481399</v>
      </c>
      <c r="V252" s="718">
        <v>30.6932373046875</v>
      </c>
      <c r="W252" s="718">
        <v>30.965314865112301</v>
      </c>
      <c r="X252" s="718">
        <v>31.299940109252901</v>
      </c>
      <c r="Y252" s="718">
        <v>31.482862472534201</v>
      </c>
      <c r="Z252" s="718">
        <v>31.836189270019499</v>
      </c>
      <c r="AA252" s="282">
        <v>7.3951959609985396</v>
      </c>
      <c r="AB252" s="282">
        <v>7.4624595642089799</v>
      </c>
      <c r="AC252" s="282">
        <v>7.2386937141418501</v>
      </c>
      <c r="AD252" s="282">
        <v>7.3113985061645499</v>
      </c>
    </row>
    <row r="253" spans="1:70" ht="13.8" thickBot="1" x14ac:dyDescent="0.3">
      <c r="A253" s="716" t="s">
        <v>595</v>
      </c>
      <c r="B253" s="718">
        <v>15.019946098327599</v>
      </c>
      <c r="C253" s="718">
        <v>16.054100036621101</v>
      </c>
      <c r="D253" s="718">
        <v>20.9568576812744</v>
      </c>
      <c r="E253" s="718">
        <v>13.740292549133301</v>
      </c>
      <c r="F253" s="718">
        <v>10.759732246398899</v>
      </c>
      <c r="G253" s="718">
        <v>13.277551651001</v>
      </c>
      <c r="H253" s="718">
        <v>15.102119445800801</v>
      </c>
      <c r="I253" s="718">
        <v>16.819028854370099</v>
      </c>
      <c r="J253" s="718">
        <v>18.163129806518601</v>
      </c>
      <c r="K253" s="718">
        <v>19.404659271240199</v>
      </c>
      <c r="L253" s="718">
        <v>20.2805690765381</v>
      </c>
      <c r="M253" s="718">
        <v>21.141357421875</v>
      </c>
      <c r="N253" s="718">
        <v>21.870569229126001</v>
      </c>
      <c r="O253" s="718">
        <v>22.288406372070298</v>
      </c>
      <c r="P253" s="718">
        <v>22.606428146362301</v>
      </c>
      <c r="Q253" s="718">
        <v>22.643785476684599</v>
      </c>
      <c r="R253" s="718">
        <v>22.862098693847699</v>
      </c>
      <c r="S253" s="718">
        <v>23.111530303955099</v>
      </c>
      <c r="T253" s="718">
        <v>23.2818489074707</v>
      </c>
      <c r="U253" s="718">
        <v>23.1139316558838</v>
      </c>
      <c r="V253" s="718">
        <v>23.4434604644775</v>
      </c>
      <c r="W253" s="718">
        <v>23.529294967651399</v>
      </c>
      <c r="X253" s="718">
        <v>23.9437866210938</v>
      </c>
      <c r="Y253" s="718">
        <v>24.471529006958001</v>
      </c>
      <c r="Z253" s="718">
        <v>24.6476936340332</v>
      </c>
      <c r="AA253" s="282">
        <v>9.0512752532959002</v>
      </c>
      <c r="AB253" s="282">
        <v>9.1702537536621094</v>
      </c>
      <c r="AC253" s="282">
        <v>9.2454566955566406</v>
      </c>
      <c r="AD253" s="282">
        <v>9.3029346466064506</v>
      </c>
      <c r="AE253" s="260">
        <f>AD253+($AI$253-$AD$253)/5</f>
        <v>9.3577216364198588</v>
      </c>
      <c r="AF253" s="260">
        <f>AE253+($AI$253-$AD$253)/5</f>
        <v>9.4125086262332669</v>
      </c>
      <c r="AG253" s="260">
        <f>AF253+($AI$253-$AD$253)/5</f>
        <v>9.467295616046675</v>
      </c>
      <c r="AH253" s="260">
        <f>AG253+($AI$253-$AD$253)/5</f>
        <v>9.5220826058600831</v>
      </c>
      <c r="AI253" s="261">
        <f>T423*$E$742</f>
        <v>9.5768695956734877</v>
      </c>
      <c r="AJ253" s="260">
        <f>AI253+($AX$253-$AI$253)/15</f>
        <v>9.6852727225982509</v>
      </c>
      <c r="AK253" s="260">
        <f t="shared" ref="AK253:AW253" si="3">AJ253+($AX$253-$AI$253)/15</f>
        <v>9.7936758495230141</v>
      </c>
      <c r="AL253" s="260">
        <f t="shared" si="3"/>
        <v>9.9020789764477772</v>
      </c>
      <c r="AM253" s="260">
        <f t="shared" si="3"/>
        <v>10.01048210337254</v>
      </c>
      <c r="AN253" s="260">
        <f t="shared" si="3"/>
        <v>10.118885230297304</v>
      </c>
      <c r="AO253" s="260">
        <f t="shared" si="3"/>
        <v>10.227288357222067</v>
      </c>
      <c r="AP253" s="260">
        <f t="shared" si="3"/>
        <v>10.33569148414683</v>
      </c>
      <c r="AQ253" s="260">
        <f t="shared" si="3"/>
        <v>10.444094611071593</v>
      </c>
      <c r="AR253" s="260">
        <f t="shared" si="3"/>
        <v>10.552497737996356</v>
      </c>
      <c r="AS253" s="260">
        <f t="shared" si="3"/>
        <v>10.660900864921119</v>
      </c>
      <c r="AT253" s="260">
        <f t="shared" si="3"/>
        <v>10.769303991845883</v>
      </c>
      <c r="AU253" s="260">
        <f t="shared" si="3"/>
        <v>10.877707118770646</v>
      </c>
      <c r="AV253" s="260">
        <f t="shared" si="3"/>
        <v>10.986110245695409</v>
      </c>
      <c r="AW253" s="260">
        <f t="shared" si="3"/>
        <v>11.094513372620172</v>
      </c>
      <c r="AX253" s="261">
        <f>AI253*$B$742</f>
        <v>11.202916499544939</v>
      </c>
      <c r="AY253" s="260">
        <f>AX253+($BM$253-$AX$253)/15</f>
        <v>11.313845014700993</v>
      </c>
      <c r="AZ253" s="260">
        <f t="shared" ref="AZ253:BL253" si="4">AY253+($BM$253-$AX$253)/15</f>
        <v>11.424773529857047</v>
      </c>
      <c r="BA253" s="260">
        <f t="shared" si="4"/>
        <v>11.535702045013101</v>
      </c>
      <c r="BB253" s="260">
        <f t="shared" si="4"/>
        <v>11.646630560169156</v>
      </c>
      <c r="BC253" s="260">
        <f t="shared" si="4"/>
        <v>11.75755907532521</v>
      </c>
      <c r="BD253" s="260">
        <f t="shared" si="4"/>
        <v>11.868487590481264</v>
      </c>
      <c r="BE253" s="260">
        <f t="shared" si="4"/>
        <v>11.979416105637318</v>
      </c>
      <c r="BF253" s="260">
        <f t="shared" si="4"/>
        <v>12.090344620793372</v>
      </c>
      <c r="BG253" s="260">
        <f t="shared" si="4"/>
        <v>12.201273135949426</v>
      </c>
      <c r="BH253" s="260">
        <f t="shared" si="4"/>
        <v>12.312201651105481</v>
      </c>
      <c r="BI253" s="260">
        <f t="shared" si="4"/>
        <v>12.423130166261535</v>
      </c>
      <c r="BJ253" s="260">
        <f t="shared" si="4"/>
        <v>12.534058681417589</v>
      </c>
      <c r="BK253" s="260">
        <f t="shared" si="4"/>
        <v>12.644987196573643</v>
      </c>
      <c r="BL253" s="260">
        <f t="shared" si="4"/>
        <v>12.755915711729697</v>
      </c>
      <c r="BM253" s="261">
        <f>AX253*$C$742</f>
        <v>12.866844226885757</v>
      </c>
      <c r="BN253" s="260">
        <f>BM253+($BR$253-$BM$253)/5</f>
        <v>12.994248543867917</v>
      </c>
      <c r="BO253" s="260">
        <f>BN253+($BR$253-$BM$253)/5</f>
        <v>13.121652860850077</v>
      </c>
      <c r="BP253" s="260">
        <f>BO253+($BR$253-$BM$253)/5</f>
        <v>13.249057177832237</v>
      </c>
      <c r="BQ253" s="260">
        <f>BP253+($BR$253-$BM$253)/5</f>
        <v>13.376461494814397</v>
      </c>
      <c r="BR253" s="261">
        <f>BM253*$D$742</f>
        <v>13.503865811796555</v>
      </c>
    </row>
    <row r="254" spans="1:70" ht="13.8" thickBot="1" x14ac:dyDescent="0.3">
      <c r="A254" s="716" t="s">
        <v>708</v>
      </c>
      <c r="B254" s="718">
        <v>8.8815975189209002</v>
      </c>
      <c r="C254" s="718">
        <v>10.3074436187744</v>
      </c>
      <c r="D254" s="718">
        <v>13.411918640136699</v>
      </c>
      <c r="E254" s="718">
        <v>6.6991925239562997</v>
      </c>
      <c r="F254" s="718">
        <v>5.8016228675842303</v>
      </c>
      <c r="G254" s="718">
        <v>8.5975322723388707</v>
      </c>
      <c r="H254" s="718">
        <v>10.1285858154297</v>
      </c>
      <c r="I254" s="718">
        <v>11.654000282287599</v>
      </c>
      <c r="J254" s="718">
        <v>12.9474182128906</v>
      </c>
      <c r="K254" s="718">
        <v>14.400235176086399</v>
      </c>
      <c r="L254" s="718">
        <v>15.2041673660278</v>
      </c>
      <c r="M254" s="718">
        <v>15.658245086669901</v>
      </c>
      <c r="N254" s="718">
        <v>16.352220535278299</v>
      </c>
      <c r="O254" s="718">
        <v>16.605510711669901</v>
      </c>
      <c r="P254" s="718">
        <v>16.856744766235401</v>
      </c>
      <c r="Q254" s="718">
        <v>17.043632507324201</v>
      </c>
      <c r="R254" s="718">
        <v>17.1953125</v>
      </c>
      <c r="S254" s="718">
        <v>17.403110504150401</v>
      </c>
      <c r="T254" s="718">
        <v>17.4520969390869</v>
      </c>
      <c r="U254" s="718">
        <v>17.016120910644499</v>
      </c>
      <c r="V254" s="718">
        <v>17.163618087768601</v>
      </c>
      <c r="W254" s="718">
        <v>17.311967849731399</v>
      </c>
      <c r="X254" s="718">
        <v>17.516565322876001</v>
      </c>
      <c r="Y254" s="718">
        <v>17.704761505126999</v>
      </c>
      <c r="Z254" s="718">
        <v>17.873653411865199</v>
      </c>
      <c r="AA254" s="282">
        <v>24.1571254730225</v>
      </c>
      <c r="AB254" s="282">
        <v>24.207300186157202</v>
      </c>
      <c r="AC254" s="282">
        <v>24.2876873016357</v>
      </c>
      <c r="AD254" s="282">
        <v>24.267208099365199</v>
      </c>
      <c r="AE254" s="262">
        <f>AD254+($AI$254-$AD$254)/5</f>
        <v>24.075703794494256</v>
      </c>
      <c r="AF254" s="262">
        <f>AE254+($AI$254-$AD$254)/5</f>
        <v>23.884199489623313</v>
      </c>
      <c r="AG254" s="262">
        <f>AF254+($AI$254-$AD$254)/5</f>
        <v>23.69269518475237</v>
      </c>
      <c r="AH254" s="262">
        <f>AG254+($AI$254-$AD$254)/5</f>
        <v>23.501190879881428</v>
      </c>
      <c r="AI254" s="263">
        <f>T424*$E$745</f>
        <v>23.309686575010492</v>
      </c>
      <c r="AJ254" s="262">
        <f>AI254+($AX$254-$AI$254)/15</f>
        <v>23.300523054015734</v>
      </c>
      <c r="AK254" s="262">
        <f t="shared" ref="AK254:AW254" si="5">AJ254+($AX$254-$AI$254)/15</f>
        <v>23.291359533020977</v>
      </c>
      <c r="AL254" s="262">
        <f t="shared" si="5"/>
        <v>23.282196012026219</v>
      </c>
      <c r="AM254" s="262">
        <f t="shared" si="5"/>
        <v>23.273032491031461</v>
      </c>
      <c r="AN254" s="262">
        <f t="shared" si="5"/>
        <v>23.263868970036704</v>
      </c>
      <c r="AO254" s="262">
        <f t="shared" si="5"/>
        <v>23.254705449041946</v>
      </c>
      <c r="AP254" s="262">
        <f t="shared" si="5"/>
        <v>23.245541928047189</v>
      </c>
      <c r="AQ254" s="262">
        <f t="shared" si="5"/>
        <v>23.236378407052431</v>
      </c>
      <c r="AR254" s="262">
        <f t="shared" si="5"/>
        <v>23.227214886057673</v>
      </c>
      <c r="AS254" s="262">
        <f t="shared" si="5"/>
        <v>23.218051365062916</v>
      </c>
      <c r="AT254" s="262">
        <f t="shared" si="5"/>
        <v>23.208887844068158</v>
      </c>
      <c r="AU254" s="262">
        <f t="shared" si="5"/>
        <v>23.199724323073401</v>
      </c>
      <c r="AV254" s="262">
        <f t="shared" si="5"/>
        <v>23.190560802078643</v>
      </c>
      <c r="AW254" s="262">
        <f t="shared" si="5"/>
        <v>23.181397281083886</v>
      </c>
      <c r="AX254" s="263">
        <f>AI254*$B$745</f>
        <v>23.172233760089139</v>
      </c>
      <c r="AY254" s="262">
        <f>AX254+($BM$254-$AX$254)/15</f>
        <v>23.186953863011141</v>
      </c>
      <c r="AZ254" s="262">
        <f t="shared" ref="AZ254:BL254" si="6">AY254+($BM$254-$AX$254)/15</f>
        <v>23.201673965933143</v>
      </c>
      <c r="BA254" s="262">
        <f t="shared" si="6"/>
        <v>23.216394068855145</v>
      </c>
      <c r="BB254" s="262">
        <f t="shared" si="6"/>
        <v>23.231114171777147</v>
      </c>
      <c r="BC254" s="262">
        <f t="shared" si="6"/>
        <v>23.245834274699149</v>
      </c>
      <c r="BD254" s="262">
        <f t="shared" si="6"/>
        <v>23.260554377621151</v>
      </c>
      <c r="BE254" s="262">
        <f t="shared" si="6"/>
        <v>23.275274480543153</v>
      </c>
      <c r="BF254" s="262">
        <f t="shared" si="6"/>
        <v>23.289994583465155</v>
      </c>
      <c r="BG254" s="262">
        <f t="shared" si="6"/>
        <v>23.304714686387157</v>
      </c>
      <c r="BH254" s="262">
        <f t="shared" si="6"/>
        <v>23.31943478930916</v>
      </c>
      <c r="BI254" s="262">
        <f t="shared" si="6"/>
        <v>23.334154892231162</v>
      </c>
      <c r="BJ254" s="262">
        <f t="shared" si="6"/>
        <v>23.348874995153164</v>
      </c>
      <c r="BK254" s="262">
        <f t="shared" si="6"/>
        <v>23.363595098075166</v>
      </c>
      <c r="BL254" s="262">
        <f t="shared" si="6"/>
        <v>23.378315200997168</v>
      </c>
      <c r="BM254" s="263">
        <f>AX254*$C$745</f>
        <v>23.393035303919145</v>
      </c>
      <c r="BN254" s="262">
        <f>BM254+($BR$254-$BM$254)/5</f>
        <v>23.407895670463727</v>
      </c>
      <c r="BO254" s="262">
        <f>BN254+($BR$254-$BM$254)/5</f>
        <v>23.422756037008309</v>
      </c>
      <c r="BP254" s="262">
        <f>BO254+($BR$254-$BM$254)/5</f>
        <v>23.437616403552891</v>
      </c>
      <c r="BQ254" s="262">
        <f>BP254+($BR$254-$BM$254)/5</f>
        <v>23.452476770097473</v>
      </c>
      <c r="BR254" s="263">
        <f>BM254*$D$745</f>
        <v>23.467337136642058</v>
      </c>
    </row>
    <row r="255" spans="1:70" x14ac:dyDescent="0.25">
      <c r="A255" s="716" t="s">
        <v>496</v>
      </c>
      <c r="B255" s="718">
        <v>11.896094322204601</v>
      </c>
      <c r="C255" s="718">
        <v>10.9898433685303</v>
      </c>
      <c r="D255" s="718">
        <v>11.3387994766235</v>
      </c>
      <c r="E255" s="718">
        <v>8.9075946807861293</v>
      </c>
      <c r="F255" s="718">
        <v>9.4656057357788104</v>
      </c>
      <c r="G255" s="718">
        <v>9.7463216781616193</v>
      </c>
      <c r="H255" s="718">
        <v>9.7210922241210902</v>
      </c>
      <c r="I255" s="718">
        <v>9.6719341278076207</v>
      </c>
      <c r="J255" s="718">
        <v>9.7138872146606392</v>
      </c>
      <c r="K255" s="718">
        <v>9.8306560516357404</v>
      </c>
      <c r="L255" s="718">
        <v>10.038209915161101</v>
      </c>
      <c r="M255" s="718">
        <v>10.2545003890991</v>
      </c>
      <c r="N255" s="718">
        <v>10.476261138916</v>
      </c>
      <c r="O255" s="718">
        <v>10.746561050415</v>
      </c>
      <c r="P255" s="718">
        <v>11.0803880691528</v>
      </c>
      <c r="Q255" s="718">
        <v>11.314369201660201</v>
      </c>
      <c r="R255" s="718">
        <v>11.4017143249512</v>
      </c>
      <c r="S255" s="718">
        <v>11.212500572204601</v>
      </c>
      <c r="T255" s="718">
        <v>11.1975994110107</v>
      </c>
      <c r="U255" s="718">
        <v>11.159740447998001</v>
      </c>
      <c r="V255" s="718">
        <v>11.3503875732422</v>
      </c>
      <c r="W255" s="718">
        <v>11.640952110290501</v>
      </c>
      <c r="X255" s="718">
        <v>11.9785671234131</v>
      </c>
      <c r="Y255" s="718">
        <v>12.2332496643066</v>
      </c>
      <c r="Z255" s="718">
        <v>12.5188312530518</v>
      </c>
      <c r="AA255" s="282"/>
      <c r="AB255" s="282"/>
      <c r="AC255" s="282"/>
      <c r="AD255" s="282"/>
    </row>
    <row r="256" spans="1:70" x14ac:dyDescent="0.25">
      <c r="A256" s="716" t="s">
        <v>465</v>
      </c>
      <c r="B256" s="718">
        <v>28.3762531280518</v>
      </c>
      <c r="C256" s="718">
        <v>28.029735565185501</v>
      </c>
      <c r="D256" s="718">
        <v>29.057315826416001</v>
      </c>
      <c r="E256" s="718">
        <v>27.6067714691162</v>
      </c>
      <c r="F256" s="718">
        <v>24.835584640502901</v>
      </c>
      <c r="G256" s="718">
        <v>25.581251144409201</v>
      </c>
      <c r="H256" s="718">
        <v>25.4402256011963</v>
      </c>
      <c r="I256" s="718">
        <v>25.470129013061499</v>
      </c>
      <c r="J256" s="718">
        <v>25.672283172607401</v>
      </c>
      <c r="K256" s="718">
        <v>25.763282775878899</v>
      </c>
      <c r="L256" s="718">
        <v>26.100669860839801</v>
      </c>
      <c r="M256" s="718">
        <v>26.468044281005898</v>
      </c>
      <c r="N256" s="718">
        <v>26.885612487793001</v>
      </c>
      <c r="O256" s="718">
        <v>27.169450759887699</v>
      </c>
      <c r="P256" s="718">
        <v>27.620109558105501</v>
      </c>
      <c r="Q256" s="718">
        <v>28.002447128295898</v>
      </c>
      <c r="R256" s="718">
        <v>28.245407104492202</v>
      </c>
      <c r="S256" s="718">
        <v>28.186374664306602</v>
      </c>
      <c r="T256" s="718">
        <v>28.203248977661101</v>
      </c>
      <c r="U256" s="718">
        <v>28.139711380004901</v>
      </c>
      <c r="V256" s="718">
        <v>28.178466796875</v>
      </c>
      <c r="W256" s="718">
        <v>28.495182037353501</v>
      </c>
      <c r="X256" s="718">
        <v>28.915565490722699</v>
      </c>
      <c r="Y256" s="718">
        <v>29.289411544799801</v>
      </c>
      <c r="Z256" s="718">
        <v>29.651695251464801</v>
      </c>
      <c r="AA256" s="282">
        <v>16.318952560424801</v>
      </c>
      <c r="AB256" s="282">
        <v>16.4172878265381</v>
      </c>
      <c r="AC256" s="282">
        <v>16.5084934234619</v>
      </c>
      <c r="AD256" s="282">
        <v>16.549221038818398</v>
      </c>
    </row>
    <row r="257" spans="1:70" x14ac:dyDescent="0.25">
      <c r="AA257" s="282">
        <v>12.788073539733899</v>
      </c>
      <c r="AB257" s="282">
        <v>13.069622039794901</v>
      </c>
      <c r="AC257" s="282">
        <v>13.0597486495972</v>
      </c>
      <c r="AD257" s="282">
        <v>13.2463188171387</v>
      </c>
    </row>
    <row r="258" spans="1:70" ht="13.8" thickBot="1" x14ac:dyDescent="0.3">
      <c r="A258" s="716" t="s">
        <v>597</v>
      </c>
      <c r="AA258" s="282">
        <v>9.5039434432983398</v>
      </c>
      <c r="AB258" s="282">
        <v>9.4975557327270508</v>
      </c>
      <c r="AC258" s="282">
        <v>9.6068582534790004</v>
      </c>
      <c r="AD258" s="282">
        <v>9.5831336975097692</v>
      </c>
    </row>
    <row r="259" spans="1:70" ht="13.8" thickBot="1" x14ac:dyDescent="0.3">
      <c r="A259" s="716" t="s">
        <v>594</v>
      </c>
      <c r="B259" s="718">
        <v>21.041078567504901</v>
      </c>
      <c r="C259" s="718">
        <v>23.3795166015625</v>
      </c>
      <c r="D259" s="718">
        <v>26.646581649780298</v>
      </c>
      <c r="E259" s="718">
        <v>22.2440700531006</v>
      </c>
      <c r="F259" s="718">
        <v>16.6379299163818</v>
      </c>
      <c r="G259" s="718">
        <v>18.920274734497099</v>
      </c>
      <c r="H259" s="718">
        <v>20.8892612457275</v>
      </c>
      <c r="I259" s="718">
        <v>22.636520385742202</v>
      </c>
      <c r="J259" s="718">
        <v>24.1346244812012</v>
      </c>
      <c r="K259" s="718">
        <v>25.742292404174801</v>
      </c>
      <c r="L259" s="718">
        <v>26.783767700195298</v>
      </c>
      <c r="M259" s="718">
        <v>27.652248382568398</v>
      </c>
      <c r="N259" s="718">
        <v>28.520401000976602</v>
      </c>
      <c r="O259" s="718">
        <v>28.932659149169901</v>
      </c>
      <c r="P259" s="718">
        <v>29.169765472412099</v>
      </c>
      <c r="Q259" s="718">
        <v>29.4143581390381</v>
      </c>
      <c r="R259" s="718">
        <v>29.524629592895501</v>
      </c>
      <c r="S259" s="718">
        <v>29.853767395019499</v>
      </c>
      <c r="T259" s="718">
        <v>29.959171295166001</v>
      </c>
      <c r="U259" s="718">
        <v>29.528638839721701</v>
      </c>
      <c r="V259" s="718">
        <v>29.7813510894775</v>
      </c>
      <c r="W259" s="718">
        <v>30.054143905639599</v>
      </c>
      <c r="X259" s="718">
        <v>30.3852443695068</v>
      </c>
      <c r="Y259" s="718">
        <v>30.4649448394775</v>
      </c>
      <c r="Z259" s="718">
        <v>30.849096298217798</v>
      </c>
      <c r="AA259" s="282">
        <v>6.3330101966857901</v>
      </c>
      <c r="AB259" s="282">
        <v>6.4338274002075204</v>
      </c>
      <c r="AC259" s="282">
        <v>6.5134425163268999</v>
      </c>
      <c r="AD259" s="282">
        <v>6.5598897933959996</v>
      </c>
      <c r="AE259" s="260">
        <f>AD259+($AI$259-$AD$259)/5</f>
        <v>6.5507078532683796</v>
      </c>
      <c r="AF259" s="260">
        <f>AE259+($AI$259-$AD$259)/5</f>
        <v>6.5415259131407595</v>
      </c>
      <c r="AG259" s="260">
        <f>AF259+($AI$259-$AD$259)/5</f>
        <v>6.5323439730131394</v>
      </c>
      <c r="AH259" s="260">
        <f>AG259+($AI$259-$AD$259)/5</f>
        <v>6.5231620328855193</v>
      </c>
      <c r="AI259" s="261">
        <f>T429*$E$742</f>
        <v>6.5139800927579001</v>
      </c>
      <c r="AJ259" s="260">
        <f>AI259+($AX$259-$AI$259)/15</f>
        <v>6.5877135610615332</v>
      </c>
      <c r="AK259" s="260">
        <f t="shared" ref="AK259:AW259" si="7">AJ259+($AX$259-$AI$259)/15</f>
        <v>6.6614470293651662</v>
      </c>
      <c r="AL259" s="260">
        <f t="shared" si="7"/>
        <v>6.7351804976687992</v>
      </c>
      <c r="AM259" s="260">
        <f t="shared" si="7"/>
        <v>6.8089139659724323</v>
      </c>
      <c r="AN259" s="260">
        <f t="shared" si="7"/>
        <v>6.8826474342760653</v>
      </c>
      <c r="AO259" s="260">
        <f t="shared" si="7"/>
        <v>6.9563809025796983</v>
      </c>
      <c r="AP259" s="260">
        <f t="shared" si="7"/>
        <v>7.0301143708833314</v>
      </c>
      <c r="AQ259" s="260">
        <f t="shared" si="7"/>
        <v>7.1038478391869644</v>
      </c>
      <c r="AR259" s="260">
        <f t="shared" si="7"/>
        <v>7.1775813074905974</v>
      </c>
      <c r="AS259" s="260">
        <f t="shared" si="7"/>
        <v>7.2513147757942304</v>
      </c>
      <c r="AT259" s="260">
        <f t="shared" si="7"/>
        <v>7.3250482440978635</v>
      </c>
      <c r="AU259" s="260">
        <f t="shared" si="7"/>
        <v>7.3987817124014965</v>
      </c>
      <c r="AV259" s="260">
        <f t="shared" si="7"/>
        <v>7.4725151807051295</v>
      </c>
      <c r="AW259" s="260">
        <f t="shared" si="7"/>
        <v>7.5462486490087626</v>
      </c>
      <c r="AX259" s="261">
        <f>AI259*$B$742</f>
        <v>7.6199821173123929</v>
      </c>
      <c r="AY259" s="260">
        <f>AX259+($BM$259-$AX$259)/15</f>
        <v>7.6954333002095865</v>
      </c>
      <c r="AZ259" s="260">
        <f t="shared" ref="AZ259:BL259" si="8">AY259+($BM$259-$AX$259)/15</f>
        <v>7.77088448310678</v>
      </c>
      <c r="BA259" s="260">
        <f t="shared" si="8"/>
        <v>7.8463356660039736</v>
      </c>
      <c r="BB259" s="260">
        <f t="shared" si="8"/>
        <v>7.9217868489011671</v>
      </c>
      <c r="BC259" s="260">
        <f t="shared" si="8"/>
        <v>7.9972380317983607</v>
      </c>
      <c r="BD259" s="260">
        <f t="shared" si="8"/>
        <v>8.0726892146955542</v>
      </c>
      <c r="BE259" s="260">
        <f t="shared" si="8"/>
        <v>8.1481403975927478</v>
      </c>
      <c r="BF259" s="260">
        <f t="shared" si="8"/>
        <v>8.2235915804899413</v>
      </c>
      <c r="BG259" s="260">
        <f t="shared" si="8"/>
        <v>8.2990427633871349</v>
      </c>
      <c r="BH259" s="260">
        <f t="shared" si="8"/>
        <v>8.3744939462843284</v>
      </c>
      <c r="BI259" s="260">
        <f t="shared" si="8"/>
        <v>8.449945129181522</v>
      </c>
      <c r="BJ259" s="260">
        <f t="shared" si="8"/>
        <v>8.5253963120787155</v>
      </c>
      <c r="BK259" s="260">
        <f t="shared" si="8"/>
        <v>8.6008474949759091</v>
      </c>
      <c r="BL259" s="260">
        <f t="shared" si="8"/>
        <v>8.6762986778731026</v>
      </c>
      <c r="BM259" s="261">
        <f>AX259*$C$742</f>
        <v>8.7517498607702962</v>
      </c>
      <c r="BN259" s="260">
        <f>BM259+($BR$259-$BM$259)/5</f>
        <v>8.8384075286295438</v>
      </c>
      <c r="BO259" s="260">
        <f>BN259+($BR$259-$BM$259)/5</f>
        <v>8.9250651964887915</v>
      </c>
      <c r="BP259" s="260">
        <f>BO259+($BR$259-$BM$259)/5</f>
        <v>9.0117228643480392</v>
      </c>
      <c r="BQ259" s="260">
        <f>BP259+($BR$259-$BM$259)/5</f>
        <v>9.0983805322072868</v>
      </c>
      <c r="BR259" s="261">
        <f>BM259*$D$742</f>
        <v>9.1850382000665363</v>
      </c>
    </row>
    <row r="260" spans="1:70" x14ac:dyDescent="0.25">
      <c r="A260" s="716" t="s">
        <v>595</v>
      </c>
      <c r="B260" s="718">
        <v>15.7354278564453</v>
      </c>
      <c r="C260" s="718">
        <v>16.8219394683838</v>
      </c>
      <c r="D260" s="718">
        <v>21.937858581543001</v>
      </c>
      <c r="E260" s="718">
        <v>14.291754722595201</v>
      </c>
      <c r="F260" s="718">
        <v>10.6247463226318</v>
      </c>
      <c r="G260" s="718">
        <v>13.4027051925659</v>
      </c>
      <c r="H260" s="718">
        <v>15.2648477554321</v>
      </c>
      <c r="I260" s="718">
        <v>17.266075134277301</v>
      </c>
      <c r="J260" s="718">
        <v>18.658037185668899</v>
      </c>
      <c r="K260" s="718">
        <v>19.740333557128899</v>
      </c>
      <c r="L260" s="718">
        <v>20.622322082519499</v>
      </c>
      <c r="M260" s="718">
        <v>21.514814376831101</v>
      </c>
      <c r="N260" s="718">
        <v>22.261856079101602</v>
      </c>
      <c r="O260" s="718">
        <v>22.720048904418899</v>
      </c>
      <c r="P260" s="718">
        <v>23.0620517730713</v>
      </c>
      <c r="Q260" s="718">
        <v>23.029100418090799</v>
      </c>
      <c r="R260" s="718">
        <v>23.327865600585898</v>
      </c>
      <c r="S260" s="718">
        <v>23.5460414886475</v>
      </c>
      <c r="T260" s="718">
        <v>23.635374069213899</v>
      </c>
      <c r="U260" s="718">
        <v>23.588466644287099</v>
      </c>
      <c r="V260" s="718">
        <v>23.9423828125</v>
      </c>
      <c r="W260" s="718">
        <v>23.870851516723601</v>
      </c>
      <c r="X260" s="718">
        <v>24.336980819702099</v>
      </c>
      <c r="Y260" s="718">
        <v>25.037542343139599</v>
      </c>
      <c r="Z260" s="718">
        <v>25.073137283325199</v>
      </c>
      <c r="AA260" s="282">
        <v>2.7168338298797599</v>
      </c>
      <c r="AB260" s="282">
        <v>2.7307398319244398</v>
      </c>
      <c r="AC260" s="282">
        <v>2.7413196563720699</v>
      </c>
      <c r="AD260" s="282">
        <v>2.7546591758728001</v>
      </c>
    </row>
    <row r="261" spans="1:70" x14ac:dyDescent="0.25">
      <c r="A261" s="716" t="s">
        <v>596</v>
      </c>
      <c r="B261" s="718">
        <v>9.2125787734985405</v>
      </c>
      <c r="C261" s="718">
        <v>10.5954837799072</v>
      </c>
      <c r="D261" s="718">
        <v>13.7473258972168</v>
      </c>
      <c r="E261" s="718">
        <v>6.9127345085143999</v>
      </c>
      <c r="F261" s="718">
        <v>9.8444128036499006</v>
      </c>
      <c r="G261" s="718">
        <v>12.2499532699585</v>
      </c>
      <c r="H261" s="718">
        <v>13.9352369308472</v>
      </c>
      <c r="I261" s="718">
        <v>15.428977966308601</v>
      </c>
      <c r="J261" s="718">
        <v>16.646518707275401</v>
      </c>
      <c r="K261" s="718">
        <v>18.037969589233398</v>
      </c>
      <c r="L261" s="718">
        <v>18.8180332183838</v>
      </c>
      <c r="M261" s="718">
        <v>19.4296264648438</v>
      </c>
      <c r="N261" s="718">
        <v>20.112428665161101</v>
      </c>
      <c r="O261" s="718">
        <v>20.448431015014599</v>
      </c>
      <c r="P261" s="718">
        <v>20.727931976318398</v>
      </c>
      <c r="Q261" s="718">
        <v>20.973798751831101</v>
      </c>
      <c r="R261" s="718">
        <v>21.101537704467798</v>
      </c>
      <c r="S261" s="718">
        <v>21.306892395019499</v>
      </c>
      <c r="T261" s="718">
        <v>21.394767761230501</v>
      </c>
      <c r="U261" s="718">
        <v>21.017236709594702</v>
      </c>
      <c r="V261" s="718">
        <v>21.180326461791999</v>
      </c>
      <c r="W261" s="718">
        <v>21.338615417480501</v>
      </c>
      <c r="X261" s="718">
        <v>21.660650253295898</v>
      </c>
      <c r="Y261" s="718">
        <v>21.793584823608398</v>
      </c>
      <c r="Z261" s="718">
        <v>22.078443527221701</v>
      </c>
      <c r="AA261" s="282">
        <v>2.2517027854919398</v>
      </c>
      <c r="AB261" s="282">
        <v>2.2682161331176802</v>
      </c>
      <c r="AC261" s="282">
        <v>2.2745745182037398</v>
      </c>
      <c r="AD261" s="282">
        <v>2.2862651348114</v>
      </c>
    </row>
    <row r="262" spans="1:70" ht="13.8" thickBot="1" x14ac:dyDescent="0.3">
      <c r="A262" s="716" t="s">
        <v>598</v>
      </c>
      <c r="B262" s="718">
        <v>7.9540700912475604</v>
      </c>
      <c r="C262" s="718">
        <v>7.5152516365051296</v>
      </c>
      <c r="D262" s="718">
        <v>8.8012723922729492</v>
      </c>
      <c r="E262" s="718">
        <v>4.8485679626464799</v>
      </c>
      <c r="F262" s="718">
        <v>5.4989199638366699</v>
      </c>
      <c r="G262" s="718">
        <v>5.8261642456054696</v>
      </c>
      <c r="H262" s="718">
        <v>5.87778615951538</v>
      </c>
      <c r="I262" s="718">
        <v>5.9538393020629901</v>
      </c>
      <c r="J262" s="718">
        <v>6.1098570823669398</v>
      </c>
      <c r="K262" s="718">
        <v>6.3294844627380398</v>
      </c>
      <c r="L262" s="718">
        <v>6.5125813484191903</v>
      </c>
      <c r="M262" s="718">
        <v>6.7027301788330096</v>
      </c>
      <c r="N262" s="718">
        <v>6.8988709449768102</v>
      </c>
      <c r="O262" s="718">
        <v>7.1528282165527299</v>
      </c>
      <c r="P262" s="718">
        <v>7.4686021804809597</v>
      </c>
      <c r="Q262" s="718">
        <v>7.6786775588989302</v>
      </c>
      <c r="R262" s="718">
        <v>7.7538070678710902</v>
      </c>
      <c r="S262" s="718">
        <v>7.5584783554077104</v>
      </c>
      <c r="T262" s="718">
        <v>7.5461778640747097</v>
      </c>
      <c r="U262" s="718">
        <v>7.4592709541320801</v>
      </c>
      <c r="V262" s="718">
        <v>7.6002230644226101</v>
      </c>
      <c r="W262" s="718">
        <v>7.8596048355102504</v>
      </c>
      <c r="X262" s="718">
        <v>8.1941757202148402</v>
      </c>
      <c r="Y262" s="718">
        <v>8.4216127395629901</v>
      </c>
      <c r="Z262" s="718">
        <v>8.6935501098632795</v>
      </c>
      <c r="AA262" s="282">
        <v>1.2833950519561801</v>
      </c>
      <c r="AB262" s="282">
        <v>1.3286876678466799</v>
      </c>
      <c r="AC262" s="282">
        <v>1.33012855052948</v>
      </c>
      <c r="AD262" s="282">
        <v>1.33445107936859</v>
      </c>
    </row>
    <row r="263" spans="1:70" ht="13.8" thickBot="1" x14ac:dyDescent="0.3">
      <c r="A263" s="716" t="s">
        <v>599</v>
      </c>
      <c r="B263" s="718">
        <v>3.6353600025177002</v>
      </c>
      <c r="C263" s="718">
        <v>3.6099998950958301</v>
      </c>
      <c r="D263" s="718">
        <v>4.0558156967163104</v>
      </c>
      <c r="E263" s="718">
        <v>4.0487108230590803</v>
      </c>
      <c r="F263" s="718">
        <v>3.9977276325225799</v>
      </c>
      <c r="G263" s="718">
        <v>4.1121706962585396</v>
      </c>
      <c r="H263" s="718">
        <v>4.1809573173522896</v>
      </c>
      <c r="I263" s="718">
        <v>4.2343683242797896</v>
      </c>
      <c r="J263" s="718">
        <v>4.27162742614746</v>
      </c>
      <c r="K263" s="718">
        <v>4.2985162734985396</v>
      </c>
      <c r="L263" s="718">
        <v>4.3192996978759801</v>
      </c>
      <c r="M263" s="718">
        <v>4.3337044715881303</v>
      </c>
      <c r="N263" s="718">
        <v>4.3530845642089799</v>
      </c>
      <c r="O263" s="718">
        <v>4.3696141242981001</v>
      </c>
      <c r="P263" s="718">
        <v>4.3899216651916504</v>
      </c>
      <c r="Q263" s="718">
        <v>4.4470157623290998</v>
      </c>
      <c r="R263" s="718">
        <v>4.5093812942504901</v>
      </c>
      <c r="S263" s="718">
        <v>4.5352845191955602</v>
      </c>
      <c r="T263" s="718">
        <v>4.5618190765380904</v>
      </c>
      <c r="U263" s="718">
        <v>4.5643453598022496</v>
      </c>
      <c r="V263" s="718">
        <v>4.5493078231811497</v>
      </c>
      <c r="W263" s="718">
        <v>4.5490665435790998</v>
      </c>
      <c r="X263" s="718">
        <v>4.5331215858459499</v>
      </c>
      <c r="Y263" s="718">
        <v>4.4955492019653303</v>
      </c>
      <c r="Z263" s="718">
        <v>4.4319190979003897</v>
      </c>
      <c r="AA263" s="282">
        <v>17.3004150390625</v>
      </c>
      <c r="AB263" s="282">
        <v>17.331628799438501</v>
      </c>
      <c r="AC263" s="282">
        <v>17.425392150878899</v>
      </c>
      <c r="AD263" s="282">
        <v>17.430723190307599</v>
      </c>
      <c r="AE263" s="262">
        <f>AD263+($AI$263-$AD$263)/5</f>
        <v>17.267158349957999</v>
      </c>
      <c r="AF263" s="262">
        <f>AE263+($AI$263-$AD$263)/5</f>
        <v>17.103593509608398</v>
      </c>
      <c r="AG263" s="262">
        <f>AF263+($AI$263-$AD$263)/5</f>
        <v>16.940028669258798</v>
      </c>
      <c r="AH263" s="262">
        <f>AG263+($AI$263-$AD$263)/5</f>
        <v>16.776463828909197</v>
      </c>
      <c r="AI263" s="263">
        <f>T433*$E$745</f>
        <v>16.612898988559596</v>
      </c>
      <c r="AJ263" s="262">
        <f>AI263+($AX$263-$AI$263)/15</f>
        <v>16.606368113587273</v>
      </c>
      <c r="AK263" s="262">
        <f t="shared" ref="AK263:AW263" si="9">AJ263+($AX$263-$AI$263)/15</f>
        <v>16.599837238614949</v>
      </c>
      <c r="AL263" s="262">
        <f t="shared" si="9"/>
        <v>16.593306363642625</v>
      </c>
      <c r="AM263" s="262">
        <f t="shared" si="9"/>
        <v>16.586775488670302</v>
      </c>
      <c r="AN263" s="262">
        <f t="shared" si="9"/>
        <v>16.580244613697978</v>
      </c>
      <c r="AO263" s="262">
        <f t="shared" si="9"/>
        <v>16.573713738725655</v>
      </c>
      <c r="AP263" s="262">
        <f t="shared" si="9"/>
        <v>16.567182863753331</v>
      </c>
      <c r="AQ263" s="262">
        <f t="shared" si="9"/>
        <v>16.560651988781007</v>
      </c>
      <c r="AR263" s="262">
        <f t="shared" si="9"/>
        <v>16.554121113808684</v>
      </c>
      <c r="AS263" s="262">
        <f t="shared" si="9"/>
        <v>16.54759023883636</v>
      </c>
      <c r="AT263" s="262">
        <f t="shared" si="9"/>
        <v>16.541059363864036</v>
      </c>
      <c r="AU263" s="262">
        <f t="shared" si="9"/>
        <v>16.534528488891713</v>
      </c>
      <c r="AV263" s="262">
        <f t="shared" si="9"/>
        <v>16.527997613919389</v>
      </c>
      <c r="AW263" s="262">
        <f t="shared" si="9"/>
        <v>16.521466738947066</v>
      </c>
      <c r="AX263" s="263">
        <f>AI263*$B$745</f>
        <v>16.514935863974742</v>
      </c>
      <c r="AY263" s="262">
        <f>AX263+($BM$263-$AX$263)/15</f>
        <v>16.525426935236357</v>
      </c>
      <c r="AZ263" s="262">
        <f t="shared" ref="AZ263:BL263" si="10">AY263+($BM$263-$AX$263)/15</f>
        <v>16.535918006497972</v>
      </c>
      <c r="BA263" s="262">
        <f t="shared" si="10"/>
        <v>16.546409077759588</v>
      </c>
      <c r="BB263" s="262">
        <f t="shared" si="10"/>
        <v>16.556900149021203</v>
      </c>
      <c r="BC263" s="262">
        <f t="shared" si="10"/>
        <v>16.567391220282818</v>
      </c>
      <c r="BD263" s="262">
        <f t="shared" si="10"/>
        <v>16.577882291544434</v>
      </c>
      <c r="BE263" s="262">
        <f t="shared" si="10"/>
        <v>16.588373362806049</v>
      </c>
      <c r="BF263" s="262">
        <f t="shared" si="10"/>
        <v>16.598864434067664</v>
      </c>
      <c r="BG263" s="262">
        <f t="shared" si="10"/>
        <v>16.60935550532928</v>
      </c>
      <c r="BH263" s="262">
        <f t="shared" si="10"/>
        <v>16.619846576590895</v>
      </c>
      <c r="BI263" s="262">
        <f t="shared" si="10"/>
        <v>16.63033764785251</v>
      </c>
      <c r="BJ263" s="262">
        <f t="shared" si="10"/>
        <v>16.640828719114126</v>
      </c>
      <c r="BK263" s="262">
        <f t="shared" si="10"/>
        <v>16.651319790375741</v>
      </c>
      <c r="BL263" s="262">
        <f t="shared" si="10"/>
        <v>16.661810861637356</v>
      </c>
      <c r="BM263" s="263">
        <f>AX263*$C$745</f>
        <v>16.672301932898996</v>
      </c>
      <c r="BN263" s="262">
        <f>BM263+($BR$263-$BM$263)/5</f>
        <v>16.682892970558111</v>
      </c>
      <c r="BO263" s="262">
        <f>BN263+($BR$263-$BM$263)/5</f>
        <v>16.693484008217226</v>
      </c>
      <c r="BP263" s="262">
        <f>BO263+($BR$263-$BM$263)/5</f>
        <v>16.704075045876341</v>
      </c>
      <c r="BQ263" s="262">
        <f>BP263+($BR$263-$BM$263)/5</f>
        <v>16.714666083535455</v>
      </c>
      <c r="BR263" s="263">
        <f>BM263*$D$745</f>
        <v>16.725257121194577</v>
      </c>
    </row>
    <row r="264" spans="1:70" x14ac:dyDescent="0.25">
      <c r="A264" s="716" t="s">
        <v>600</v>
      </c>
      <c r="B264" s="718">
        <v>2.4029970169067401</v>
      </c>
      <c r="C264" s="718">
        <v>2.4299483299255402</v>
      </c>
      <c r="D264" s="718">
        <v>2.5420303344726598</v>
      </c>
      <c r="E264" s="718">
        <v>2.4490520954132098</v>
      </c>
      <c r="F264" s="718">
        <v>2.3906834125518799</v>
      </c>
      <c r="G264" s="718">
        <v>2.4765830039978001</v>
      </c>
      <c r="H264" s="718">
        <v>2.4936084747314502</v>
      </c>
      <c r="I264" s="718">
        <v>2.5247271060943599</v>
      </c>
      <c r="J264" s="718">
        <v>2.54471778869629</v>
      </c>
      <c r="K264" s="718">
        <v>2.53918480873108</v>
      </c>
      <c r="L264" s="718">
        <v>2.54552221298218</v>
      </c>
      <c r="M264" s="718">
        <v>2.5526983737945601</v>
      </c>
      <c r="N264" s="718">
        <v>2.5639333724975599</v>
      </c>
      <c r="O264" s="718">
        <v>2.5611753463745099</v>
      </c>
      <c r="P264" s="718">
        <v>2.56861472129822</v>
      </c>
      <c r="Q264" s="718">
        <v>2.5710935592651398</v>
      </c>
      <c r="R264" s="718">
        <v>2.57420825958252</v>
      </c>
      <c r="S264" s="718">
        <v>2.5741758346557599</v>
      </c>
      <c r="T264" s="718">
        <v>2.5788726806640598</v>
      </c>
      <c r="U264" s="718">
        <v>2.5789062976837198</v>
      </c>
      <c r="V264" s="718">
        <v>2.59378290176392</v>
      </c>
      <c r="W264" s="718">
        <v>2.6088099479675302</v>
      </c>
      <c r="X264" s="718">
        <v>2.6259028911590598</v>
      </c>
      <c r="Y264" s="718">
        <v>2.64452123641968</v>
      </c>
      <c r="Z264" s="718">
        <v>2.6644773483276398</v>
      </c>
      <c r="AA264" s="282"/>
      <c r="AB264" s="282"/>
      <c r="AC264" s="282"/>
      <c r="AD264" s="282"/>
    </row>
    <row r="265" spans="1:70" ht="13.8" thickBot="1" x14ac:dyDescent="0.3">
      <c r="A265" s="716" t="s">
        <v>601</v>
      </c>
      <c r="B265" s="718">
        <v>0</v>
      </c>
      <c r="C265" s="718">
        <v>0</v>
      </c>
      <c r="D265" s="718">
        <v>0</v>
      </c>
      <c r="E265" s="718">
        <v>0</v>
      </c>
      <c r="F265" s="718">
        <v>0</v>
      </c>
      <c r="G265" s="718">
        <v>1.5133428573608401</v>
      </c>
      <c r="H265" s="718">
        <v>1.3742095232009901</v>
      </c>
      <c r="I265" s="718">
        <v>1.19064140319824</v>
      </c>
      <c r="J265" s="718">
        <v>1.3664953708648699</v>
      </c>
      <c r="K265" s="718">
        <v>1.33487153053284</v>
      </c>
      <c r="L265" s="718">
        <v>1.31654036045074</v>
      </c>
      <c r="M265" s="718">
        <v>1.30223417282104</v>
      </c>
      <c r="N265" s="718">
        <v>1.30838906764984</v>
      </c>
      <c r="O265" s="718">
        <v>1.32146644592285</v>
      </c>
      <c r="P265" s="718">
        <v>1.3489345312118499</v>
      </c>
      <c r="Q265" s="718">
        <v>1.3524934053421001</v>
      </c>
      <c r="R265" s="718">
        <v>1.3570195436477701</v>
      </c>
      <c r="S265" s="718">
        <v>1.3626403808593801</v>
      </c>
      <c r="T265" s="718">
        <v>1.37119424343109</v>
      </c>
      <c r="U265" s="718">
        <v>1.3635557889938399</v>
      </c>
      <c r="V265" s="718">
        <v>1.3662919998168901</v>
      </c>
      <c r="W265" s="718">
        <v>1.37254309654236</v>
      </c>
      <c r="X265" s="718">
        <v>1.37609398365021</v>
      </c>
      <c r="Y265" s="718">
        <v>1.3784751892089799</v>
      </c>
      <c r="Z265" s="718">
        <v>1.3805129528045701</v>
      </c>
      <c r="AA265" s="282">
        <v>24.056577682495099</v>
      </c>
      <c r="AB265" s="282">
        <v>24.1739406585693</v>
      </c>
      <c r="AC265" s="282">
        <v>24.2586994171143</v>
      </c>
      <c r="AD265" s="282">
        <v>24.288969039916999</v>
      </c>
    </row>
    <row r="266" spans="1:70" ht="13.8" thickBot="1" x14ac:dyDescent="0.3">
      <c r="A266" s="716" t="s">
        <v>465</v>
      </c>
      <c r="B266" s="718">
        <v>18.400894165039102</v>
      </c>
      <c r="C266" s="718">
        <v>18.6226921081543</v>
      </c>
      <c r="D266" s="718">
        <v>20.334409713745099</v>
      </c>
      <c r="E266" s="718">
        <v>19.159486770629901</v>
      </c>
      <c r="F266" s="718">
        <v>16.828172683715799</v>
      </c>
      <c r="G266" s="718">
        <v>17.264308929443398</v>
      </c>
      <c r="H266" s="718">
        <v>17.156070709228501</v>
      </c>
      <c r="I266" s="718">
        <v>17.083604812622099</v>
      </c>
      <c r="J266" s="718">
        <v>17.1988334655762</v>
      </c>
      <c r="K266" s="718">
        <v>17.318143844604499</v>
      </c>
      <c r="L266" s="718">
        <v>17.615074157714801</v>
      </c>
      <c r="M266" s="718">
        <v>17.910154342651399</v>
      </c>
      <c r="N266" s="718">
        <v>18.210170745849599</v>
      </c>
      <c r="O266" s="718">
        <v>18.456880569458001</v>
      </c>
      <c r="P266" s="718">
        <v>18.803001403808601</v>
      </c>
      <c r="Q266" s="718">
        <v>19.085206985473601</v>
      </c>
      <c r="R266" s="718">
        <v>19.30615234375</v>
      </c>
      <c r="S266" s="718">
        <v>19.3043308258057</v>
      </c>
      <c r="T266" s="718">
        <v>19.3253479003906</v>
      </c>
      <c r="U266" s="718">
        <v>19.324813842773398</v>
      </c>
      <c r="V266" s="718">
        <v>19.354219436645501</v>
      </c>
      <c r="W266" s="718">
        <v>19.614883422851602</v>
      </c>
      <c r="X266" s="718">
        <v>19.97239112854</v>
      </c>
      <c r="Y266" s="718">
        <v>20.29469871521</v>
      </c>
      <c r="Z266" s="718">
        <v>20.560989379882798</v>
      </c>
      <c r="AA266" s="282">
        <v>21.3195495605469</v>
      </c>
      <c r="AB266" s="282">
        <v>21.43874168396</v>
      </c>
      <c r="AC266" s="282">
        <v>21.398374557495099</v>
      </c>
      <c r="AD266" s="282">
        <v>21.4992275238037</v>
      </c>
      <c r="AE266" s="266">
        <f>AD266+($AI$266-$AD$266)/5</f>
        <v>21.318281718011935</v>
      </c>
      <c r="AF266" s="266">
        <f>AE266+($AI$266-$AD$266)/5</f>
        <v>21.13733591222017</v>
      </c>
      <c r="AG266" s="266">
        <f>AF266+($AI$266-$AD$266)/5</f>
        <v>20.956390106428405</v>
      </c>
      <c r="AH266" s="266">
        <f>AG266+($AI$266-$AD$266)/5</f>
        <v>20.775444300636639</v>
      </c>
      <c r="AI266" s="267">
        <f>T436*$E$747</f>
        <v>20.594498494844878</v>
      </c>
      <c r="AJ266" s="266">
        <f>AI266+($AX$266-$AI$266)/15</f>
        <v>20.60819416894353</v>
      </c>
      <c r="AK266" s="266">
        <f t="shared" ref="AK266:AW266" si="11">AJ266+($AX$266-$AI$266)/15</f>
        <v>20.621889843042183</v>
      </c>
      <c r="AL266" s="266">
        <f t="shared" si="11"/>
        <v>20.635585517140836</v>
      </c>
      <c r="AM266" s="266">
        <f t="shared" si="11"/>
        <v>20.649281191239488</v>
      </c>
      <c r="AN266" s="266">
        <f t="shared" si="11"/>
        <v>20.662976865338141</v>
      </c>
      <c r="AO266" s="266">
        <f t="shared" si="11"/>
        <v>20.676672539436794</v>
      </c>
      <c r="AP266" s="266">
        <f t="shared" si="11"/>
        <v>20.690368213535447</v>
      </c>
      <c r="AQ266" s="266">
        <f t="shared" si="11"/>
        <v>20.704063887634099</v>
      </c>
      <c r="AR266" s="266">
        <f t="shared" si="11"/>
        <v>20.717759561732752</v>
      </c>
      <c r="AS266" s="266">
        <f t="shared" si="11"/>
        <v>20.731455235831405</v>
      </c>
      <c r="AT266" s="266">
        <f t="shared" si="11"/>
        <v>20.745150909930057</v>
      </c>
      <c r="AU266" s="266">
        <f t="shared" si="11"/>
        <v>20.75884658402871</v>
      </c>
      <c r="AV266" s="266">
        <f t="shared" si="11"/>
        <v>20.772542258127363</v>
      </c>
      <c r="AW266" s="266">
        <f t="shared" si="11"/>
        <v>20.786237932226015</v>
      </c>
      <c r="AX266" s="267">
        <f>AI266*$B$747</f>
        <v>20.799933606324664</v>
      </c>
      <c r="AY266" s="266">
        <f>AX266+($BM$266-$AX$266)/15</f>
        <v>20.807002050879195</v>
      </c>
      <c r="AZ266" s="266">
        <f t="shared" ref="AZ266:BL266" si="12">AY266+($BM$266-$AX$266)/15</f>
        <v>20.814070495433725</v>
      </c>
      <c r="BA266" s="266">
        <f t="shared" si="12"/>
        <v>20.821138939988256</v>
      </c>
      <c r="BB266" s="266">
        <f t="shared" si="12"/>
        <v>20.828207384542786</v>
      </c>
      <c r="BC266" s="266">
        <f t="shared" si="12"/>
        <v>20.835275829097316</v>
      </c>
      <c r="BD266" s="266">
        <f t="shared" si="12"/>
        <v>20.842344273651847</v>
      </c>
      <c r="BE266" s="266">
        <f t="shared" si="12"/>
        <v>20.849412718206377</v>
      </c>
      <c r="BF266" s="266">
        <f t="shared" si="12"/>
        <v>20.856481162760907</v>
      </c>
      <c r="BG266" s="266">
        <f t="shared" si="12"/>
        <v>20.863549607315438</v>
      </c>
      <c r="BH266" s="266">
        <f t="shared" si="12"/>
        <v>20.870618051869968</v>
      </c>
      <c r="BI266" s="266">
        <f t="shared" si="12"/>
        <v>20.877686496424499</v>
      </c>
      <c r="BJ266" s="266">
        <f t="shared" si="12"/>
        <v>20.884754940979029</v>
      </c>
      <c r="BK266" s="266">
        <f t="shared" si="12"/>
        <v>20.891823385533559</v>
      </c>
      <c r="BL266" s="266">
        <f t="shared" si="12"/>
        <v>20.89889183008809</v>
      </c>
      <c r="BM266" s="267">
        <f>AX266*$C$747</f>
        <v>20.905960274642634</v>
      </c>
      <c r="BN266" s="266">
        <f>BM266+($BR$266-$BM$266)/5</f>
        <v>20.913064750255749</v>
      </c>
      <c r="BO266" s="266">
        <f>BN266+($BR$266-$BM$266)/5</f>
        <v>20.920169225868865</v>
      </c>
      <c r="BP266" s="266">
        <f>BO266+($BR$266-$BM$266)/5</f>
        <v>20.92727370148198</v>
      </c>
      <c r="BQ266" s="266">
        <f>BP266+($BR$266-$BM$266)/5</f>
        <v>20.934378177095095</v>
      </c>
      <c r="BR266" s="267">
        <f>BM266*$D$747</f>
        <v>20.94148265270821</v>
      </c>
    </row>
    <row r="267" spans="1:70" ht="13.8" thickBot="1" x14ac:dyDescent="0.3">
      <c r="AA267" s="282">
        <v>17.292875289916999</v>
      </c>
      <c r="AB267" s="282">
        <v>17.531343460083001</v>
      </c>
      <c r="AC267" s="282">
        <v>17.526832580566399</v>
      </c>
      <c r="AD267" s="282">
        <v>17.756109237670898</v>
      </c>
      <c r="AE267" s="264">
        <f>AD267+($AI$267-$AD$267)/5</f>
        <v>18.740759573600641</v>
      </c>
      <c r="AF267" s="264">
        <f>AE267+($AI$267-$AD$267)/5</f>
        <v>19.725409909530384</v>
      </c>
      <c r="AG267" s="264">
        <f>AF267+($AI$267-$AD$267)/5</f>
        <v>20.710060245460127</v>
      </c>
      <c r="AH267" s="264">
        <f>AG267+($AI$267-$AD$267)/5</f>
        <v>21.69471058138987</v>
      </c>
      <c r="AI267" s="265">
        <f>T437*$E$744</f>
        <v>22.67936091731961</v>
      </c>
      <c r="AJ267" s="264">
        <f>AI267+($AX$267-$AI$267)/15</f>
        <v>22.91940642537169</v>
      </c>
      <c r="AK267" s="264">
        <f t="shared" ref="AK267:AW267" si="13">AJ267+($AX$267-$AI$267)/15</f>
        <v>23.159451933423771</v>
      </c>
      <c r="AL267" s="264">
        <f t="shared" si="13"/>
        <v>23.399497441475852</v>
      </c>
      <c r="AM267" s="264">
        <f t="shared" si="13"/>
        <v>23.639542949527932</v>
      </c>
      <c r="AN267" s="264">
        <f t="shared" si="13"/>
        <v>23.879588457580013</v>
      </c>
      <c r="AO267" s="264">
        <f t="shared" si="13"/>
        <v>24.119633965632094</v>
      </c>
      <c r="AP267" s="264">
        <f t="shared" si="13"/>
        <v>24.359679473684174</v>
      </c>
      <c r="AQ267" s="264">
        <f t="shared" si="13"/>
        <v>24.599724981736255</v>
      </c>
      <c r="AR267" s="264">
        <f t="shared" si="13"/>
        <v>24.839770489788336</v>
      </c>
      <c r="AS267" s="264">
        <f t="shared" si="13"/>
        <v>25.079815997840416</v>
      </c>
      <c r="AT267" s="264">
        <f t="shared" si="13"/>
        <v>25.319861505892497</v>
      </c>
      <c r="AU267" s="264">
        <f t="shared" si="13"/>
        <v>25.559907013944578</v>
      </c>
      <c r="AV267" s="264">
        <f t="shared" si="13"/>
        <v>25.799952521996659</v>
      </c>
      <c r="AW267" s="264">
        <f t="shared" si="13"/>
        <v>26.039998030048739</v>
      </c>
      <c r="AX267" s="265">
        <f>AI267*$B$744</f>
        <v>26.28004353810082</v>
      </c>
      <c r="AY267" s="264">
        <f>AX267+($BM$267-$AX$267)/15</f>
        <v>26.429681543018035</v>
      </c>
      <c r="AZ267" s="264">
        <f t="shared" ref="AZ267:BL267" si="14">AY267+($BM$267-$AX$267)/15</f>
        <v>26.579319547935249</v>
      </c>
      <c r="BA267" s="264">
        <f t="shared" si="14"/>
        <v>26.728957552852464</v>
      </c>
      <c r="BB267" s="264">
        <f t="shared" si="14"/>
        <v>26.878595557769678</v>
      </c>
      <c r="BC267" s="264">
        <f t="shared" si="14"/>
        <v>27.028233562686893</v>
      </c>
      <c r="BD267" s="264">
        <f t="shared" si="14"/>
        <v>27.177871567604107</v>
      </c>
      <c r="BE267" s="264">
        <f t="shared" si="14"/>
        <v>27.327509572521322</v>
      </c>
      <c r="BF267" s="264">
        <f t="shared" si="14"/>
        <v>27.477147577438537</v>
      </c>
      <c r="BG267" s="264">
        <f t="shared" si="14"/>
        <v>27.626785582355751</v>
      </c>
      <c r="BH267" s="264">
        <f t="shared" si="14"/>
        <v>27.776423587272966</v>
      </c>
      <c r="BI267" s="264">
        <f t="shared" si="14"/>
        <v>27.92606159219018</v>
      </c>
      <c r="BJ267" s="264">
        <f t="shared" si="14"/>
        <v>28.075699597107395</v>
      </c>
      <c r="BK267" s="264">
        <f t="shared" si="14"/>
        <v>28.225337602024609</v>
      </c>
      <c r="BL267" s="264">
        <f t="shared" si="14"/>
        <v>28.374975606941824</v>
      </c>
      <c r="BM267" s="265">
        <f>AX267*$C$744</f>
        <v>28.524613611859053</v>
      </c>
      <c r="BN267" s="264">
        <f>BM267+($BR$267-$BM$267)/5</f>
        <v>28.687032150691561</v>
      </c>
      <c r="BO267" s="264">
        <f>BN267+($BR$267-$BM$267)/5</f>
        <v>28.849450689524069</v>
      </c>
      <c r="BP267" s="264">
        <f>BO267+($BR$267-$BM$267)/5</f>
        <v>29.011869228356577</v>
      </c>
      <c r="BQ267" s="264">
        <f>BP267+($BR$267-$BM$267)/5</f>
        <v>29.174287767189085</v>
      </c>
      <c r="BR267" s="265">
        <f>BM267*$D$744</f>
        <v>29.336706306021593</v>
      </c>
    </row>
    <row r="268" spans="1:70" ht="13.8" thickBot="1" x14ac:dyDescent="0.3">
      <c r="A268" s="716" t="s">
        <v>473</v>
      </c>
      <c r="AA268" s="282">
        <v>11.227470397949199</v>
      </c>
      <c r="AB268" s="282">
        <v>11.517865180969199</v>
      </c>
      <c r="AC268" s="282">
        <v>11.5089683532715</v>
      </c>
      <c r="AD268" s="282">
        <v>11.7493782043457</v>
      </c>
    </row>
    <row r="269" spans="1:70" ht="13.8" thickBot="1" x14ac:dyDescent="0.3">
      <c r="A269" s="716" t="s">
        <v>602</v>
      </c>
      <c r="B269" s="718">
        <v>22.296371459960898</v>
      </c>
      <c r="C269" s="718">
        <v>25.0072345733643</v>
      </c>
      <c r="D269" s="718">
        <v>28.759458541870099</v>
      </c>
      <c r="E269" s="718">
        <v>21.685003280639599</v>
      </c>
      <c r="F269" s="718">
        <v>20.534326553344702</v>
      </c>
      <c r="G269" s="718">
        <v>22.796831130981399</v>
      </c>
      <c r="H269" s="718">
        <v>24.8035278320313</v>
      </c>
      <c r="I269" s="718">
        <v>26.570152282714801</v>
      </c>
      <c r="J269" s="718">
        <v>28.076972961425799</v>
      </c>
      <c r="K269" s="718">
        <v>29.693559646606399</v>
      </c>
      <c r="L269" s="718">
        <v>30.7330017089844</v>
      </c>
      <c r="M269" s="718">
        <v>31.595745086669901</v>
      </c>
      <c r="N269" s="718">
        <v>32.463813781738303</v>
      </c>
      <c r="O269" s="718">
        <v>32.853603363037102</v>
      </c>
      <c r="P269" s="718">
        <v>33.095050811767599</v>
      </c>
      <c r="Q269" s="718">
        <v>33.3141899108887</v>
      </c>
      <c r="R269" s="718">
        <v>33.425758361816399</v>
      </c>
      <c r="S269" s="718">
        <v>33.752655029296903</v>
      </c>
      <c r="T269" s="718">
        <v>33.878787994384801</v>
      </c>
      <c r="U269" s="718">
        <v>33.426109313964801</v>
      </c>
      <c r="V269" s="718">
        <v>33.692680358886697</v>
      </c>
      <c r="W269" s="718">
        <v>33.960933685302699</v>
      </c>
      <c r="X269" s="718">
        <v>34.291332244872997</v>
      </c>
      <c r="Y269" s="718">
        <v>34.467491149902301</v>
      </c>
      <c r="Z269" s="718">
        <v>34.819602966308601</v>
      </c>
      <c r="AA269" s="282">
        <v>16.025825500488299</v>
      </c>
      <c r="AB269" s="282">
        <v>16.333782196044901</v>
      </c>
      <c r="AC269" s="282">
        <v>16.2625331878662</v>
      </c>
      <c r="AD269" s="282">
        <v>16.470952987670898</v>
      </c>
      <c r="AE269" s="264">
        <f>AD269+($AI$269-$AD$269)/5</f>
        <v>17.380928094850553</v>
      </c>
      <c r="AF269" s="264">
        <f>AE269+($AI$269-$AD$269)/5</f>
        <v>18.290903202030208</v>
      </c>
      <c r="AG269" s="264">
        <f>AF269+($AI$269-$AD$269)/5</f>
        <v>19.200878309209862</v>
      </c>
      <c r="AH269" s="264">
        <f>AG269+($AI$269-$AD$269)/5</f>
        <v>20.110853416389517</v>
      </c>
      <c r="AI269" s="265">
        <f>T439*$E$744</f>
        <v>21.020828523569172</v>
      </c>
      <c r="AJ269" s="264">
        <f>AI269+($AX$269-$AI$269)/15</f>
        <v>21.243319601735415</v>
      </c>
      <c r="AK269" s="264">
        <f t="shared" ref="AK269:AW269" si="15">AJ269+($AX$269-$AI$269)/15</f>
        <v>21.465810679901658</v>
      </c>
      <c r="AL269" s="264">
        <f t="shared" si="15"/>
        <v>21.688301758067901</v>
      </c>
      <c r="AM269" s="264">
        <f t="shared" si="15"/>
        <v>21.910792836234144</v>
      </c>
      <c r="AN269" s="264">
        <f t="shared" si="15"/>
        <v>22.133283914400387</v>
      </c>
      <c r="AO269" s="264">
        <f t="shared" si="15"/>
        <v>22.35577499256663</v>
      </c>
      <c r="AP269" s="264">
        <f t="shared" si="15"/>
        <v>22.578266070732873</v>
      </c>
      <c r="AQ269" s="264">
        <f t="shared" si="15"/>
        <v>22.800757148899116</v>
      </c>
      <c r="AR269" s="264">
        <f t="shared" si="15"/>
        <v>23.023248227065359</v>
      </c>
      <c r="AS269" s="264">
        <f t="shared" si="15"/>
        <v>23.245739305231602</v>
      </c>
      <c r="AT269" s="264">
        <f t="shared" si="15"/>
        <v>23.468230383397845</v>
      </c>
      <c r="AU269" s="264">
        <f t="shared" si="15"/>
        <v>23.690721461564088</v>
      </c>
      <c r="AV269" s="264">
        <f t="shared" si="15"/>
        <v>23.913212539730331</v>
      </c>
      <c r="AW269" s="264">
        <f t="shared" si="15"/>
        <v>24.135703617896574</v>
      </c>
      <c r="AX269" s="265">
        <f>AI269*$B$744</f>
        <v>24.358194696062842</v>
      </c>
      <c r="AY269" s="264">
        <f>AX269+($BM$269-$AX$269)/15</f>
        <v>24.496889734844629</v>
      </c>
      <c r="AZ269" s="264">
        <f t="shared" ref="AZ269:BL269" si="16">AY269+($BM$269-$AX$269)/15</f>
        <v>24.635584773626416</v>
      </c>
      <c r="BA269" s="264">
        <f t="shared" si="16"/>
        <v>24.774279812408203</v>
      </c>
      <c r="BB269" s="264">
        <f t="shared" si="16"/>
        <v>24.91297485118999</v>
      </c>
      <c r="BC269" s="264">
        <f t="shared" si="16"/>
        <v>25.051669889971777</v>
      </c>
      <c r="BD269" s="264">
        <f t="shared" si="16"/>
        <v>25.190364928753564</v>
      </c>
      <c r="BE269" s="264">
        <f t="shared" si="16"/>
        <v>25.32905996753535</v>
      </c>
      <c r="BF269" s="264">
        <f t="shared" si="16"/>
        <v>25.467755006317137</v>
      </c>
      <c r="BG269" s="264">
        <f t="shared" si="16"/>
        <v>25.606450045098924</v>
      </c>
      <c r="BH269" s="264">
        <f t="shared" si="16"/>
        <v>25.745145083880711</v>
      </c>
      <c r="BI269" s="264">
        <f t="shared" si="16"/>
        <v>25.883840122662498</v>
      </c>
      <c r="BJ269" s="264">
        <f t="shared" si="16"/>
        <v>26.022535161444285</v>
      </c>
      <c r="BK269" s="264">
        <f t="shared" si="16"/>
        <v>26.161230200226072</v>
      </c>
      <c r="BL269" s="264">
        <f t="shared" si="16"/>
        <v>26.299925239007859</v>
      </c>
      <c r="BM269" s="265">
        <f>AX269*$C$744</f>
        <v>26.438620277789649</v>
      </c>
      <c r="BN269" s="264">
        <f>BM269+($BR$269-$BM$269)/5</f>
        <v>26.589161215265516</v>
      </c>
      <c r="BO269" s="264">
        <f>BN269+($BR$269-$BM$269)/5</f>
        <v>26.739702152741383</v>
      </c>
      <c r="BP269" s="264">
        <f>BO269+($BR$269-$BM$269)/5</f>
        <v>26.89024309021725</v>
      </c>
      <c r="BQ269" s="264">
        <f>BP269+($BR$269-$BM$269)/5</f>
        <v>27.040784027693118</v>
      </c>
      <c r="BR269" s="265">
        <f>BM269*$D$744</f>
        <v>27.191324965168981</v>
      </c>
    </row>
    <row r="270" spans="1:70" x14ac:dyDescent="0.25">
      <c r="A270" s="716" t="s">
        <v>603</v>
      </c>
      <c r="B270" s="718">
        <v>25.5142211914063</v>
      </c>
      <c r="C270" s="718">
        <v>26.818180084228501</v>
      </c>
      <c r="D270" s="718">
        <v>34.073703765869098</v>
      </c>
      <c r="E270" s="718">
        <v>20.3962516784668</v>
      </c>
      <c r="F270" s="718">
        <v>18.869060516357401</v>
      </c>
      <c r="G270" s="718">
        <v>22.499189376831101</v>
      </c>
      <c r="H270" s="718">
        <v>24.345371246337901</v>
      </c>
      <c r="I270" s="718">
        <v>25.8835773468018</v>
      </c>
      <c r="J270" s="718">
        <v>27.376197814941399</v>
      </c>
      <c r="K270" s="718">
        <v>25.5507621765137</v>
      </c>
      <c r="L270" s="718">
        <v>26.3307495117188</v>
      </c>
      <c r="M270" s="718">
        <v>27.042121887206999</v>
      </c>
      <c r="N270" s="718">
        <v>27.074653625488299</v>
      </c>
      <c r="O270" s="718">
        <v>28.861484527587901</v>
      </c>
      <c r="P270" s="718">
        <v>29.593324661254901</v>
      </c>
      <c r="Q270" s="718">
        <v>29.691083908081101</v>
      </c>
      <c r="R270" s="718">
        <v>29.8394565582275</v>
      </c>
      <c r="S270" s="718">
        <v>30.056737899780298</v>
      </c>
      <c r="T270" s="718">
        <v>30.123649597168001</v>
      </c>
      <c r="U270" s="718">
        <v>30.045396804809599</v>
      </c>
      <c r="V270" s="718">
        <v>30.335887908935501</v>
      </c>
      <c r="W270" s="718">
        <v>30.1821899414063</v>
      </c>
      <c r="X270" s="718">
        <v>30.567377090454102</v>
      </c>
      <c r="Y270" s="718">
        <v>31.227724075317401</v>
      </c>
      <c r="Z270" s="718">
        <v>30.935503005981399</v>
      </c>
      <c r="AA270" s="282">
        <v>8.1832656860351598</v>
      </c>
      <c r="AB270" s="282">
        <v>8.1197490692138707</v>
      </c>
      <c r="AC270" s="282">
        <v>8.3803300857543892</v>
      </c>
      <c r="AD270" s="282">
        <v>8.2735004425048793</v>
      </c>
    </row>
    <row r="271" spans="1:70" x14ac:dyDescent="0.25">
      <c r="A271" s="716" t="s">
        <v>604</v>
      </c>
      <c r="B271" s="718">
        <v>21.784559249877901</v>
      </c>
      <c r="C271" s="718">
        <v>22.982162475585898</v>
      </c>
      <c r="D271" s="718">
        <v>26.1744689941406</v>
      </c>
      <c r="E271" s="718">
        <v>15.6736001968384</v>
      </c>
      <c r="F271" s="718">
        <v>17.7131462097168</v>
      </c>
      <c r="G271" s="718">
        <v>20.6617527008057</v>
      </c>
      <c r="H271" s="718">
        <v>22.301433563232401</v>
      </c>
      <c r="I271" s="718">
        <v>23.517950057983398</v>
      </c>
      <c r="J271" s="718">
        <v>24.816135406494102</v>
      </c>
      <c r="K271" s="718">
        <v>26.137458801269499</v>
      </c>
      <c r="L271" s="718">
        <v>27.061580657958999</v>
      </c>
      <c r="M271" s="718">
        <v>27.993299484252901</v>
      </c>
      <c r="N271" s="718">
        <v>28.802474975585898</v>
      </c>
      <c r="O271" s="718">
        <v>29.411088943481399</v>
      </c>
      <c r="P271" s="718">
        <v>29.938217163085898</v>
      </c>
      <c r="Q271" s="718">
        <v>30.057752609252901</v>
      </c>
      <c r="R271" s="718">
        <v>30.3159790039063</v>
      </c>
      <c r="S271" s="718">
        <v>30.494945526123001</v>
      </c>
      <c r="T271" s="718">
        <v>30.528341293335</v>
      </c>
      <c r="U271" s="718">
        <v>30.4458103179932</v>
      </c>
      <c r="V271" s="718">
        <v>30.726751327514599</v>
      </c>
      <c r="W271" s="718">
        <v>30.704950332641602</v>
      </c>
      <c r="X271" s="718">
        <v>31.110511779785199</v>
      </c>
      <c r="Y271" s="718">
        <v>31.9617519378662</v>
      </c>
      <c r="Z271" s="718">
        <v>31.583656311035199</v>
      </c>
      <c r="AA271" s="282">
        <v>13.240598678588899</v>
      </c>
      <c r="AB271" s="282">
        <v>13.359972000122101</v>
      </c>
      <c r="AC271" s="282">
        <v>13.395259857177701</v>
      </c>
      <c r="AD271" s="282">
        <v>13.453570365905801</v>
      </c>
    </row>
    <row r="272" spans="1:70" x14ac:dyDescent="0.25">
      <c r="A272" s="716" t="s">
        <v>605</v>
      </c>
      <c r="B272" s="718">
        <v>15.2446508407593</v>
      </c>
      <c r="C272" s="718">
        <v>16.0964660644531</v>
      </c>
      <c r="D272" s="718">
        <v>22.1856594085693</v>
      </c>
      <c r="E272" s="718">
        <v>10.540905952453601</v>
      </c>
      <c r="F272" s="718">
        <v>10.4131317138672</v>
      </c>
      <c r="G272" s="718">
        <v>12.992267608642599</v>
      </c>
      <c r="H272" s="718">
        <v>14.8510446548462</v>
      </c>
      <c r="I272" s="718">
        <v>16.4927158355713</v>
      </c>
      <c r="J272" s="718">
        <v>17.888269424438501</v>
      </c>
      <c r="K272" s="718">
        <v>19.120731353759801</v>
      </c>
      <c r="L272" s="718">
        <v>20.025011062622099</v>
      </c>
      <c r="M272" s="718">
        <v>20.925888061523398</v>
      </c>
      <c r="N272" s="718">
        <v>21.650459289550799</v>
      </c>
      <c r="O272" s="718">
        <v>22.054113388061499</v>
      </c>
      <c r="P272" s="718">
        <v>22.358533859252901</v>
      </c>
      <c r="Q272" s="718">
        <v>22.535087585449201</v>
      </c>
      <c r="R272" s="718">
        <v>22.624557495117202</v>
      </c>
      <c r="S272" s="718">
        <v>22.875423431396499</v>
      </c>
      <c r="T272" s="718">
        <v>23.088819503784201</v>
      </c>
      <c r="U272" s="718">
        <v>22.878332138061499</v>
      </c>
      <c r="V272" s="718">
        <v>23.229129791259801</v>
      </c>
      <c r="W272" s="718">
        <v>23.440977096557599</v>
      </c>
      <c r="X272" s="718">
        <v>23.911849975585898</v>
      </c>
      <c r="Y272" s="718">
        <v>24.3618278503418</v>
      </c>
      <c r="Z272" s="718">
        <v>24.669164657592798</v>
      </c>
      <c r="AA272" s="282">
        <v>24.345100402831999</v>
      </c>
      <c r="AB272" s="282">
        <v>24.401657104492202</v>
      </c>
      <c r="AC272" s="282">
        <v>24.482112884521499</v>
      </c>
      <c r="AD272" s="282">
        <v>24.4609375</v>
      </c>
    </row>
    <row r="273" spans="1:70" x14ac:dyDescent="0.25">
      <c r="A273" s="716" t="s">
        <v>709</v>
      </c>
      <c r="B273" s="718">
        <v>20.2724208831787</v>
      </c>
      <c r="C273" s="718">
        <v>20.921422958373999</v>
      </c>
      <c r="D273" s="718">
        <v>27.066003799438501</v>
      </c>
      <c r="E273" s="718">
        <v>15.379162788391101</v>
      </c>
      <c r="F273" s="718">
        <v>14.6322994232178</v>
      </c>
      <c r="G273" s="718">
        <v>17.082887649536101</v>
      </c>
      <c r="H273" s="718">
        <v>18.906814575195298</v>
      </c>
      <c r="I273" s="718">
        <v>21.012025833129901</v>
      </c>
      <c r="J273" s="718">
        <v>22.391767501831101</v>
      </c>
      <c r="K273" s="718">
        <v>23.401908874511701</v>
      </c>
      <c r="L273" s="718">
        <v>24.249780654907202</v>
      </c>
      <c r="M273" s="718">
        <v>25.151100158691399</v>
      </c>
      <c r="N273" s="718">
        <v>25.830009460449201</v>
      </c>
      <c r="O273" s="718">
        <v>26.267305374145501</v>
      </c>
      <c r="P273" s="718">
        <v>26.5901203155518</v>
      </c>
      <c r="Q273" s="718">
        <v>26.487575531005898</v>
      </c>
      <c r="R273" s="718">
        <v>26.7318305969238</v>
      </c>
      <c r="S273" s="718">
        <v>26.979133605956999</v>
      </c>
      <c r="T273" s="718">
        <v>27.001283645629901</v>
      </c>
      <c r="U273" s="718">
        <v>26.997362136840799</v>
      </c>
      <c r="V273" s="718">
        <v>27.317785263061499</v>
      </c>
      <c r="W273" s="718">
        <v>27.182266235351602</v>
      </c>
      <c r="X273" s="718">
        <v>27.638069152831999</v>
      </c>
      <c r="Y273" s="718">
        <v>28.388862609863299</v>
      </c>
      <c r="Z273" s="718">
        <v>28.337171554565401</v>
      </c>
      <c r="AA273" s="282"/>
      <c r="AB273" s="282"/>
      <c r="AC273" s="282"/>
      <c r="AD273" s="282"/>
    </row>
    <row r="274" spans="1:70" x14ac:dyDescent="0.25">
      <c r="A274" s="716" t="s">
        <v>596</v>
      </c>
      <c r="B274" s="718">
        <v>8.20648097991943</v>
      </c>
      <c r="C274" s="718">
        <v>9.4357099533081108</v>
      </c>
      <c r="D274" s="718">
        <v>14.2847747802734</v>
      </c>
      <c r="E274" s="718">
        <v>6.3925981521606401</v>
      </c>
      <c r="F274" s="718">
        <v>6.5852246284484899</v>
      </c>
      <c r="G274" s="718">
        <v>8.6673641204834002</v>
      </c>
      <c r="H274" s="718">
        <v>10.3328533172607</v>
      </c>
      <c r="I274" s="718">
        <v>11.815202713012701</v>
      </c>
      <c r="J274" s="718">
        <v>13.023598670959499</v>
      </c>
      <c r="K274" s="718">
        <v>14.4141092300415</v>
      </c>
      <c r="L274" s="718">
        <v>15.219378471374499</v>
      </c>
      <c r="M274" s="718">
        <v>15.915946006774901</v>
      </c>
      <c r="N274" s="718">
        <v>16.592523574829102</v>
      </c>
      <c r="O274" s="718">
        <v>16.9536838531494</v>
      </c>
      <c r="P274" s="718">
        <v>17.162534713745099</v>
      </c>
      <c r="Q274" s="718">
        <v>17.429744720458999</v>
      </c>
      <c r="R274" s="718">
        <v>17.456914901733398</v>
      </c>
      <c r="S274" s="718">
        <v>17.5628662109375</v>
      </c>
      <c r="T274" s="718">
        <v>17.630765914916999</v>
      </c>
      <c r="U274" s="718">
        <v>17.410764694213899</v>
      </c>
      <c r="V274" s="718">
        <v>17.6028347015381</v>
      </c>
      <c r="W274" s="718">
        <v>17.926630020141602</v>
      </c>
      <c r="X274" s="718">
        <v>18.257143020629901</v>
      </c>
      <c r="Y274" s="718">
        <v>18.451654434204102</v>
      </c>
      <c r="Z274" s="718">
        <v>18.835027694702099</v>
      </c>
      <c r="AA274" s="282">
        <v>10.4858131408691</v>
      </c>
      <c r="AB274" s="282">
        <v>10.572740554809601</v>
      </c>
      <c r="AC274" s="282">
        <v>10.740042686462401</v>
      </c>
      <c r="AD274" s="282">
        <v>10.786236763000501</v>
      </c>
    </row>
    <row r="275" spans="1:70" ht="13.8" thickBot="1" x14ac:dyDescent="0.3">
      <c r="A275" s="716" t="s">
        <v>607</v>
      </c>
      <c r="B275" s="718">
        <v>15.5415086746216</v>
      </c>
      <c r="C275" s="718">
        <v>15.4958410263062</v>
      </c>
      <c r="D275" s="718">
        <v>16.8896675109863</v>
      </c>
      <c r="E275" s="718">
        <v>12.7877197265625</v>
      </c>
      <c r="F275" s="718">
        <v>13.502610206604</v>
      </c>
      <c r="G275" s="718">
        <v>13.8291311264038</v>
      </c>
      <c r="H275" s="718">
        <v>13.8390712738037</v>
      </c>
      <c r="I275" s="718">
        <v>13.843875885009799</v>
      </c>
      <c r="J275" s="718">
        <v>13.934069633483899</v>
      </c>
      <c r="K275" s="718">
        <v>14.0993509292603</v>
      </c>
      <c r="L275" s="718">
        <v>14.229956626892101</v>
      </c>
      <c r="M275" s="718">
        <v>14.3684740066528</v>
      </c>
      <c r="N275" s="718">
        <v>14.5119123458862</v>
      </c>
      <c r="O275" s="718">
        <v>14.701403617858899</v>
      </c>
      <c r="P275" s="718">
        <v>14.9462375640869</v>
      </c>
      <c r="Q275" s="718">
        <v>15.0934410095215</v>
      </c>
      <c r="R275" s="718">
        <v>15.092455863952599</v>
      </c>
      <c r="S275" s="718">
        <v>14.8220539093018</v>
      </c>
      <c r="T275" s="718">
        <v>14.7596139907837</v>
      </c>
      <c r="U275" s="718">
        <v>14.661186218261699</v>
      </c>
      <c r="V275" s="718">
        <v>14.786495208740201</v>
      </c>
      <c r="W275" s="718">
        <v>15.012266159057599</v>
      </c>
      <c r="X275" s="718">
        <v>15.2852840423584</v>
      </c>
      <c r="Y275" s="718">
        <v>15.4684591293335</v>
      </c>
      <c r="Z275" s="718">
        <v>15.6974124908447</v>
      </c>
      <c r="AA275" s="282">
        <v>6.7344188690185502</v>
      </c>
      <c r="AB275" s="282">
        <v>6.7479009628295898</v>
      </c>
      <c r="AC275" s="282">
        <v>6.8497943878173801</v>
      </c>
      <c r="AD275" s="282">
        <v>6.84698486328125</v>
      </c>
    </row>
    <row r="276" spans="1:70" ht="13.8" thickBot="1" x14ac:dyDescent="0.3">
      <c r="A276" s="716" t="s">
        <v>465</v>
      </c>
      <c r="B276" s="718">
        <v>30.349004745483398</v>
      </c>
      <c r="C276" s="718">
        <v>30.777971267700199</v>
      </c>
      <c r="D276" s="718">
        <v>33.734138488769503</v>
      </c>
      <c r="E276" s="718">
        <v>31.501590728759801</v>
      </c>
      <c r="F276" s="718">
        <v>27.327030181884801</v>
      </c>
      <c r="G276" s="718">
        <v>28.561843872070298</v>
      </c>
      <c r="H276" s="718">
        <v>28.965305328369102</v>
      </c>
      <c r="I276" s="718">
        <v>28.9159030914307</v>
      </c>
      <c r="J276" s="718">
        <v>28.7644939422607</v>
      </c>
      <c r="K276" s="718">
        <v>28.526710510253899</v>
      </c>
      <c r="L276" s="718">
        <v>28.644361495971701</v>
      </c>
      <c r="M276" s="718">
        <v>28.6527919769287</v>
      </c>
      <c r="N276" s="718">
        <v>28.819505691528299</v>
      </c>
      <c r="O276" s="718">
        <v>28.888120651245099</v>
      </c>
      <c r="P276" s="718">
        <v>29.142557144165</v>
      </c>
      <c r="Q276" s="718">
        <v>29.470201492309599</v>
      </c>
      <c r="R276" s="718">
        <v>29.764074325561499</v>
      </c>
      <c r="S276" s="718">
        <v>29.801677703857401</v>
      </c>
      <c r="T276" s="718">
        <v>29.921939849853501</v>
      </c>
      <c r="U276" s="718">
        <v>30.035243988037099</v>
      </c>
      <c r="V276" s="718">
        <v>30.304817199706999</v>
      </c>
      <c r="W276" s="718">
        <v>30.8045558929443</v>
      </c>
      <c r="X276" s="718">
        <v>31.450147628784201</v>
      </c>
      <c r="Y276" s="718">
        <v>31.910936355590799</v>
      </c>
      <c r="Z276" s="718">
        <v>32.484222412109403</v>
      </c>
      <c r="AA276" s="282">
        <v>6.1479806900024396</v>
      </c>
      <c r="AB276" s="282">
        <v>6.2516684532165501</v>
      </c>
      <c r="AC276" s="282">
        <v>6.3134694099426296</v>
      </c>
      <c r="AD276" s="282">
        <v>6.3304243087768599</v>
      </c>
      <c r="AE276" s="260">
        <f>AD276+($AI$276-$AD$276)/5</f>
        <v>6.3370805697154289</v>
      </c>
      <c r="AF276" s="260">
        <f>AE276+($AI$276-$AD$276)/5</f>
        <v>6.3437368306539978</v>
      </c>
      <c r="AG276" s="260">
        <f>AF276+($AI$276-$AD$276)/5</f>
        <v>6.3503930915925668</v>
      </c>
      <c r="AH276" s="260">
        <f>AG276+($AI$276-$AD$276)/5</f>
        <v>6.3570493525311358</v>
      </c>
      <c r="AI276" s="261">
        <f>T446*$E$742</f>
        <v>6.363705613469703</v>
      </c>
      <c r="AJ276" s="260">
        <f>AI276+($AX$276-$AI$276)/15</f>
        <v>6.4357380850865695</v>
      </c>
      <c r="AK276" s="260">
        <f t="shared" ref="AK276:AW276" si="17">AJ276+($AX$276-$AI$276)/15</f>
        <v>6.5077705567034361</v>
      </c>
      <c r="AL276" s="260">
        <f t="shared" si="17"/>
        <v>6.5798030283203026</v>
      </c>
      <c r="AM276" s="260">
        <f t="shared" si="17"/>
        <v>6.6518354999371692</v>
      </c>
      <c r="AN276" s="260">
        <f t="shared" si="17"/>
        <v>6.7238679715540357</v>
      </c>
      <c r="AO276" s="260">
        <f t="shared" si="17"/>
        <v>6.7959004431709022</v>
      </c>
      <c r="AP276" s="260">
        <f t="shared" si="17"/>
        <v>6.8679329147877688</v>
      </c>
      <c r="AQ276" s="260">
        <f t="shared" si="17"/>
        <v>6.9399653864046353</v>
      </c>
      <c r="AR276" s="260">
        <f t="shared" si="17"/>
        <v>7.0119978580215019</v>
      </c>
      <c r="AS276" s="260">
        <f t="shared" si="17"/>
        <v>7.0840303296383684</v>
      </c>
      <c r="AT276" s="260">
        <f t="shared" si="17"/>
        <v>7.156062801255235</v>
      </c>
      <c r="AU276" s="260">
        <f t="shared" si="17"/>
        <v>7.2280952728721015</v>
      </c>
      <c r="AV276" s="260">
        <f t="shared" si="17"/>
        <v>7.3001277444889681</v>
      </c>
      <c r="AW276" s="260">
        <f t="shared" si="17"/>
        <v>7.3721602161058346</v>
      </c>
      <c r="AX276" s="261">
        <f>AI276*$B$742</f>
        <v>7.4441926877227056</v>
      </c>
      <c r="AY276" s="260">
        <f>AX276+($BM$276-$AX$276)/15</f>
        <v>7.51790324705948</v>
      </c>
      <c r="AZ276" s="260">
        <f t="shared" ref="AZ276:BL276" si="18">AY276+($BM$276-$AX$276)/15</f>
        <v>7.5916138063962544</v>
      </c>
      <c r="BA276" s="260">
        <f t="shared" si="18"/>
        <v>7.6653243657330288</v>
      </c>
      <c r="BB276" s="260">
        <f t="shared" si="18"/>
        <v>7.7390349250698032</v>
      </c>
      <c r="BC276" s="260">
        <f t="shared" si="18"/>
        <v>7.8127454844065776</v>
      </c>
      <c r="BD276" s="260">
        <f t="shared" si="18"/>
        <v>7.886456043743352</v>
      </c>
      <c r="BE276" s="260">
        <f t="shared" si="18"/>
        <v>7.9601666030801264</v>
      </c>
      <c r="BF276" s="260">
        <f t="shared" si="18"/>
        <v>8.0338771624169016</v>
      </c>
      <c r="BG276" s="260">
        <f t="shared" si="18"/>
        <v>8.107587721753676</v>
      </c>
      <c r="BH276" s="260">
        <f t="shared" si="18"/>
        <v>8.1812982810904504</v>
      </c>
      <c r="BI276" s="260">
        <f t="shared" si="18"/>
        <v>8.2550088404272248</v>
      </c>
      <c r="BJ276" s="260">
        <f t="shared" si="18"/>
        <v>8.3287193997639992</v>
      </c>
      <c r="BK276" s="260">
        <f t="shared" si="18"/>
        <v>8.4024299591007736</v>
      </c>
      <c r="BL276" s="260">
        <f t="shared" si="18"/>
        <v>8.476140518437548</v>
      </c>
      <c r="BM276" s="261">
        <f>AX276*$C$742</f>
        <v>8.5498510777743242</v>
      </c>
      <c r="BN276" s="260">
        <f>BM276+($BR$276-$BM$276)/5</f>
        <v>8.6345095936975138</v>
      </c>
      <c r="BO276" s="260">
        <f>BN276+($BR$276-$BM$276)/5</f>
        <v>8.7191681096207034</v>
      </c>
      <c r="BP276" s="260">
        <f>BO276+($BR$276-$BM$276)/5</f>
        <v>8.8038266255438931</v>
      </c>
      <c r="BQ276" s="260">
        <f>BP276+($BR$276-$BM$276)/5</f>
        <v>8.8884851414670827</v>
      </c>
      <c r="BR276" s="261">
        <f>BM276*$D$742</f>
        <v>8.9731436573902759</v>
      </c>
    </row>
    <row r="277" spans="1:70" ht="13.8" thickBot="1" x14ac:dyDescent="0.3">
      <c r="AA277" s="282">
        <v>1.65011918544769</v>
      </c>
      <c r="AB277" s="282">
        <v>1.6656291484832799</v>
      </c>
      <c r="AC277" s="282">
        <v>1.67491066455841</v>
      </c>
      <c r="AD277" s="282">
        <v>1.68971908092499</v>
      </c>
      <c r="AE277" s="268">
        <f>AD277+($AI$277-$AD$277)/5</f>
        <v>1.6902380098146863</v>
      </c>
      <c r="AF277" s="268">
        <f>AE277+($AI$277-$AD$277)/5</f>
        <v>1.6907569387043826</v>
      </c>
      <c r="AG277" s="268">
        <f>AF277+($AI$277-$AD$277)/5</f>
        <v>1.6912758675940789</v>
      </c>
      <c r="AH277" s="268">
        <f>AG277+($AI$277-$AD$277)/5</f>
        <v>1.6917947964837752</v>
      </c>
      <c r="AI277" s="269">
        <f>T447*$E$740</f>
        <v>1.692313725373471</v>
      </c>
      <c r="AJ277" s="268">
        <f>AI277+($AX$277-$AI$277)/15</f>
        <v>1.6972753042285647</v>
      </c>
      <c r="AK277" s="268">
        <f t="shared" ref="AK277:AW277" si="19">AJ277+($AX$277-$AI$277)/15</f>
        <v>1.7022368830836583</v>
      </c>
      <c r="AL277" s="268">
        <f t="shared" si="19"/>
        <v>1.7071984619387519</v>
      </c>
      <c r="AM277" s="268">
        <f t="shared" si="19"/>
        <v>1.7121600407938455</v>
      </c>
      <c r="AN277" s="268">
        <f t="shared" si="19"/>
        <v>1.7171216196489392</v>
      </c>
      <c r="AO277" s="268">
        <f t="shared" si="19"/>
        <v>1.7220831985040328</v>
      </c>
      <c r="AP277" s="268">
        <f t="shared" si="19"/>
        <v>1.7270447773591264</v>
      </c>
      <c r="AQ277" s="268">
        <f t="shared" si="19"/>
        <v>1.7320063562142201</v>
      </c>
      <c r="AR277" s="268">
        <f t="shared" si="19"/>
        <v>1.7369679350693137</v>
      </c>
      <c r="AS277" s="268">
        <f t="shared" si="19"/>
        <v>1.7419295139244073</v>
      </c>
      <c r="AT277" s="268">
        <f t="shared" si="19"/>
        <v>1.7468910927795009</v>
      </c>
      <c r="AU277" s="268">
        <f t="shared" si="19"/>
        <v>1.7518526716345946</v>
      </c>
      <c r="AV277" s="268">
        <f t="shared" si="19"/>
        <v>1.7568142504896882</v>
      </c>
      <c r="AW277" s="268">
        <f t="shared" si="19"/>
        <v>1.7617758293447818</v>
      </c>
      <c r="AX277" s="269">
        <f>AI277*$B$740</f>
        <v>1.7667374081998766</v>
      </c>
      <c r="AY277" s="268">
        <f>AX277+($BM$277-$AX$277)/15</f>
        <v>1.7700881577207939</v>
      </c>
      <c r="AZ277" s="268">
        <f t="shared" ref="AZ277:BL277" si="20">AY277+($BM$277-$AX$277)/15</f>
        <v>1.7734389072417112</v>
      </c>
      <c r="BA277" s="268">
        <f t="shared" si="20"/>
        <v>1.7767896567626285</v>
      </c>
      <c r="BB277" s="268">
        <f t="shared" si="20"/>
        <v>1.7801404062835458</v>
      </c>
      <c r="BC277" s="268">
        <f t="shared" si="20"/>
        <v>1.783491155804463</v>
      </c>
      <c r="BD277" s="268">
        <f t="shared" si="20"/>
        <v>1.7868419053253803</v>
      </c>
      <c r="BE277" s="268">
        <f t="shared" si="20"/>
        <v>1.7901926548462976</v>
      </c>
      <c r="BF277" s="268">
        <f t="shared" si="20"/>
        <v>1.7935434043672149</v>
      </c>
      <c r="BG277" s="268">
        <f t="shared" si="20"/>
        <v>1.7968941538881322</v>
      </c>
      <c r="BH277" s="268">
        <f t="shared" si="20"/>
        <v>1.8002449034090495</v>
      </c>
      <c r="BI277" s="268">
        <f t="shared" si="20"/>
        <v>1.8035956529299668</v>
      </c>
      <c r="BJ277" s="268">
        <f t="shared" si="20"/>
        <v>1.8069464024508841</v>
      </c>
      <c r="BK277" s="268">
        <f t="shared" si="20"/>
        <v>1.8102971519718014</v>
      </c>
      <c r="BL277" s="268">
        <f t="shared" si="20"/>
        <v>1.8136479014927187</v>
      </c>
      <c r="BM277" s="269">
        <f>AX277*$C$740</f>
        <v>1.8169986510136373</v>
      </c>
      <c r="BN277" s="268">
        <f>BM277+($BR$277-$BM$277)/5</f>
        <v>1.8204447247375162</v>
      </c>
      <c r="BO277" s="268">
        <f>BN277+($BR$277-$BM$277)/5</f>
        <v>1.823890798461395</v>
      </c>
      <c r="BP277" s="268">
        <f>BO277+($BR$277-$BM$277)/5</f>
        <v>1.8273368721852739</v>
      </c>
      <c r="BQ277" s="268">
        <f>BP277+($BR$277-$BM$277)/5</f>
        <v>1.8307829459091527</v>
      </c>
      <c r="BR277" s="269">
        <f>BM277*$D$740</f>
        <v>1.8342290196330318</v>
      </c>
    </row>
    <row r="278" spans="1:70" x14ac:dyDescent="0.25">
      <c r="A278" s="716" t="s">
        <v>608</v>
      </c>
      <c r="AA278" s="282"/>
      <c r="AB278" s="282"/>
      <c r="AC278" s="282"/>
      <c r="AD278" s="282"/>
    </row>
    <row r="279" spans="1:70" x14ac:dyDescent="0.25">
      <c r="A279" s="716" t="s">
        <v>595</v>
      </c>
      <c r="B279" s="718">
        <v>13.773189544677701</v>
      </c>
      <c r="C279" s="718">
        <v>14.7725219726563</v>
      </c>
      <c r="D279" s="718">
        <v>19.176651000976602</v>
      </c>
      <c r="E279" s="718">
        <v>12.4995737075806</v>
      </c>
      <c r="F279" s="718">
        <v>9.7914295196533203</v>
      </c>
      <c r="G279" s="718">
        <v>12.0805196762085</v>
      </c>
      <c r="H279" s="718">
        <v>13.8671321868896</v>
      </c>
      <c r="I279" s="718">
        <v>15.216549873352101</v>
      </c>
      <c r="J279" s="718">
        <v>16.469785690307599</v>
      </c>
      <c r="K279" s="718">
        <v>17.9636936187744</v>
      </c>
      <c r="L279" s="718">
        <v>18.832237243652301</v>
      </c>
      <c r="M279" s="718">
        <v>19.641151428222699</v>
      </c>
      <c r="N279" s="718">
        <v>20.348432540893601</v>
      </c>
      <c r="O279" s="718">
        <v>20.710233688354499</v>
      </c>
      <c r="P279" s="718">
        <v>20.980741500854499</v>
      </c>
      <c r="Q279" s="718">
        <v>21.161005020141602</v>
      </c>
      <c r="R279" s="718">
        <v>21.2950553894043</v>
      </c>
      <c r="S279" s="718">
        <v>21.596014022827099</v>
      </c>
      <c r="T279" s="718">
        <v>21.884708404541001</v>
      </c>
      <c r="U279" s="718">
        <v>21.582948684692401</v>
      </c>
      <c r="V279" s="718">
        <v>21.8727416992188</v>
      </c>
      <c r="W279" s="718">
        <v>22.200710296630898</v>
      </c>
      <c r="X279" s="718">
        <v>22.548530578613299</v>
      </c>
      <c r="Y279" s="718">
        <v>22.812198638916001</v>
      </c>
      <c r="Z279" s="718">
        <v>23.2114353179932</v>
      </c>
      <c r="AA279" s="282">
        <v>18.0768718719482</v>
      </c>
      <c r="AB279" s="282">
        <v>18.184886932373001</v>
      </c>
      <c r="AC279" s="282">
        <v>18.263076782226602</v>
      </c>
      <c r="AD279" s="282">
        <v>18.304286956787099</v>
      </c>
    </row>
    <row r="280" spans="1:70" x14ac:dyDescent="0.25">
      <c r="A280" s="716" t="s">
        <v>596</v>
      </c>
      <c r="B280" s="718">
        <v>8.3781757354736293</v>
      </c>
      <c r="C280" s="718">
        <v>8.5664386749267596</v>
      </c>
      <c r="D280" s="718">
        <v>14.309384346008301</v>
      </c>
      <c r="E280" s="718">
        <v>6.51324510574341</v>
      </c>
      <c r="F280" s="718">
        <v>6.6763448715209996</v>
      </c>
      <c r="G280" s="718">
        <v>9.3123388290405291</v>
      </c>
      <c r="H280" s="718">
        <v>10.994701385498001</v>
      </c>
      <c r="I280" s="718">
        <v>12.5300750732422</v>
      </c>
      <c r="J280" s="718">
        <v>13.7526693344116</v>
      </c>
      <c r="K280" s="718">
        <v>15.155575752258301</v>
      </c>
      <c r="L280" s="718">
        <v>15.963142395019499</v>
      </c>
      <c r="M280" s="718">
        <v>16.617677688598601</v>
      </c>
      <c r="N280" s="718">
        <v>17.274333953857401</v>
      </c>
      <c r="O280" s="718">
        <v>17.322587966918899</v>
      </c>
      <c r="P280" s="718">
        <v>17.542411804199201</v>
      </c>
      <c r="Q280" s="718">
        <v>17.799869537353501</v>
      </c>
      <c r="R280" s="718">
        <v>17.916141510009801</v>
      </c>
      <c r="S280" s="718">
        <v>18.075910568237301</v>
      </c>
      <c r="T280" s="718">
        <v>18.1613368988037</v>
      </c>
      <c r="U280" s="718">
        <v>17.935956954956101</v>
      </c>
      <c r="V280" s="718">
        <v>18.128087997436499</v>
      </c>
      <c r="W280" s="718">
        <v>18.400978088378899</v>
      </c>
      <c r="X280" s="718">
        <v>18.7218933105469</v>
      </c>
      <c r="Y280" s="718">
        <v>18.9085083007813</v>
      </c>
      <c r="Z280" s="718">
        <v>19.247135162353501</v>
      </c>
      <c r="AA280" s="282">
        <v>21.3195495605469</v>
      </c>
      <c r="AB280" s="282">
        <v>21.43874168396</v>
      </c>
      <c r="AC280" s="282">
        <v>21.398374557495099</v>
      </c>
      <c r="AD280" s="282">
        <v>21.4992275238037</v>
      </c>
    </row>
    <row r="281" spans="1:70" x14ac:dyDescent="0.25">
      <c r="A281" s="716" t="s">
        <v>496</v>
      </c>
      <c r="B281" s="718">
        <v>7.0546379089355504</v>
      </c>
      <c r="C281" s="718">
        <v>7.0191597938537598</v>
      </c>
      <c r="D281" s="718">
        <v>8.8716125488281303</v>
      </c>
      <c r="E281" s="718">
        <v>4.5556221008300799</v>
      </c>
      <c r="F281" s="718">
        <v>5.1293134689331099</v>
      </c>
      <c r="G281" s="718">
        <v>5.4535460472106898</v>
      </c>
      <c r="H281" s="718">
        <v>5.5187635421752903</v>
      </c>
      <c r="I281" s="718">
        <v>5.53977298736572</v>
      </c>
      <c r="J281" s="718">
        <v>5.6835036277770996</v>
      </c>
      <c r="K281" s="718">
        <v>5.8920464515686</v>
      </c>
      <c r="L281" s="718">
        <v>6.0819325447082502</v>
      </c>
      <c r="M281" s="718">
        <v>6.2693996429443404</v>
      </c>
      <c r="N281" s="718">
        <v>6.4775133132934597</v>
      </c>
      <c r="O281" s="718">
        <v>6.7354197502136204</v>
      </c>
      <c r="P281" s="718">
        <v>7.0278439521789604</v>
      </c>
      <c r="Q281" s="718">
        <v>7.2539091110229501</v>
      </c>
      <c r="R281" s="718">
        <v>7.3283839225768999</v>
      </c>
      <c r="S281" s="718">
        <v>7.1506276130676296</v>
      </c>
      <c r="T281" s="718">
        <v>7.1924118995666504</v>
      </c>
      <c r="U281" s="718">
        <v>7.1398839950561497</v>
      </c>
      <c r="V281" s="718">
        <v>7.2806253433227504</v>
      </c>
      <c r="W281" s="718">
        <v>7.5354790687561</v>
      </c>
      <c r="X281" s="718">
        <v>7.8600792884826696</v>
      </c>
      <c r="Y281" s="718">
        <v>8.0742120742797905</v>
      </c>
      <c r="Z281" s="718">
        <v>8.3395175933837908</v>
      </c>
      <c r="AA281" s="282">
        <v>17.291141510009801</v>
      </c>
      <c r="AB281" s="282">
        <v>17.529483795166001</v>
      </c>
      <c r="AC281" s="282">
        <v>17.525184631347699</v>
      </c>
      <c r="AD281" s="282">
        <v>17.7543029785156</v>
      </c>
    </row>
    <row r="282" spans="1:70" x14ac:dyDescent="0.25">
      <c r="A282" s="716" t="s">
        <v>609</v>
      </c>
      <c r="B282" s="718">
        <v>1.7355252504348799</v>
      </c>
      <c r="C282" s="718">
        <v>1.7800002098083501</v>
      </c>
      <c r="D282" s="718">
        <v>1.9310736656189</v>
      </c>
      <c r="E282" s="718">
        <v>1.98230564594269</v>
      </c>
      <c r="F282" s="718">
        <v>1.86225914955139</v>
      </c>
      <c r="G282" s="718">
        <v>1.87335216999054</v>
      </c>
      <c r="H282" s="718">
        <v>1.85759365558624</v>
      </c>
      <c r="I282" s="718">
        <v>1.8817487955093399</v>
      </c>
      <c r="J282" s="718">
        <v>1.9043176174163801</v>
      </c>
      <c r="K282" s="718">
        <v>1.90719401836395</v>
      </c>
      <c r="L282" s="718">
        <v>1.9170492887496899</v>
      </c>
      <c r="M282" s="718">
        <v>1.9259506464004501</v>
      </c>
      <c r="N282" s="718">
        <v>1.94080138206482</v>
      </c>
      <c r="O282" s="718">
        <v>1.94636797904968</v>
      </c>
      <c r="P282" s="718">
        <v>1.9562891721725499</v>
      </c>
      <c r="Q282" s="718">
        <v>1.9622501134872401</v>
      </c>
      <c r="R282" s="718">
        <v>1.9753552675247199</v>
      </c>
      <c r="S282" s="718">
        <v>1.9811542034149201</v>
      </c>
      <c r="T282" s="718">
        <v>1.98549652099609</v>
      </c>
      <c r="U282" s="718">
        <v>1.9898830652236901</v>
      </c>
      <c r="V282" s="718">
        <v>1.99634909629822</v>
      </c>
      <c r="W282" s="718">
        <v>2.00744533538818</v>
      </c>
      <c r="X282" s="718">
        <v>2.0202190876007098</v>
      </c>
      <c r="Y282" s="718">
        <v>2.0336120128631601</v>
      </c>
      <c r="Z282" s="718">
        <v>2.0445194244384801</v>
      </c>
      <c r="AA282" s="282">
        <v>11.227470397949199</v>
      </c>
      <c r="AB282" s="282">
        <v>11.517865180969199</v>
      </c>
      <c r="AC282" s="282">
        <v>11.5089683532715</v>
      </c>
      <c r="AD282" s="282">
        <v>11.7493782043457</v>
      </c>
    </row>
    <row r="283" spans="1:70" x14ac:dyDescent="0.25">
      <c r="AA283" s="282">
        <v>15.2353620529175</v>
      </c>
      <c r="AB283" s="282">
        <v>15.5302953720093</v>
      </c>
      <c r="AC283" s="282">
        <v>15.500846862793001</v>
      </c>
      <c r="AD283" s="282">
        <v>15.7047281265259</v>
      </c>
    </row>
    <row r="284" spans="1:70" x14ac:dyDescent="0.25">
      <c r="A284" s="716" t="s">
        <v>610</v>
      </c>
      <c r="AA284" s="282">
        <v>7.7013258934020996</v>
      </c>
      <c r="AB284" s="282">
        <v>7.6767330169677699</v>
      </c>
      <c r="AC284" s="282">
        <v>7.8322434425354004</v>
      </c>
      <c r="AD284" s="282">
        <v>7.7872447967529297</v>
      </c>
    </row>
    <row r="285" spans="1:70" x14ac:dyDescent="0.25">
      <c r="A285" s="716" t="s">
        <v>594</v>
      </c>
      <c r="B285" s="718">
        <v>15.657142639160201</v>
      </c>
      <c r="C285" s="718">
        <v>18.5313529968262</v>
      </c>
      <c r="D285" s="718">
        <v>19.701341629028299</v>
      </c>
      <c r="E285" s="718">
        <v>16.4090671539307</v>
      </c>
      <c r="F285" s="718">
        <v>16.297544479370099</v>
      </c>
      <c r="G285" s="718">
        <v>18.4262371063232</v>
      </c>
      <c r="H285" s="718">
        <v>20.2184352874756</v>
      </c>
      <c r="I285" s="718">
        <v>21.813219070434599</v>
      </c>
      <c r="J285" s="718">
        <v>23.252103805541999</v>
      </c>
      <c r="K285" s="718">
        <v>24.811630249023398</v>
      </c>
      <c r="L285" s="718">
        <v>25.812454223632798</v>
      </c>
      <c r="M285" s="718">
        <v>26.627546310424801</v>
      </c>
      <c r="N285" s="718">
        <v>27.460300445556602</v>
      </c>
      <c r="O285" s="718">
        <v>27.8579425811768</v>
      </c>
      <c r="P285" s="718">
        <v>28.113265991210898</v>
      </c>
      <c r="Q285" s="718">
        <v>28.325565338134801</v>
      </c>
      <c r="R285" s="718">
        <v>28.4571437835693</v>
      </c>
      <c r="S285" s="718">
        <v>28.7732944488525</v>
      </c>
      <c r="T285" s="718">
        <v>28.920036315918001</v>
      </c>
      <c r="U285" s="718">
        <v>28.525373458862301</v>
      </c>
      <c r="V285" s="718">
        <v>28.814060211181602</v>
      </c>
      <c r="W285" s="718">
        <v>29.1242790222168</v>
      </c>
      <c r="X285" s="718">
        <v>29.486963272094702</v>
      </c>
      <c r="Y285" s="718">
        <v>29.629682540893601</v>
      </c>
      <c r="Z285" s="718">
        <v>30.0484523773193</v>
      </c>
      <c r="AA285" s="282">
        <v>7.8213167190551802</v>
      </c>
      <c r="AB285" s="282">
        <v>7.9383788108825701</v>
      </c>
      <c r="AC285" s="282">
        <v>8.0273618698120099</v>
      </c>
      <c r="AD285" s="282">
        <v>8.0851049423217791</v>
      </c>
    </row>
    <row r="286" spans="1:70" x14ac:dyDescent="0.25">
      <c r="A286" s="716" t="s">
        <v>603</v>
      </c>
      <c r="B286" s="718">
        <v>25.5142211914063</v>
      </c>
      <c r="C286" s="718">
        <v>26.818180084228501</v>
      </c>
      <c r="D286" s="718">
        <v>34.073703765869098</v>
      </c>
      <c r="E286" s="718">
        <v>20.3962516784668</v>
      </c>
      <c r="F286" s="718">
        <v>18.869060516357401</v>
      </c>
      <c r="G286" s="718">
        <v>22.499189376831101</v>
      </c>
      <c r="H286" s="718">
        <v>24.345371246337901</v>
      </c>
      <c r="I286" s="718">
        <v>25.8835773468018</v>
      </c>
      <c r="J286" s="718">
        <v>27.376197814941399</v>
      </c>
      <c r="K286" s="718">
        <v>25.5507621765137</v>
      </c>
      <c r="L286" s="718">
        <v>26.3307495117188</v>
      </c>
      <c r="M286" s="718">
        <v>27.042121887206999</v>
      </c>
      <c r="N286" s="718">
        <v>27.074653625488299</v>
      </c>
      <c r="O286" s="718">
        <v>28.861484527587901</v>
      </c>
      <c r="P286" s="718">
        <v>29.593324661254901</v>
      </c>
      <c r="Q286" s="718">
        <v>29.691083908081101</v>
      </c>
      <c r="R286" s="718">
        <v>29.8394565582275</v>
      </c>
      <c r="S286" s="718">
        <v>30.056737899780298</v>
      </c>
      <c r="T286" s="718">
        <v>30.123649597168001</v>
      </c>
      <c r="U286" s="718">
        <v>30.045396804809599</v>
      </c>
      <c r="V286" s="718">
        <v>30.335887908935501</v>
      </c>
      <c r="W286" s="718">
        <v>30.1821899414063</v>
      </c>
      <c r="X286" s="718">
        <v>30.567377090454102</v>
      </c>
      <c r="Y286" s="718">
        <v>31.227724075317401</v>
      </c>
      <c r="Z286" s="718">
        <v>30.935503005981399</v>
      </c>
      <c r="AA286" s="282">
        <v>2.7168338298797599</v>
      </c>
      <c r="AB286" s="282">
        <v>2.7307398319244398</v>
      </c>
      <c r="AC286" s="282">
        <v>2.7413196563720699</v>
      </c>
      <c r="AD286" s="282">
        <v>2.7546591758728001</v>
      </c>
    </row>
    <row r="287" spans="1:70" x14ac:dyDescent="0.25">
      <c r="A287" s="716" t="s">
        <v>604</v>
      </c>
      <c r="B287" s="718">
        <v>21.649000167846701</v>
      </c>
      <c r="C287" s="718">
        <v>22.8191947937012</v>
      </c>
      <c r="D287" s="718">
        <v>26.0107421875</v>
      </c>
      <c r="E287" s="718">
        <v>15.8019914627075</v>
      </c>
      <c r="F287" s="718">
        <v>17.711067199706999</v>
      </c>
      <c r="G287" s="718">
        <v>20.6589241027832</v>
      </c>
      <c r="H287" s="718">
        <v>22.298402786254901</v>
      </c>
      <c r="I287" s="718">
        <v>23.5152263641357</v>
      </c>
      <c r="J287" s="718">
        <v>24.813198089599599</v>
      </c>
      <c r="K287" s="718">
        <v>26.134485244751001</v>
      </c>
      <c r="L287" s="718">
        <v>27.0586547851563</v>
      </c>
      <c r="M287" s="718">
        <v>27.9900207519531</v>
      </c>
      <c r="N287" s="718">
        <v>28.799554824829102</v>
      </c>
      <c r="O287" s="718">
        <v>29.408401489257798</v>
      </c>
      <c r="P287" s="718">
        <v>29.935087203979499</v>
      </c>
      <c r="Q287" s="718">
        <v>30.054672241210898</v>
      </c>
      <c r="R287" s="718">
        <v>30.314332962036101</v>
      </c>
      <c r="S287" s="718">
        <v>30.492042541503899</v>
      </c>
      <c r="T287" s="718">
        <v>30.525100708007798</v>
      </c>
      <c r="U287" s="718">
        <v>30.442491531372099</v>
      </c>
      <c r="V287" s="718">
        <v>30.723676681518601</v>
      </c>
      <c r="W287" s="718">
        <v>30.701581954956101</v>
      </c>
      <c r="X287" s="718">
        <v>31.107343673706101</v>
      </c>
      <c r="Y287" s="718">
        <v>31.957983016967798</v>
      </c>
      <c r="Z287" s="718">
        <v>31.580909729003899</v>
      </c>
      <c r="AA287" s="282">
        <v>1.67883205413818</v>
      </c>
      <c r="AB287" s="282">
        <v>1.6938681602478001</v>
      </c>
      <c r="AC287" s="282">
        <v>1.7024568319320701</v>
      </c>
      <c r="AD287" s="282">
        <v>1.71655297279358</v>
      </c>
    </row>
    <row r="288" spans="1:70" x14ac:dyDescent="0.25">
      <c r="A288" s="716" t="s">
        <v>611</v>
      </c>
      <c r="B288" s="718">
        <v>15.2446508407593</v>
      </c>
      <c r="C288" s="718">
        <v>16.0964660644531</v>
      </c>
      <c r="D288" s="718">
        <v>22.1856594085693</v>
      </c>
      <c r="E288" s="718">
        <v>10.540905952453601</v>
      </c>
      <c r="F288" s="718">
        <v>10.4131317138672</v>
      </c>
      <c r="G288" s="718">
        <v>12.992267608642599</v>
      </c>
      <c r="H288" s="718">
        <v>14.8510446548462</v>
      </c>
      <c r="I288" s="718">
        <v>16.4927158355713</v>
      </c>
      <c r="J288" s="718">
        <v>17.888269424438501</v>
      </c>
      <c r="K288" s="718">
        <v>19.120731353759801</v>
      </c>
      <c r="L288" s="718">
        <v>20.025011062622099</v>
      </c>
      <c r="M288" s="718">
        <v>20.925888061523398</v>
      </c>
      <c r="N288" s="718">
        <v>21.650459289550799</v>
      </c>
      <c r="O288" s="718">
        <v>22.054113388061499</v>
      </c>
      <c r="P288" s="718">
        <v>22.358533859252901</v>
      </c>
      <c r="Q288" s="718">
        <v>22.535087585449201</v>
      </c>
      <c r="R288" s="718">
        <v>22.624557495117202</v>
      </c>
      <c r="S288" s="718">
        <v>22.875423431396499</v>
      </c>
      <c r="T288" s="718">
        <v>23.088819503784201</v>
      </c>
      <c r="U288" s="718">
        <v>22.878332138061499</v>
      </c>
      <c r="V288" s="718">
        <v>23.229129791259801</v>
      </c>
      <c r="W288" s="718">
        <v>23.440977096557599</v>
      </c>
      <c r="X288" s="718">
        <v>23.911849975585898</v>
      </c>
      <c r="Y288" s="718">
        <v>24.3618278503418</v>
      </c>
      <c r="Z288" s="718">
        <v>24.669164657592798</v>
      </c>
      <c r="AA288" s="282">
        <v>1.2833950519561801</v>
      </c>
      <c r="AB288" s="282">
        <v>1.3286876678466799</v>
      </c>
      <c r="AC288" s="282">
        <v>1.33012855052948</v>
      </c>
      <c r="AD288" s="282">
        <v>1.33445107936859</v>
      </c>
    </row>
    <row r="289" spans="1:30" x14ac:dyDescent="0.25">
      <c r="A289" s="716" t="s">
        <v>595</v>
      </c>
      <c r="B289" s="718">
        <v>19.171348571777301</v>
      </c>
      <c r="C289" s="718">
        <v>19.9431552886963</v>
      </c>
      <c r="D289" s="718">
        <v>25.721439361572301</v>
      </c>
      <c r="E289" s="718">
        <v>15.1513471603394</v>
      </c>
      <c r="F289" s="718">
        <v>13.5963325500488</v>
      </c>
      <c r="G289" s="718">
        <v>16.098552703857401</v>
      </c>
      <c r="H289" s="718">
        <v>18.014595031738299</v>
      </c>
      <c r="I289" s="718">
        <v>20.0945529937744</v>
      </c>
      <c r="J289" s="718">
        <v>21.487236022949201</v>
      </c>
      <c r="K289" s="718">
        <v>22.551927566528299</v>
      </c>
      <c r="L289" s="718">
        <v>23.4185886383057</v>
      </c>
      <c r="M289" s="718">
        <v>24.295482635498001</v>
      </c>
      <c r="N289" s="718">
        <v>25.028078079223601</v>
      </c>
      <c r="O289" s="718">
        <v>25.4735622406006</v>
      </c>
      <c r="P289" s="718">
        <v>25.7968635559082</v>
      </c>
      <c r="Q289" s="718">
        <v>25.744600296020501</v>
      </c>
      <c r="R289" s="718">
        <v>26.0401725769043</v>
      </c>
      <c r="S289" s="718">
        <v>26.245742797851602</v>
      </c>
      <c r="T289" s="718">
        <v>26.316581726074201</v>
      </c>
      <c r="U289" s="718">
        <v>26.282798767089801</v>
      </c>
      <c r="V289" s="718">
        <v>26.623888015747099</v>
      </c>
      <c r="W289" s="718">
        <v>26.532428741455099</v>
      </c>
      <c r="X289" s="718">
        <v>26.9911499023438</v>
      </c>
      <c r="Y289" s="718">
        <v>27.692060470581101</v>
      </c>
      <c r="Z289" s="718">
        <v>27.7130451202393</v>
      </c>
      <c r="AA289" s="282">
        <v>23.429731369018601</v>
      </c>
      <c r="AB289" s="282">
        <v>23.480413436889599</v>
      </c>
      <c r="AC289" s="282">
        <v>23.589033126831101</v>
      </c>
      <c r="AD289" s="282">
        <v>23.596023559570298</v>
      </c>
    </row>
    <row r="290" spans="1:30" x14ac:dyDescent="0.25">
      <c r="A290" s="716" t="s">
        <v>596</v>
      </c>
      <c r="B290" s="718">
        <v>8.4246683120727504</v>
      </c>
      <c r="C290" s="718">
        <v>9.3672227859497106</v>
      </c>
      <c r="D290" s="718">
        <v>14.1781015396118</v>
      </c>
      <c r="E290" s="718">
        <v>6.5043296813964799</v>
      </c>
      <c r="F290" s="718">
        <v>6.9149212837219203</v>
      </c>
      <c r="G290" s="718">
        <v>9.2013835906982404</v>
      </c>
      <c r="H290" s="718">
        <v>10.8588418960571</v>
      </c>
      <c r="I290" s="718">
        <v>12.3554439544678</v>
      </c>
      <c r="J290" s="718">
        <v>13.5696716308594</v>
      </c>
      <c r="K290" s="718">
        <v>14.9571332931519</v>
      </c>
      <c r="L290" s="718">
        <v>15.7562828063965</v>
      </c>
      <c r="M290" s="718">
        <v>16.419845581054702</v>
      </c>
      <c r="N290" s="718">
        <v>17.090215682983398</v>
      </c>
      <c r="O290" s="718">
        <v>17.3671054840088</v>
      </c>
      <c r="P290" s="718">
        <v>17.589653015136701</v>
      </c>
      <c r="Q290" s="718">
        <v>17.8480415344238</v>
      </c>
      <c r="R290" s="718">
        <v>17.911899566650401</v>
      </c>
      <c r="S290" s="718">
        <v>18.041828155517599</v>
      </c>
      <c r="T290" s="718">
        <v>18.112939834594702</v>
      </c>
      <c r="U290" s="718">
        <v>17.862413406372099</v>
      </c>
      <c r="V290" s="718">
        <v>18.047613143920898</v>
      </c>
      <c r="W290" s="718">
        <v>18.333000183105501</v>
      </c>
      <c r="X290" s="718">
        <v>18.6528930664063</v>
      </c>
      <c r="Y290" s="718">
        <v>18.8375339508057</v>
      </c>
      <c r="Z290" s="718">
        <v>19.187860488891602</v>
      </c>
      <c r="AA290" s="282"/>
      <c r="AB290" s="282"/>
      <c r="AC290" s="282"/>
      <c r="AD290" s="282"/>
    </row>
    <row r="291" spans="1:30" x14ac:dyDescent="0.25">
      <c r="A291" s="716" t="s">
        <v>496</v>
      </c>
      <c r="B291" s="718">
        <v>9.5015735626220703</v>
      </c>
      <c r="C291" s="718">
        <v>9.0060253143310494</v>
      </c>
      <c r="D291" s="718">
        <v>10.1816816329956</v>
      </c>
      <c r="E291" s="718">
        <v>6.76324558258057</v>
      </c>
      <c r="F291" s="718">
        <v>7.4289712905883798</v>
      </c>
      <c r="G291" s="718">
        <v>7.7374553680419904</v>
      </c>
      <c r="H291" s="718">
        <v>7.7907910346984899</v>
      </c>
      <c r="I291" s="718">
        <v>7.79954290390015</v>
      </c>
      <c r="J291" s="718">
        <v>7.91036033630371</v>
      </c>
      <c r="K291" s="718">
        <v>8.0721502304077095</v>
      </c>
      <c r="L291" s="718">
        <v>8.2674913406372106</v>
      </c>
      <c r="M291" s="718">
        <v>8.4630060195922905</v>
      </c>
      <c r="N291" s="718">
        <v>8.6615943908691406</v>
      </c>
      <c r="O291" s="718">
        <v>8.9140930175781303</v>
      </c>
      <c r="P291" s="718">
        <v>9.2212562561035192</v>
      </c>
      <c r="Q291" s="718">
        <v>9.4307956695556605</v>
      </c>
      <c r="R291" s="718">
        <v>9.4883728027343803</v>
      </c>
      <c r="S291" s="718">
        <v>9.2674760818481392</v>
      </c>
      <c r="T291" s="718">
        <v>9.2395153045654297</v>
      </c>
      <c r="U291" s="718">
        <v>9.1623344421386701</v>
      </c>
      <c r="V291" s="718">
        <v>9.3142642974853498</v>
      </c>
      <c r="W291" s="718">
        <v>9.5711297988891602</v>
      </c>
      <c r="X291" s="718">
        <v>9.9057645797729492</v>
      </c>
      <c r="Y291" s="718">
        <v>10.151716232299799</v>
      </c>
      <c r="Z291" s="718">
        <v>10.4206848144531</v>
      </c>
      <c r="AA291" s="282"/>
      <c r="AB291" s="282"/>
      <c r="AC291" s="282"/>
      <c r="AD291" s="282"/>
    </row>
    <row r="292" spans="1:30" x14ac:dyDescent="0.25">
      <c r="A292" s="716" t="s">
        <v>599</v>
      </c>
      <c r="B292" s="718">
        <v>3.6353600025177002</v>
      </c>
      <c r="C292" s="718">
        <v>3.6099998950958301</v>
      </c>
      <c r="D292" s="718">
        <v>4.0558156967163104</v>
      </c>
      <c r="E292" s="718">
        <v>4.0487108230590803</v>
      </c>
      <c r="F292" s="718">
        <v>3.9977276325225799</v>
      </c>
      <c r="G292" s="718">
        <v>4.1121706962585396</v>
      </c>
      <c r="H292" s="718">
        <v>4.1809573173522896</v>
      </c>
      <c r="I292" s="718">
        <v>4.2343683242797896</v>
      </c>
      <c r="J292" s="718">
        <v>4.27162742614746</v>
      </c>
      <c r="K292" s="718">
        <v>4.2985162734985396</v>
      </c>
      <c r="L292" s="718">
        <v>4.3192996978759801</v>
      </c>
      <c r="M292" s="718">
        <v>4.3337044715881303</v>
      </c>
      <c r="N292" s="718">
        <v>4.3530845642089799</v>
      </c>
      <c r="O292" s="718">
        <v>4.3696141242981001</v>
      </c>
      <c r="P292" s="718">
        <v>4.3899216651916504</v>
      </c>
      <c r="Q292" s="718">
        <v>4.4470157623290998</v>
      </c>
      <c r="R292" s="718">
        <v>4.5093812942504901</v>
      </c>
      <c r="S292" s="718">
        <v>4.5352845191955602</v>
      </c>
      <c r="T292" s="718">
        <v>4.5618190765380904</v>
      </c>
      <c r="U292" s="718">
        <v>4.5643453598022496</v>
      </c>
      <c r="V292" s="718">
        <v>4.5493078231811497</v>
      </c>
      <c r="W292" s="718">
        <v>4.5490665435790998</v>
      </c>
      <c r="X292" s="718">
        <v>4.5331215858459499</v>
      </c>
      <c r="Y292" s="718">
        <v>4.4955492019653303</v>
      </c>
      <c r="Z292" s="718">
        <v>4.4319190979003897</v>
      </c>
      <c r="AA292" s="282">
        <v>253.732666015625</v>
      </c>
      <c r="AB292" s="282">
        <v>257.28918457031301</v>
      </c>
      <c r="AC292" s="282">
        <v>259.96432495117199</v>
      </c>
      <c r="AD292" s="282">
        <v>262.21316528320301</v>
      </c>
    </row>
    <row r="293" spans="1:30" x14ac:dyDescent="0.25">
      <c r="A293" s="716" t="s">
        <v>612</v>
      </c>
      <c r="B293" s="718">
        <v>1.7776364088058501</v>
      </c>
      <c r="C293" s="718">
        <v>1.81885313987732</v>
      </c>
      <c r="D293" s="718">
        <v>1.9676311016082799</v>
      </c>
      <c r="E293" s="718">
        <v>2.0067975521087602</v>
      </c>
      <c r="F293" s="718">
        <v>1.88941025733948</v>
      </c>
      <c r="G293" s="718">
        <v>1.9042230844497701</v>
      </c>
      <c r="H293" s="718">
        <v>1.89033174514771</v>
      </c>
      <c r="I293" s="718">
        <v>1.9154095649719201</v>
      </c>
      <c r="J293" s="718">
        <v>1.93832087516785</v>
      </c>
      <c r="K293" s="718">
        <v>1.94072294235229</v>
      </c>
      <c r="L293" s="718">
        <v>1.9500694274902299</v>
      </c>
      <c r="M293" s="718">
        <v>1.9586881399154701</v>
      </c>
      <c r="N293" s="718">
        <v>1.9732190370559699</v>
      </c>
      <c r="O293" s="718">
        <v>1.9783339500427199</v>
      </c>
      <c r="P293" s="718">
        <v>1.98810267448425</v>
      </c>
      <c r="Q293" s="718">
        <v>1.9938982725143399</v>
      </c>
      <c r="R293" s="718">
        <v>2.0064799785614</v>
      </c>
      <c r="S293" s="718">
        <v>2.0119984149932901</v>
      </c>
      <c r="T293" s="718">
        <v>2.0163278579711901</v>
      </c>
      <c r="U293" s="718">
        <v>2.0205180644989</v>
      </c>
      <c r="V293" s="718">
        <v>2.0271856784820601</v>
      </c>
      <c r="W293" s="718">
        <v>2.0382561683654798</v>
      </c>
      <c r="X293" s="718">
        <v>2.0508835315704301</v>
      </c>
      <c r="Y293" s="718">
        <v>2.0641281604766801</v>
      </c>
      <c r="Z293" s="718">
        <v>2.0750961303710902</v>
      </c>
      <c r="AA293" s="282">
        <v>208.50216674804699</v>
      </c>
      <c r="AB293" s="282">
        <v>213.246017456055</v>
      </c>
      <c r="AC293" s="282">
        <v>217.97378540039099</v>
      </c>
      <c r="AD293" s="282">
        <v>222.08200073242199</v>
      </c>
    </row>
    <row r="294" spans="1:30" x14ac:dyDescent="0.25">
      <c r="A294" s="716" t="s">
        <v>601</v>
      </c>
      <c r="B294" s="718">
        <v>0</v>
      </c>
      <c r="C294" s="718">
        <v>0</v>
      </c>
      <c r="D294" s="718">
        <v>0</v>
      </c>
      <c r="E294" s="718">
        <v>0</v>
      </c>
      <c r="F294" s="718">
        <v>0</v>
      </c>
      <c r="G294" s="718">
        <v>1.5133428573608401</v>
      </c>
      <c r="H294" s="718">
        <v>1.3742095232009901</v>
      </c>
      <c r="I294" s="718">
        <v>1.19064140319824</v>
      </c>
      <c r="J294" s="718">
        <v>1.3664953708648699</v>
      </c>
      <c r="K294" s="718">
        <v>1.33487153053284</v>
      </c>
      <c r="L294" s="718">
        <v>1.31654036045074</v>
      </c>
      <c r="M294" s="718">
        <v>1.30223417282104</v>
      </c>
      <c r="N294" s="718">
        <v>1.30838906764984</v>
      </c>
      <c r="O294" s="718">
        <v>1.32146644592285</v>
      </c>
      <c r="P294" s="718">
        <v>1.3489345312118499</v>
      </c>
      <c r="Q294" s="718">
        <v>1.3524934053421001</v>
      </c>
      <c r="R294" s="718">
        <v>1.3570195436477701</v>
      </c>
      <c r="S294" s="718">
        <v>1.3626403808593801</v>
      </c>
      <c r="T294" s="718">
        <v>1.37119424343109</v>
      </c>
      <c r="U294" s="718">
        <v>1.3635557889938399</v>
      </c>
      <c r="V294" s="718">
        <v>1.3662919998168901</v>
      </c>
      <c r="W294" s="718">
        <v>1.37254309654236</v>
      </c>
      <c r="X294" s="718">
        <v>1.37609398365021</v>
      </c>
      <c r="Y294" s="718">
        <v>1.3784751892089799</v>
      </c>
      <c r="Z294" s="718">
        <v>1.3805129528045701</v>
      </c>
      <c r="AA294" s="282">
        <v>212.89649963378901</v>
      </c>
      <c r="AB294" s="282">
        <v>216.30204772949199</v>
      </c>
      <c r="AC294" s="282">
        <v>219.267822265625</v>
      </c>
      <c r="AD294" s="282">
        <v>222.079177856445</v>
      </c>
    </row>
    <row r="295" spans="1:30" x14ac:dyDescent="0.25">
      <c r="A295" s="716" t="s">
        <v>465</v>
      </c>
      <c r="B295" s="718">
        <v>26.672916412353501</v>
      </c>
      <c r="C295" s="718">
        <v>26.680915832519499</v>
      </c>
      <c r="D295" s="718">
        <v>27.799331665039102</v>
      </c>
      <c r="E295" s="718">
        <v>26.6892414093018</v>
      </c>
      <c r="F295" s="718">
        <v>24.2756156921387</v>
      </c>
      <c r="G295" s="718">
        <v>25.0947151184082</v>
      </c>
      <c r="H295" s="718">
        <v>25.0493679046631</v>
      </c>
      <c r="I295" s="718">
        <v>25.093559265136701</v>
      </c>
      <c r="J295" s="718">
        <v>25.339256286621101</v>
      </c>
      <c r="K295" s="718">
        <v>25.454051971435501</v>
      </c>
      <c r="L295" s="718">
        <v>25.7708930969238</v>
      </c>
      <c r="M295" s="718">
        <v>26.1124782562256</v>
      </c>
      <c r="N295" s="718">
        <v>26.474697113037099</v>
      </c>
      <c r="O295" s="718">
        <v>26.7419338226318</v>
      </c>
      <c r="P295" s="718">
        <v>27.1641750335693</v>
      </c>
      <c r="Q295" s="718">
        <v>27.529588699340799</v>
      </c>
      <c r="R295" s="718">
        <v>27.7828693389893</v>
      </c>
      <c r="S295" s="718">
        <v>27.754991531372099</v>
      </c>
      <c r="T295" s="718">
        <v>27.792310714721701</v>
      </c>
      <c r="U295" s="718">
        <v>27.7856330871582</v>
      </c>
      <c r="V295" s="718">
        <v>27.867961883544901</v>
      </c>
      <c r="W295" s="718">
        <v>28.2280673980713</v>
      </c>
      <c r="X295" s="718">
        <v>28.6754856109619</v>
      </c>
      <c r="Y295" s="718">
        <v>29.0858860015869</v>
      </c>
      <c r="Z295" s="718">
        <v>29.4564533233643</v>
      </c>
      <c r="AA295" s="282">
        <v>588.97521972656295</v>
      </c>
      <c r="AB295" s="282">
        <v>607.12139892578102</v>
      </c>
      <c r="AC295" s="282">
        <v>615.45501708984398</v>
      </c>
      <c r="AD295" s="282">
        <v>632.78991699218795</v>
      </c>
    </row>
    <row r="296" spans="1:30" x14ac:dyDescent="0.25">
      <c r="AA296" s="282">
        <v>1264.10656738281</v>
      </c>
      <c r="AB296" s="282">
        <v>1293.95861816406</v>
      </c>
      <c r="AC296" s="282">
        <v>1312.66088867188</v>
      </c>
      <c r="AD296" s="282">
        <v>1339.16430664063</v>
      </c>
    </row>
    <row r="297" spans="1:30" x14ac:dyDescent="0.25">
      <c r="A297" s="716" t="s">
        <v>499</v>
      </c>
      <c r="AA297" s="282">
        <v>0.38684526085853599</v>
      </c>
      <c r="AB297" s="282">
        <v>0.443235874176025</v>
      </c>
      <c r="AC297" s="282">
        <v>0.46923574805259699</v>
      </c>
      <c r="AD297" s="282">
        <v>0.51463860273361195</v>
      </c>
    </row>
    <row r="298" spans="1:30" x14ac:dyDescent="0.25">
      <c r="A298" s="716" t="s">
        <v>710</v>
      </c>
      <c r="AA298" s="282">
        <v>1264.49340820313</v>
      </c>
      <c r="AB298" s="282">
        <v>1294.40185546875</v>
      </c>
      <c r="AC298" s="282">
        <v>1313.13012695313</v>
      </c>
      <c r="AD298" s="282">
        <v>1339.67895507813</v>
      </c>
    </row>
    <row r="299" spans="1:30" x14ac:dyDescent="0.25">
      <c r="A299" s="716" t="s">
        <v>459</v>
      </c>
      <c r="B299" s="718">
        <v>231.10064697265599</v>
      </c>
      <c r="C299" s="718">
        <v>238.40081787109401</v>
      </c>
      <c r="D299" s="718">
        <v>250.00378417968801</v>
      </c>
      <c r="E299" s="718">
        <v>223.81915283203099</v>
      </c>
      <c r="F299" s="718">
        <v>215.29118347168</v>
      </c>
      <c r="G299" s="718">
        <v>224.09677124023401</v>
      </c>
      <c r="H299" s="718">
        <v>227.34310913085901</v>
      </c>
      <c r="I299" s="718">
        <v>227.85260009765599</v>
      </c>
      <c r="J299" s="718">
        <v>231.24415588378901</v>
      </c>
      <c r="K299" s="718">
        <v>234.18721008300801</v>
      </c>
      <c r="L299" s="718">
        <v>238.75100708007801</v>
      </c>
      <c r="M299" s="718">
        <v>243.18489074707</v>
      </c>
      <c r="N299" s="718">
        <v>248.169021606445</v>
      </c>
      <c r="O299" s="718">
        <v>252.72660827636699</v>
      </c>
      <c r="P299" s="718">
        <v>258.44952392578102</v>
      </c>
      <c r="Q299" s="718">
        <v>262.50808715820301</v>
      </c>
      <c r="R299" s="718">
        <v>265.94851684570301</v>
      </c>
      <c r="S299" s="718">
        <v>267.30322265625</v>
      </c>
      <c r="T299" s="718">
        <v>270.58847045898398</v>
      </c>
      <c r="U299" s="718">
        <v>272.04168701171898</v>
      </c>
      <c r="V299" s="718">
        <v>276.25186157226602</v>
      </c>
      <c r="W299" s="718">
        <v>282.20260620117199</v>
      </c>
      <c r="X299" s="718">
        <v>288.93267822265602</v>
      </c>
      <c r="Y299" s="718">
        <v>293.60751342773398</v>
      </c>
      <c r="Z299" s="718">
        <v>298.90402221679699</v>
      </c>
      <c r="AA299" s="282"/>
      <c r="AB299" s="282"/>
      <c r="AC299" s="282"/>
      <c r="AD299" s="282"/>
    </row>
    <row r="300" spans="1:30" x14ac:dyDescent="0.25">
      <c r="A300" s="716" t="s">
        <v>466</v>
      </c>
      <c r="B300" s="718">
        <v>170.28274536132801</v>
      </c>
      <c r="C300" s="718">
        <v>172.89260864257801</v>
      </c>
      <c r="D300" s="718">
        <v>183.352294921875</v>
      </c>
      <c r="E300" s="718">
        <v>163.89425659179699</v>
      </c>
      <c r="F300" s="718">
        <v>157.14476013183599</v>
      </c>
      <c r="G300" s="718">
        <v>164.69047546386699</v>
      </c>
      <c r="H300" s="718">
        <v>166.42567443847699</v>
      </c>
      <c r="I300" s="718">
        <v>169.00093078613301</v>
      </c>
      <c r="J300" s="718">
        <v>173.04789733886699</v>
      </c>
      <c r="K300" s="718">
        <v>176.93461608886699</v>
      </c>
      <c r="L300" s="718">
        <v>182.04042053222699</v>
      </c>
      <c r="M300" s="718">
        <v>187.24485778808599</v>
      </c>
      <c r="N300" s="718">
        <v>192.69107055664099</v>
      </c>
      <c r="O300" s="718">
        <v>197.508544921875</v>
      </c>
      <c r="P300" s="718">
        <v>203.26272583007801</v>
      </c>
      <c r="Q300" s="718">
        <v>208.31881713867199</v>
      </c>
      <c r="R300" s="718">
        <v>212.33370971679699</v>
      </c>
      <c r="S300" s="718">
        <v>214.22947692871099</v>
      </c>
      <c r="T300" s="718">
        <v>217.23475646972699</v>
      </c>
      <c r="U300" s="718">
        <v>219.65505981445301</v>
      </c>
      <c r="V300" s="718">
        <v>223.61666870117199</v>
      </c>
      <c r="W300" s="718">
        <v>229.31947326660199</v>
      </c>
      <c r="X300" s="718">
        <v>235.82908630371099</v>
      </c>
      <c r="Y300" s="718">
        <v>241.79779052734401</v>
      </c>
      <c r="Z300" s="718">
        <v>247.76422119140599</v>
      </c>
      <c r="AA300" s="282"/>
      <c r="AB300" s="282"/>
      <c r="AC300" s="282"/>
      <c r="AD300" s="282"/>
    </row>
    <row r="301" spans="1:30" x14ac:dyDescent="0.25">
      <c r="A301" s="716" t="s">
        <v>501</v>
      </c>
      <c r="B301" s="718">
        <v>216.08058166503901</v>
      </c>
      <c r="C301" s="718">
        <v>226.88609313964801</v>
      </c>
      <c r="D301" s="718">
        <v>248.66896057128901</v>
      </c>
      <c r="E301" s="718">
        <v>181.39601135253901</v>
      </c>
      <c r="F301" s="718">
        <v>151.70443725585901</v>
      </c>
      <c r="G301" s="718">
        <v>172.23597717285199</v>
      </c>
      <c r="H301" s="718">
        <v>186.63681030273401</v>
      </c>
      <c r="I301" s="718">
        <v>200.19924926757801</v>
      </c>
      <c r="J301" s="718">
        <v>207.03741455078099</v>
      </c>
      <c r="K301" s="718">
        <v>213.45352172851599</v>
      </c>
      <c r="L301" s="718">
        <v>218.62767028808599</v>
      </c>
      <c r="M301" s="718">
        <v>224.29528808593801</v>
      </c>
      <c r="N301" s="718">
        <v>229.96401977539099</v>
      </c>
      <c r="O301" s="718">
        <v>233.76069641113301</v>
      </c>
      <c r="P301" s="718">
        <v>239.065841674805</v>
      </c>
      <c r="Q301" s="718">
        <v>241.45851135253901</v>
      </c>
      <c r="R301" s="718">
        <v>242.383544921875</v>
      </c>
      <c r="S301" s="718">
        <v>242.41815185546901</v>
      </c>
      <c r="T301" s="718">
        <v>242.89247131347699</v>
      </c>
      <c r="U301" s="718">
        <v>240.916915893555</v>
      </c>
      <c r="V301" s="718">
        <v>241.41357421875</v>
      </c>
      <c r="W301" s="718">
        <v>242.50785827636699</v>
      </c>
      <c r="X301" s="718">
        <v>244.85752868652301</v>
      </c>
      <c r="Y301" s="718">
        <v>245.86729431152301</v>
      </c>
      <c r="Z301" s="718">
        <v>245.87216186523401</v>
      </c>
      <c r="AA301" s="282"/>
      <c r="AB301" s="282"/>
      <c r="AC301" s="282"/>
      <c r="AD301" s="282"/>
    </row>
    <row r="302" spans="1:30" x14ac:dyDescent="0.25">
      <c r="A302" s="716" t="s">
        <v>473</v>
      </c>
      <c r="B302" s="718">
        <v>564.62982177734398</v>
      </c>
      <c r="C302" s="718">
        <v>596.84759521484398</v>
      </c>
      <c r="D302" s="718">
        <v>693.65460205078102</v>
      </c>
      <c r="E302" s="718">
        <v>393.76574707031301</v>
      </c>
      <c r="F302" s="718">
        <v>430.90808105468801</v>
      </c>
      <c r="G302" s="718">
        <v>516.84307861328102</v>
      </c>
      <c r="H302" s="718">
        <v>568.141357421875</v>
      </c>
      <c r="I302" s="718">
        <v>610.89111328125</v>
      </c>
      <c r="J302" s="718">
        <v>646.41064453125</v>
      </c>
      <c r="K302" s="718">
        <v>676.39013671875</v>
      </c>
      <c r="L302" s="718">
        <v>696.72686767578102</v>
      </c>
      <c r="M302" s="718">
        <v>719.33160400390602</v>
      </c>
      <c r="N302" s="718">
        <v>737.13671875</v>
      </c>
      <c r="O302" s="718">
        <v>750.27301025390602</v>
      </c>
      <c r="P302" s="718">
        <v>759.33123779296898</v>
      </c>
      <c r="Q302" s="718">
        <v>760.33734130859398</v>
      </c>
      <c r="R302" s="718">
        <v>761.04602050781295</v>
      </c>
      <c r="S302" s="718">
        <v>771.55059814453102</v>
      </c>
      <c r="T302" s="718">
        <v>780.57421875</v>
      </c>
      <c r="U302" s="718">
        <v>783.147216796875</v>
      </c>
      <c r="V302" s="718">
        <v>796.70227050781295</v>
      </c>
      <c r="W302" s="718">
        <v>794.56842041015602</v>
      </c>
      <c r="X302" s="718">
        <v>811.39251708984398</v>
      </c>
      <c r="Y302" s="718">
        <v>832.07995605468795</v>
      </c>
      <c r="Z302" s="718">
        <v>835.36431884765602</v>
      </c>
      <c r="AA302" s="282"/>
      <c r="AB302" s="282"/>
      <c r="AC302" s="282"/>
      <c r="AD302" s="282"/>
    </row>
    <row r="303" spans="1:30" x14ac:dyDescent="0.25">
      <c r="A303" s="716" t="s">
        <v>502</v>
      </c>
      <c r="B303" s="718">
        <v>1182.09375</v>
      </c>
      <c r="C303" s="718">
        <v>1235.02709960938</v>
      </c>
      <c r="D303" s="718">
        <v>1375.6796875</v>
      </c>
      <c r="E303" s="718">
        <v>962.87518310546898</v>
      </c>
      <c r="F303" s="718">
        <v>955.04846191406295</v>
      </c>
      <c r="G303" s="718">
        <v>1077.86633300781</v>
      </c>
      <c r="H303" s="718">
        <v>1148.54699707031</v>
      </c>
      <c r="I303" s="718">
        <v>1207.94384765625</v>
      </c>
      <c r="J303" s="718">
        <v>1257.74011230469</v>
      </c>
      <c r="K303" s="718">
        <v>1300.96545410156</v>
      </c>
      <c r="L303" s="718">
        <v>1336.14599609375</v>
      </c>
      <c r="M303" s="718">
        <v>1374.056640625</v>
      </c>
      <c r="N303" s="718">
        <v>1407.96081542969</v>
      </c>
      <c r="O303" s="718">
        <v>1434.26879882813</v>
      </c>
      <c r="P303" s="718">
        <v>1460.109375</v>
      </c>
      <c r="Q303" s="718">
        <v>1472.62280273438</v>
      </c>
      <c r="R303" s="718">
        <v>1481.71179199219</v>
      </c>
      <c r="S303" s="718">
        <v>1495.50146484375</v>
      </c>
      <c r="T303" s="718">
        <v>1511.28991699219</v>
      </c>
      <c r="U303" s="718">
        <v>1515.76086425781</v>
      </c>
      <c r="V303" s="718">
        <v>1537.984375</v>
      </c>
      <c r="W303" s="718">
        <v>1548.59838867188</v>
      </c>
      <c r="X303" s="718">
        <v>1581.01184082031</v>
      </c>
      <c r="Y303" s="718">
        <v>1613.3525390625</v>
      </c>
      <c r="Z303" s="718">
        <v>1627.90478515625</v>
      </c>
      <c r="AA303" s="282"/>
      <c r="AB303" s="282"/>
      <c r="AC303" s="282"/>
      <c r="AD303" s="282"/>
    </row>
    <row r="304" spans="1:30" x14ac:dyDescent="0.25">
      <c r="A304" s="716" t="s">
        <v>614</v>
      </c>
      <c r="B304" s="718">
        <v>3.2131362706422799E-2</v>
      </c>
      <c r="C304" s="718">
        <v>4.0145620703697198E-2</v>
      </c>
      <c r="D304" s="718">
        <v>3.7687420845031697E-2</v>
      </c>
      <c r="E304" s="718">
        <v>2.54867300391197E-2</v>
      </c>
      <c r="F304" s="718">
        <v>5.4010055959224701E-2</v>
      </c>
      <c r="G304" s="718">
        <v>6.77362531423569E-2</v>
      </c>
      <c r="H304" s="718">
        <v>8.3178348839283003E-2</v>
      </c>
      <c r="I304" s="718">
        <v>9.4869345426559407E-2</v>
      </c>
      <c r="J304" s="718">
        <v>0.113030456006527</v>
      </c>
      <c r="K304" s="718">
        <v>1.97330021858215</v>
      </c>
      <c r="L304" s="718">
        <v>4.8567194938659703</v>
      </c>
      <c r="M304" s="718">
        <v>6.7303171157836896</v>
      </c>
      <c r="N304" s="718">
        <v>10.514961242675801</v>
      </c>
      <c r="O304" s="718">
        <v>15.7356252670288</v>
      </c>
      <c r="P304" s="718">
        <v>22.100711822509801</v>
      </c>
      <c r="Q304" s="718">
        <v>25.9892463684082</v>
      </c>
      <c r="R304" s="718">
        <v>35.539012908935497</v>
      </c>
      <c r="S304" s="718">
        <v>35.597633361816399</v>
      </c>
      <c r="T304" s="718">
        <v>34.1677055358887</v>
      </c>
      <c r="U304" s="718">
        <v>35.613494873046903</v>
      </c>
      <c r="V304" s="718">
        <v>37.140151977539098</v>
      </c>
      <c r="W304" s="718">
        <v>45.276290893554702</v>
      </c>
      <c r="X304" s="718">
        <v>47.974498748779297</v>
      </c>
      <c r="Y304" s="718">
        <v>53.190200805664098</v>
      </c>
      <c r="Z304" s="718">
        <v>54.179977416992202</v>
      </c>
      <c r="AA304" s="282"/>
      <c r="AB304" s="282"/>
      <c r="AC304" s="282"/>
      <c r="AD304" s="282"/>
    </row>
    <row r="305" spans="1:30" x14ac:dyDescent="0.25">
      <c r="A305" s="716" t="s">
        <v>504</v>
      </c>
      <c r="B305" s="718">
        <v>1182.12585449219</v>
      </c>
      <c r="C305" s="718">
        <v>1235.06726074219</v>
      </c>
      <c r="D305" s="718">
        <v>1375.71740722656</v>
      </c>
      <c r="E305" s="718">
        <v>962.90069580078102</v>
      </c>
      <c r="F305" s="718">
        <v>955.10247802734398</v>
      </c>
      <c r="G305" s="718">
        <v>1077.93408203125</v>
      </c>
      <c r="H305" s="718">
        <v>1148.63012695313</v>
      </c>
      <c r="I305" s="718">
        <v>1208.03869628906</v>
      </c>
      <c r="J305" s="718">
        <v>1257.85314941406</v>
      </c>
      <c r="K305" s="718">
        <v>1302.93872070313</v>
      </c>
      <c r="L305" s="718">
        <v>1341.00268554688</v>
      </c>
      <c r="M305" s="718">
        <v>1380.78698730469</v>
      </c>
      <c r="N305" s="718">
        <v>1418.47583007813</v>
      </c>
      <c r="O305" s="718">
        <v>1450.00439453125</v>
      </c>
      <c r="P305" s="718">
        <v>1482.21008300781</v>
      </c>
      <c r="Q305" s="718">
        <v>1498.61206054688</v>
      </c>
      <c r="R305" s="718">
        <v>1517.25085449219</v>
      </c>
      <c r="S305" s="718">
        <v>1531.09912109375</v>
      </c>
      <c r="T305" s="718">
        <v>1545.45764160156</v>
      </c>
      <c r="U305" s="718">
        <v>1551.37438964844</v>
      </c>
      <c r="V305" s="718">
        <v>1575.12451171875</v>
      </c>
      <c r="W305" s="718">
        <v>1593.87463378906</v>
      </c>
      <c r="X305" s="718">
        <v>1628.986328125</v>
      </c>
      <c r="Y305" s="718">
        <v>1666.54272460938</v>
      </c>
      <c r="Z305" s="718">
        <v>1682.08471679688</v>
      </c>
      <c r="AA305" s="282"/>
      <c r="AB305" s="282"/>
      <c r="AC305" s="282"/>
      <c r="AD305" s="282"/>
    </row>
    <row r="306" spans="1:30" x14ac:dyDescent="0.25">
      <c r="AA306" s="282"/>
      <c r="AB306" s="282"/>
      <c r="AC306" s="282"/>
      <c r="AD306" s="282"/>
    </row>
    <row r="307" spans="1:30" x14ac:dyDescent="0.25">
      <c r="AA307" s="282"/>
      <c r="AB307" s="282"/>
      <c r="AC307" s="282"/>
      <c r="AD307" s="282"/>
    </row>
    <row r="308" spans="1:30" x14ac:dyDescent="0.25">
      <c r="A308" s="716" t="s">
        <v>711</v>
      </c>
      <c r="AA308" s="282"/>
      <c r="AB308" s="282"/>
      <c r="AC308" s="282"/>
      <c r="AD308" s="282"/>
    </row>
    <row r="309" spans="1:30" x14ac:dyDescent="0.25">
      <c r="A309" s="716" t="s">
        <v>459</v>
      </c>
      <c r="AA309" s="282"/>
      <c r="AB309" s="282"/>
      <c r="AC309" s="282"/>
      <c r="AD309" s="282"/>
    </row>
    <row r="310" spans="1:30" x14ac:dyDescent="0.25">
      <c r="A310" s="716" t="s">
        <v>594</v>
      </c>
      <c r="B310" s="718">
        <v>23.2563285827637</v>
      </c>
      <c r="C310" s="718">
        <v>24.973464965820298</v>
      </c>
      <c r="D310" s="718">
        <v>29.096658706665</v>
      </c>
      <c r="E310" s="718">
        <v>22.194786071777301</v>
      </c>
      <c r="F310" s="718">
        <v>21.477947235107401</v>
      </c>
      <c r="G310" s="718">
        <v>24.1509113311768</v>
      </c>
      <c r="H310" s="718">
        <v>26.557428359985401</v>
      </c>
      <c r="I310" s="718">
        <v>28.936630249023398</v>
      </c>
      <c r="J310" s="718">
        <v>31.2247924804688</v>
      </c>
      <c r="K310" s="718">
        <v>33.758499145507798</v>
      </c>
      <c r="L310" s="718">
        <v>35.743316650390597</v>
      </c>
      <c r="M310" s="718">
        <v>37.599853515625</v>
      </c>
      <c r="N310" s="718">
        <v>39.552177429199197</v>
      </c>
      <c r="O310" s="718">
        <v>40.9905815124512</v>
      </c>
      <c r="P310" s="718">
        <v>42.334590911865199</v>
      </c>
      <c r="Q310" s="718">
        <v>43.7123832702637</v>
      </c>
      <c r="R310" s="718">
        <v>44.985881805419901</v>
      </c>
      <c r="S310" s="718">
        <v>46.523696899414098</v>
      </c>
      <c r="T310" s="718">
        <v>47.765018463134801</v>
      </c>
      <c r="U310" s="718">
        <v>48.143123626708999</v>
      </c>
      <c r="V310" s="718">
        <v>49.548942565917997</v>
      </c>
      <c r="W310" s="718">
        <v>50.986961364746101</v>
      </c>
      <c r="X310" s="718">
        <v>52.580905914306598</v>
      </c>
      <c r="Y310" s="718">
        <v>53.965934753417997</v>
      </c>
      <c r="Z310" s="718">
        <v>55.648300170898402</v>
      </c>
      <c r="AA310" s="282"/>
      <c r="AB310" s="282"/>
      <c r="AC310" s="282"/>
      <c r="AD310" s="282"/>
    </row>
    <row r="311" spans="1:30" x14ac:dyDescent="0.25">
      <c r="A311" s="716" t="s">
        <v>595</v>
      </c>
      <c r="B311" s="718">
        <v>17.979913711547901</v>
      </c>
      <c r="C311" s="718">
        <v>19.664405822753899</v>
      </c>
      <c r="D311" s="718">
        <v>24.466548919677699</v>
      </c>
      <c r="E311" s="718">
        <v>16.188474655151399</v>
      </c>
      <c r="F311" s="718">
        <v>13.8549404144287</v>
      </c>
      <c r="G311" s="718">
        <v>16.4927158355713</v>
      </c>
      <c r="H311" s="718">
        <v>18.5955104827881</v>
      </c>
      <c r="I311" s="718">
        <v>20.348911285400401</v>
      </c>
      <c r="J311" s="718">
        <v>22.1809597015381</v>
      </c>
      <c r="K311" s="718">
        <v>24.3712253570557</v>
      </c>
      <c r="L311" s="718">
        <v>25.9372863769531</v>
      </c>
      <c r="M311" s="718">
        <v>27.5034885406494</v>
      </c>
      <c r="N311" s="718">
        <v>29.0146675109863</v>
      </c>
      <c r="O311" s="718">
        <v>30.168525695800799</v>
      </c>
      <c r="P311" s="718">
        <v>31.2883205413818</v>
      </c>
      <c r="Q311" s="718">
        <v>32.275276184082003</v>
      </c>
      <c r="R311" s="718">
        <v>33.246475219726598</v>
      </c>
      <c r="S311" s="718">
        <v>34.4459838867188</v>
      </c>
      <c r="T311" s="718">
        <v>35.640113830566399</v>
      </c>
      <c r="U311" s="718">
        <v>35.882171630859403</v>
      </c>
      <c r="V311" s="718">
        <v>37.065284729003899</v>
      </c>
      <c r="W311" s="718">
        <v>38.310382843017599</v>
      </c>
      <c r="X311" s="718">
        <v>39.641868591308601</v>
      </c>
      <c r="Y311" s="718">
        <v>40.905982971191399</v>
      </c>
      <c r="Z311" s="718">
        <v>42.365245819091797</v>
      </c>
      <c r="AA311" s="282"/>
      <c r="AB311" s="282"/>
      <c r="AC311" s="282"/>
      <c r="AD311" s="282"/>
    </row>
    <row r="312" spans="1:30" x14ac:dyDescent="0.25">
      <c r="A312" s="716" t="s">
        <v>496</v>
      </c>
      <c r="B312" s="718">
        <v>13.3406887054443</v>
      </c>
      <c r="C312" s="718">
        <v>12.691158294677701</v>
      </c>
      <c r="D312" s="718">
        <v>13.2631158828735</v>
      </c>
      <c r="E312" s="718">
        <v>11.061133384704601</v>
      </c>
      <c r="F312" s="718">
        <v>11.614992141723601</v>
      </c>
      <c r="G312" s="718">
        <v>12.061012268066399</v>
      </c>
      <c r="H312" s="718">
        <v>12.1186227798462</v>
      </c>
      <c r="I312" s="718">
        <v>12.236530303955099</v>
      </c>
      <c r="J312" s="718">
        <v>12.476335525512701</v>
      </c>
      <c r="K312" s="718">
        <v>12.8177757263184</v>
      </c>
      <c r="L312" s="718">
        <v>13.333586692810099</v>
      </c>
      <c r="M312" s="718">
        <v>13.900782585144</v>
      </c>
      <c r="N312" s="718">
        <v>14.492022514343301</v>
      </c>
      <c r="O312" s="718">
        <v>15.1641521453857</v>
      </c>
      <c r="P312" s="718">
        <v>15.945101737976101</v>
      </c>
      <c r="Q312" s="718">
        <v>16.661958694458001</v>
      </c>
      <c r="R312" s="718">
        <v>17.186347961425799</v>
      </c>
      <c r="S312" s="718">
        <v>17.308622360229499</v>
      </c>
      <c r="T312" s="718">
        <v>17.6488857269287</v>
      </c>
      <c r="U312" s="718">
        <v>17.9868679046631</v>
      </c>
      <c r="V312" s="718">
        <v>18.635103225708001</v>
      </c>
      <c r="W312" s="718">
        <v>19.4500408172607</v>
      </c>
      <c r="X312" s="718">
        <v>20.3657627105713</v>
      </c>
      <c r="Y312" s="718">
        <v>21.1996364593506</v>
      </c>
      <c r="Z312" s="718">
        <v>22.095756530761701</v>
      </c>
      <c r="AA312" s="282"/>
      <c r="AB312" s="282"/>
      <c r="AC312" s="282"/>
      <c r="AD312" s="282"/>
    </row>
    <row r="313" spans="1:30" x14ac:dyDescent="0.25">
      <c r="A313" s="716" t="s">
        <v>465</v>
      </c>
      <c r="B313" s="718">
        <v>30.388185501098601</v>
      </c>
      <c r="C313" s="718">
        <v>31.181957244873001</v>
      </c>
      <c r="D313" s="718">
        <v>32.471218109130902</v>
      </c>
      <c r="E313" s="718">
        <v>31.722009658813501</v>
      </c>
      <c r="F313" s="718">
        <v>29.6958332061768</v>
      </c>
      <c r="G313" s="718">
        <v>31.365653991699201</v>
      </c>
      <c r="H313" s="718">
        <v>32.001548767089801</v>
      </c>
      <c r="I313" s="718">
        <v>32.924289703369098</v>
      </c>
      <c r="J313" s="718">
        <v>34.030689239502003</v>
      </c>
      <c r="K313" s="718">
        <v>34.890899658203097</v>
      </c>
      <c r="L313" s="718">
        <v>35.995761871337898</v>
      </c>
      <c r="M313" s="718">
        <v>37.227577209472699</v>
      </c>
      <c r="N313" s="718">
        <v>38.5026245117188</v>
      </c>
      <c r="O313" s="718">
        <v>39.672031402587898</v>
      </c>
      <c r="P313" s="718">
        <v>41.180412292480497</v>
      </c>
      <c r="Q313" s="718">
        <v>42.698352813720703</v>
      </c>
      <c r="R313" s="718">
        <v>44.053905487060497</v>
      </c>
      <c r="S313" s="718">
        <v>45.011627197265597</v>
      </c>
      <c r="T313" s="718">
        <v>46.023651123046903</v>
      </c>
      <c r="U313" s="718">
        <v>46.971866607666001</v>
      </c>
      <c r="V313" s="718">
        <v>48.032154083252003</v>
      </c>
      <c r="W313" s="718">
        <v>49.565544128417997</v>
      </c>
      <c r="X313" s="718">
        <v>51.240451812744098</v>
      </c>
      <c r="Y313" s="718">
        <v>52.949665069580099</v>
      </c>
      <c r="Z313" s="718">
        <v>54.583251953125</v>
      </c>
      <c r="AA313" s="282"/>
      <c r="AB313" s="282"/>
      <c r="AC313" s="282"/>
      <c r="AD313" s="282"/>
    </row>
    <row r="314" spans="1:30" x14ac:dyDescent="0.25">
      <c r="AA314" s="282"/>
      <c r="AB314" s="282"/>
      <c r="AC314" s="282"/>
      <c r="AD314" s="282"/>
    </row>
    <row r="315" spans="1:30" x14ac:dyDescent="0.25">
      <c r="A315" s="716" t="s">
        <v>466</v>
      </c>
      <c r="AA315" s="282"/>
      <c r="AB315" s="282"/>
      <c r="AC315" s="282"/>
      <c r="AD315" s="282"/>
    </row>
    <row r="316" spans="1:30" x14ac:dyDescent="0.25">
      <c r="A316" s="716" t="s">
        <v>594</v>
      </c>
      <c r="B316" s="718">
        <v>20.6414604187012</v>
      </c>
      <c r="C316" s="718">
        <v>23.041419982910199</v>
      </c>
      <c r="D316" s="718">
        <v>24.0578727722168</v>
      </c>
      <c r="E316" s="718">
        <v>21.6475944519043</v>
      </c>
      <c r="F316" s="718">
        <v>18.202018737793001</v>
      </c>
      <c r="G316" s="718">
        <v>20.8180141448975</v>
      </c>
      <c r="H316" s="718">
        <v>23.171899795532202</v>
      </c>
      <c r="I316" s="718">
        <v>25.4778232574463</v>
      </c>
      <c r="J316" s="718">
        <v>27.6801948547363</v>
      </c>
      <c r="K316" s="718">
        <v>30.122516632080099</v>
      </c>
      <c r="L316" s="718">
        <v>32.012001037597699</v>
      </c>
      <c r="M316" s="718">
        <v>33.770454406738303</v>
      </c>
      <c r="N316" s="718">
        <v>35.6212158203125</v>
      </c>
      <c r="O316" s="718">
        <v>36.9546508789063</v>
      </c>
      <c r="P316" s="718">
        <v>38.187240600585902</v>
      </c>
      <c r="Q316" s="718">
        <v>39.449775695800803</v>
      </c>
      <c r="R316" s="718">
        <v>40.605808258056598</v>
      </c>
      <c r="S316" s="718">
        <v>42.0293998718262</v>
      </c>
      <c r="T316" s="718">
        <v>43.160079956054702</v>
      </c>
      <c r="U316" s="718">
        <v>43.432140350341797</v>
      </c>
      <c r="V316" s="718">
        <v>44.7312202453613</v>
      </c>
      <c r="W316" s="718">
        <v>46.061283111572301</v>
      </c>
      <c r="X316" s="718">
        <v>47.542713165283203</v>
      </c>
      <c r="Y316" s="718">
        <v>48.814918518066399</v>
      </c>
      <c r="Z316" s="718">
        <v>50.382663726806598</v>
      </c>
      <c r="AA316" s="282"/>
      <c r="AB316" s="282"/>
      <c r="AC316" s="282"/>
      <c r="AD316" s="282"/>
    </row>
    <row r="317" spans="1:30" x14ac:dyDescent="0.25">
      <c r="A317" s="716" t="s">
        <v>595</v>
      </c>
      <c r="B317" s="718">
        <v>14.625953674316399</v>
      </c>
      <c r="C317" s="718">
        <v>16.054100036621101</v>
      </c>
      <c r="D317" s="718">
        <v>21.4175109863281</v>
      </c>
      <c r="E317" s="718">
        <v>14.1806936264038</v>
      </c>
      <c r="F317" s="718">
        <v>11.1656141281128</v>
      </c>
      <c r="G317" s="718">
        <v>13.940697669982899</v>
      </c>
      <c r="H317" s="718">
        <v>16.055301666259801</v>
      </c>
      <c r="I317" s="718">
        <v>18.2004089355469</v>
      </c>
      <c r="J317" s="718">
        <v>20.072311401367202</v>
      </c>
      <c r="K317" s="718">
        <v>21.922914505004901</v>
      </c>
      <c r="L317" s="718">
        <v>23.436100006103501</v>
      </c>
      <c r="M317" s="718">
        <v>24.993484497070298</v>
      </c>
      <c r="N317" s="718">
        <v>26.4673175811768</v>
      </c>
      <c r="O317" s="718">
        <v>27.614213943481399</v>
      </c>
      <c r="P317" s="718">
        <v>28.7058811187744</v>
      </c>
      <c r="Q317" s="718">
        <v>29.4854850769043</v>
      </c>
      <c r="R317" s="718">
        <v>30.5256862640381</v>
      </c>
      <c r="S317" s="718">
        <v>31.597146987915</v>
      </c>
      <c r="T317" s="718">
        <v>32.548923492431598</v>
      </c>
      <c r="U317" s="718">
        <v>32.997859954833999</v>
      </c>
      <c r="V317" s="718">
        <v>34.165657043457003</v>
      </c>
      <c r="W317" s="718">
        <v>35.000114440917997</v>
      </c>
      <c r="X317" s="718">
        <v>36.3691596984863</v>
      </c>
      <c r="Y317" s="718">
        <v>37.943679809570298</v>
      </c>
      <c r="Z317" s="718">
        <v>39.006439208984403</v>
      </c>
      <c r="AA317" s="282"/>
      <c r="AB317" s="282"/>
      <c r="AC317" s="282"/>
      <c r="AD317" s="282"/>
    </row>
    <row r="318" spans="1:30" x14ac:dyDescent="0.25">
      <c r="A318" s="716" t="s">
        <v>708</v>
      </c>
      <c r="B318" s="718">
        <v>8.64862155914307</v>
      </c>
      <c r="C318" s="718">
        <v>10.3074436187744</v>
      </c>
      <c r="D318" s="718">
        <v>13.7067270278931</v>
      </c>
      <c r="E318" s="718">
        <v>6.9139137268066397</v>
      </c>
      <c r="F318" s="718">
        <v>6.0204734802246103</v>
      </c>
      <c r="G318" s="718">
        <v>9.0269355773925799</v>
      </c>
      <c r="H318" s="718">
        <v>10.767860412597701</v>
      </c>
      <c r="I318" s="718">
        <v>12.611166954040501</v>
      </c>
      <c r="J318" s="718">
        <v>14.3083610534668</v>
      </c>
      <c r="K318" s="718">
        <v>16.269037246704102</v>
      </c>
      <c r="L318" s="718">
        <v>17.569841384887699</v>
      </c>
      <c r="M318" s="718">
        <v>18.511304855346701</v>
      </c>
      <c r="N318" s="718">
        <v>19.7891235351563</v>
      </c>
      <c r="O318" s="718">
        <v>20.573390960693398</v>
      </c>
      <c r="P318" s="718">
        <v>21.404872894287099</v>
      </c>
      <c r="Q318" s="718">
        <v>22.193275451660199</v>
      </c>
      <c r="R318" s="718">
        <v>22.9593410491943</v>
      </c>
      <c r="S318" s="718">
        <v>23.7928276062012</v>
      </c>
      <c r="T318" s="718">
        <v>24.398706436157202</v>
      </c>
      <c r="U318" s="718">
        <v>24.292516708373999</v>
      </c>
      <c r="V318" s="718">
        <v>25.0136394500732</v>
      </c>
      <c r="W318" s="718">
        <v>25.751762390136701</v>
      </c>
      <c r="X318" s="718">
        <v>26.606601715087901</v>
      </c>
      <c r="Y318" s="718">
        <v>27.4516487121582</v>
      </c>
      <c r="Z318" s="718">
        <v>28.286119461059599</v>
      </c>
      <c r="AA318" s="282"/>
      <c r="AB318" s="282"/>
      <c r="AC318" s="282"/>
      <c r="AD318" s="282"/>
    </row>
    <row r="319" spans="1:30" x14ac:dyDescent="0.25">
      <c r="A319" s="716" t="s">
        <v>496</v>
      </c>
      <c r="B319" s="718">
        <v>11.5840444564819</v>
      </c>
      <c r="C319" s="718">
        <v>10.9898433685303</v>
      </c>
      <c r="D319" s="718">
        <v>11.588038444519</v>
      </c>
      <c r="E319" s="718">
        <v>9.1930990219116193</v>
      </c>
      <c r="F319" s="718">
        <v>9.8226709365844709</v>
      </c>
      <c r="G319" s="718">
        <v>10.233100891113301</v>
      </c>
      <c r="H319" s="718">
        <v>10.334647178649901</v>
      </c>
      <c r="I319" s="718">
        <v>10.4663095474243</v>
      </c>
      <c r="J319" s="718">
        <v>10.734943389892599</v>
      </c>
      <c r="K319" s="718">
        <v>11.106437683105501</v>
      </c>
      <c r="L319" s="718">
        <v>11.600093841552701</v>
      </c>
      <c r="M319" s="718">
        <v>12.1229543685913</v>
      </c>
      <c r="N319" s="718">
        <v>12.6781578063965</v>
      </c>
      <c r="O319" s="718">
        <v>13.3144483566284</v>
      </c>
      <c r="P319" s="718">
        <v>14.069993019104</v>
      </c>
      <c r="Q319" s="718">
        <v>14.7329454421997</v>
      </c>
      <c r="R319" s="718">
        <v>15.223674774169901</v>
      </c>
      <c r="S319" s="718">
        <v>15.329276084899901</v>
      </c>
      <c r="T319" s="718">
        <v>15.6546773910522</v>
      </c>
      <c r="U319" s="718">
        <v>15.9318437576294</v>
      </c>
      <c r="V319" s="718">
        <v>16.5416469573975</v>
      </c>
      <c r="W319" s="718">
        <v>17.316057205200199</v>
      </c>
      <c r="X319" s="718">
        <v>18.194717407226602</v>
      </c>
      <c r="Y319" s="718">
        <v>18.967941284179702</v>
      </c>
      <c r="Z319" s="718">
        <v>19.811794281005898</v>
      </c>
      <c r="AA319" s="282"/>
      <c r="AB319" s="282"/>
      <c r="AC319" s="282"/>
      <c r="AD319" s="282"/>
    </row>
    <row r="320" spans="1:30" x14ac:dyDescent="0.25">
      <c r="A320" s="716" t="s">
        <v>465</v>
      </c>
      <c r="B320" s="718">
        <v>27.631908416748001</v>
      </c>
      <c r="C320" s="718">
        <v>28.029735565185501</v>
      </c>
      <c r="D320" s="718">
        <v>29.6960258483887</v>
      </c>
      <c r="E320" s="718">
        <v>28.491619110107401</v>
      </c>
      <c r="F320" s="718">
        <v>25.7724418640137</v>
      </c>
      <c r="G320" s="718">
        <v>26.858903884887699</v>
      </c>
      <c r="H320" s="718">
        <v>27.045906066894499</v>
      </c>
      <c r="I320" s="718">
        <v>27.5620422363281</v>
      </c>
      <c r="J320" s="718">
        <v>28.370775222778299</v>
      </c>
      <c r="K320" s="718">
        <v>29.106733322143601</v>
      </c>
      <c r="L320" s="718">
        <v>30.1617736816406</v>
      </c>
      <c r="M320" s="718">
        <v>31.290737152099599</v>
      </c>
      <c r="N320" s="718">
        <v>32.536418914794901</v>
      </c>
      <c r="O320" s="718">
        <v>33.661582946777301</v>
      </c>
      <c r="P320" s="718">
        <v>35.072307586669901</v>
      </c>
      <c r="Q320" s="718">
        <v>36.4632377624512</v>
      </c>
      <c r="R320" s="718">
        <v>37.713531494140597</v>
      </c>
      <c r="S320" s="718">
        <v>38.535266876220703</v>
      </c>
      <c r="T320" s="718">
        <v>39.429233551025398</v>
      </c>
      <c r="U320" s="718">
        <v>40.172752380371101</v>
      </c>
      <c r="V320" s="718">
        <v>41.0662841796875</v>
      </c>
      <c r="W320" s="718">
        <v>42.386928558349602</v>
      </c>
      <c r="X320" s="718">
        <v>43.920989990234403</v>
      </c>
      <c r="Y320" s="718">
        <v>45.4139213562012</v>
      </c>
      <c r="Z320" s="718">
        <v>46.925571441650398</v>
      </c>
      <c r="AA320" s="282"/>
      <c r="AB320" s="282"/>
      <c r="AC320" s="282"/>
      <c r="AD320" s="282"/>
    </row>
    <row r="321" spans="1:30" x14ac:dyDescent="0.25">
      <c r="AA321" s="282"/>
      <c r="AB321" s="282"/>
      <c r="AC321" s="282"/>
      <c r="AD321" s="282"/>
    </row>
    <row r="322" spans="1:30" x14ac:dyDescent="0.25">
      <c r="A322" s="716" t="s">
        <v>597</v>
      </c>
      <c r="AA322" s="282"/>
      <c r="AB322" s="282"/>
      <c r="AC322" s="282"/>
      <c r="AD322" s="282"/>
    </row>
    <row r="323" spans="1:30" x14ac:dyDescent="0.25">
      <c r="A323" s="716" t="s">
        <v>594</v>
      </c>
      <c r="B323" s="718">
        <v>20.489143371581999</v>
      </c>
      <c r="C323" s="718">
        <v>23.3795166015625</v>
      </c>
      <c r="D323" s="718">
        <v>27.232301712036101</v>
      </c>
      <c r="E323" s="718">
        <v>22.957033157348601</v>
      </c>
      <c r="F323" s="718">
        <v>17.265552520751999</v>
      </c>
      <c r="G323" s="718">
        <v>19.8652458190918</v>
      </c>
      <c r="H323" s="718">
        <v>22.207704544067401</v>
      </c>
      <c r="I323" s="718">
        <v>24.495702743530298</v>
      </c>
      <c r="J323" s="718">
        <v>26.6714878082275</v>
      </c>
      <c r="K323" s="718">
        <v>29.0830192565918</v>
      </c>
      <c r="L323" s="718">
        <v>30.951156616210898</v>
      </c>
      <c r="M323" s="718">
        <v>32.690711975097699</v>
      </c>
      <c r="N323" s="718">
        <v>34.514808654785199</v>
      </c>
      <c r="O323" s="718">
        <v>35.846107482910199</v>
      </c>
      <c r="P323" s="718">
        <v>37.040077209472699</v>
      </c>
      <c r="Q323" s="718">
        <v>38.301750183105497</v>
      </c>
      <c r="R323" s="718">
        <v>39.421558380127003</v>
      </c>
      <c r="S323" s="718">
        <v>40.814861297607401</v>
      </c>
      <c r="T323" s="718">
        <v>41.884078979492202</v>
      </c>
      <c r="U323" s="718">
        <v>42.155609130859403</v>
      </c>
      <c r="V323" s="718">
        <v>43.402267456054702</v>
      </c>
      <c r="W323" s="718">
        <v>44.705905914306598</v>
      </c>
      <c r="X323" s="718">
        <v>46.153343200683601</v>
      </c>
      <c r="Y323" s="718">
        <v>47.236614227294901</v>
      </c>
      <c r="Z323" s="718">
        <v>48.820529937744098</v>
      </c>
      <c r="AA323" s="282"/>
      <c r="AB323" s="282"/>
      <c r="AC323" s="282"/>
      <c r="AD323" s="282"/>
    </row>
    <row r="324" spans="1:30" x14ac:dyDescent="0.25">
      <c r="A324" s="716" t="s">
        <v>595</v>
      </c>
      <c r="B324" s="718">
        <v>15.3226671218872</v>
      </c>
      <c r="C324" s="718">
        <v>16.8219394683838</v>
      </c>
      <c r="D324" s="718">
        <v>22.4200763702393</v>
      </c>
      <c r="E324" s="718">
        <v>14.749831199646</v>
      </c>
      <c r="F324" s="718">
        <v>11.025536537170399</v>
      </c>
      <c r="G324" s="718">
        <v>14.0721025466919</v>
      </c>
      <c r="H324" s="718">
        <v>16.2283020019531</v>
      </c>
      <c r="I324" s="718">
        <v>18.6841716766357</v>
      </c>
      <c r="J324" s="718">
        <v>20.619239807128899</v>
      </c>
      <c r="K324" s="718">
        <v>22.302150726318398</v>
      </c>
      <c r="L324" s="718">
        <v>23.831027984619102</v>
      </c>
      <c r="M324" s="718">
        <v>25.434989929199201</v>
      </c>
      <c r="N324" s="718">
        <v>26.940843582153299</v>
      </c>
      <c r="O324" s="718">
        <v>28.1489963531494</v>
      </c>
      <c r="P324" s="718">
        <v>29.2844352722168</v>
      </c>
      <c r="Q324" s="718">
        <v>29.987220764160199</v>
      </c>
      <c r="R324" s="718">
        <v>31.1475830078125</v>
      </c>
      <c r="S324" s="718">
        <v>32.191192626953097</v>
      </c>
      <c r="T324" s="718">
        <v>33.043167114257798</v>
      </c>
      <c r="U324" s="718">
        <v>33.6753120422363</v>
      </c>
      <c r="V324" s="718">
        <v>34.892765045166001</v>
      </c>
      <c r="W324" s="718">
        <v>35.508182525634801</v>
      </c>
      <c r="X324" s="718">
        <v>36.966400146484403</v>
      </c>
      <c r="Y324" s="718">
        <v>38.821296691894503</v>
      </c>
      <c r="Z324" s="718">
        <v>39.679729461669901</v>
      </c>
      <c r="AA324" s="282"/>
      <c r="AB324" s="282"/>
      <c r="AC324" s="282"/>
      <c r="AD324" s="282"/>
    </row>
    <row r="325" spans="1:30" x14ac:dyDescent="0.25">
      <c r="A325" s="716" t="s">
        <v>596</v>
      </c>
      <c r="B325" s="718">
        <v>8.9709205627441406</v>
      </c>
      <c r="C325" s="718">
        <v>10.5954837799072</v>
      </c>
      <c r="D325" s="718">
        <v>14.049506187439</v>
      </c>
      <c r="E325" s="718">
        <v>7.1343002319335902</v>
      </c>
      <c r="F325" s="718">
        <v>10.215766906738301</v>
      </c>
      <c r="G325" s="718">
        <v>12.8617763519287</v>
      </c>
      <c r="H325" s="718">
        <v>14.814771652221699</v>
      </c>
      <c r="I325" s="718">
        <v>16.696189880371101</v>
      </c>
      <c r="J325" s="718">
        <v>18.396284103393601</v>
      </c>
      <c r="K325" s="718">
        <v>20.378862380981399</v>
      </c>
      <c r="L325" s="718">
        <v>21.7460041046143</v>
      </c>
      <c r="M325" s="718">
        <v>22.969861984252901</v>
      </c>
      <c r="N325" s="718">
        <v>24.3396511077881</v>
      </c>
      <c r="O325" s="718">
        <v>25.3345756530762</v>
      </c>
      <c r="P325" s="718">
        <v>26.3205471038818</v>
      </c>
      <c r="Q325" s="718">
        <v>27.310920715331999</v>
      </c>
      <c r="R325" s="718">
        <v>28.174968719482401</v>
      </c>
      <c r="S325" s="718">
        <v>29.129919052123999</v>
      </c>
      <c r="T325" s="718">
        <v>29.910713195800799</v>
      </c>
      <c r="U325" s="718">
        <v>30.004579544067401</v>
      </c>
      <c r="V325" s="718">
        <v>30.867444992065401</v>
      </c>
      <c r="W325" s="718">
        <v>31.741449356079102</v>
      </c>
      <c r="X325" s="718">
        <v>32.901214599609403</v>
      </c>
      <c r="Y325" s="718">
        <v>33.791465759277301</v>
      </c>
      <c r="Z325" s="718">
        <v>34.9404487609863</v>
      </c>
      <c r="AA325" s="282"/>
      <c r="AB325" s="282"/>
      <c r="AC325" s="282"/>
      <c r="AD325" s="282"/>
    </row>
    <row r="326" spans="1:30" x14ac:dyDescent="0.25">
      <c r="A326" s="716" t="s">
        <v>598</v>
      </c>
      <c r="B326" s="718">
        <v>7.7454247474670401</v>
      </c>
      <c r="C326" s="718">
        <v>7.5152516365051296</v>
      </c>
      <c r="D326" s="718">
        <v>8.9947338104247994</v>
      </c>
      <c r="E326" s="718">
        <v>5.0039734840393102</v>
      </c>
      <c r="F326" s="718">
        <v>5.7063522338867196</v>
      </c>
      <c r="G326" s="718">
        <v>6.1171517372131303</v>
      </c>
      <c r="H326" s="718">
        <v>6.2487673759460396</v>
      </c>
      <c r="I326" s="718">
        <v>6.4428400993347203</v>
      </c>
      <c r="J326" s="718">
        <v>6.7520828247070304</v>
      </c>
      <c r="K326" s="718">
        <v>7.1508984565734899</v>
      </c>
      <c r="L326" s="718">
        <v>7.5258989334106401</v>
      </c>
      <c r="M326" s="718">
        <v>7.9240221977233896</v>
      </c>
      <c r="N326" s="718">
        <v>8.3488731384277308</v>
      </c>
      <c r="O326" s="718">
        <v>8.8619937896728498</v>
      </c>
      <c r="P326" s="718">
        <v>9.4837093353271502</v>
      </c>
      <c r="Q326" s="718">
        <v>9.9987487792968803</v>
      </c>
      <c r="R326" s="718">
        <v>10.352954864501999</v>
      </c>
      <c r="S326" s="718">
        <v>10.3336448669434</v>
      </c>
      <c r="T326" s="718">
        <v>10.549848556518601</v>
      </c>
      <c r="U326" s="718">
        <v>10.6489877700806</v>
      </c>
      <c r="V326" s="718">
        <v>11.076291084289601</v>
      </c>
      <c r="W326" s="718">
        <v>11.6912574768066</v>
      </c>
      <c r="X326" s="718">
        <v>12.4464559555054</v>
      </c>
      <c r="Y326" s="718">
        <v>13.0579080581665</v>
      </c>
      <c r="Z326" s="718">
        <v>13.758059501647899</v>
      </c>
      <c r="AA326" s="282"/>
      <c r="AB326" s="282"/>
      <c r="AC326" s="282"/>
      <c r="AD326" s="282"/>
    </row>
    <row r="327" spans="1:30" x14ac:dyDescent="0.25">
      <c r="A327" s="716" t="s">
        <v>599</v>
      </c>
      <c r="B327" s="718">
        <v>3.53999996185303</v>
      </c>
      <c r="C327" s="718">
        <v>3.6099998950958301</v>
      </c>
      <c r="D327" s="718">
        <v>4.1449666023254403</v>
      </c>
      <c r="E327" s="718">
        <v>4.1784791946411097</v>
      </c>
      <c r="F327" s="718">
        <v>4.1485314369201696</v>
      </c>
      <c r="G327" s="718">
        <v>4.3175525665283203</v>
      </c>
      <c r="H327" s="718">
        <v>4.44484186172485</v>
      </c>
      <c r="I327" s="718">
        <v>4.5821456909179696</v>
      </c>
      <c r="J327" s="718">
        <v>4.7206311225891104</v>
      </c>
      <c r="K327" s="718">
        <v>4.8563599586486799</v>
      </c>
      <c r="L327" s="718">
        <v>4.9913563728332502</v>
      </c>
      <c r="M327" s="718">
        <v>5.1233406066894496</v>
      </c>
      <c r="N327" s="718">
        <v>5.2680139541626003</v>
      </c>
      <c r="O327" s="718">
        <v>5.4137320518493697</v>
      </c>
      <c r="P327" s="718">
        <v>5.5743689537048304</v>
      </c>
      <c r="Q327" s="718">
        <v>5.7906579971313503</v>
      </c>
      <c r="R327" s="718">
        <v>6.0209679603576696</v>
      </c>
      <c r="S327" s="718">
        <v>6.20045709609985</v>
      </c>
      <c r="T327" s="718">
        <v>6.3775997161865199</v>
      </c>
      <c r="U327" s="718">
        <v>6.5161404609680202</v>
      </c>
      <c r="V327" s="718">
        <v>6.6299972534179696</v>
      </c>
      <c r="W327" s="718">
        <v>6.7667918205261204</v>
      </c>
      <c r="X327" s="718">
        <v>6.88553714752197</v>
      </c>
      <c r="Y327" s="718">
        <v>6.9704546928405797</v>
      </c>
      <c r="Z327" s="718">
        <v>7.0137753486633301</v>
      </c>
    </row>
    <row r="328" spans="1:30" x14ac:dyDescent="0.25">
      <c r="A328" s="716" t="s">
        <v>600</v>
      </c>
      <c r="B328" s="718">
        <v>2.3399634361267099</v>
      </c>
      <c r="C328" s="718">
        <v>2.4299483299255402</v>
      </c>
      <c r="D328" s="718">
        <v>2.5979068279266402</v>
      </c>
      <c r="E328" s="718">
        <v>2.52754878997803</v>
      </c>
      <c r="F328" s="718">
        <v>2.4808654785156299</v>
      </c>
      <c r="G328" s="718">
        <v>2.6002757549285902</v>
      </c>
      <c r="H328" s="718">
        <v>2.6509947776794398</v>
      </c>
      <c r="I328" s="718">
        <v>2.73208808898926</v>
      </c>
      <c r="J328" s="718">
        <v>2.8122007846832302</v>
      </c>
      <c r="K328" s="718">
        <v>2.8687095642089799</v>
      </c>
      <c r="L328" s="718">
        <v>2.94158983230591</v>
      </c>
      <c r="M328" s="718">
        <v>3.0178208351135298</v>
      </c>
      <c r="N328" s="718">
        <v>3.1028199195861799</v>
      </c>
      <c r="O328" s="718">
        <v>3.17316722869873</v>
      </c>
      <c r="P328" s="718">
        <v>3.2616541385650599</v>
      </c>
      <c r="Q328" s="718">
        <v>3.3479356765747101</v>
      </c>
      <c r="R328" s="718">
        <v>3.4371068477630602</v>
      </c>
      <c r="S328" s="718">
        <v>3.5193088054657</v>
      </c>
      <c r="T328" s="718">
        <v>3.6053638458252002</v>
      </c>
      <c r="U328" s="718">
        <v>3.6816923618316699</v>
      </c>
      <c r="V328" s="718">
        <v>3.7800858020782502</v>
      </c>
      <c r="W328" s="718">
        <v>3.88063645362854</v>
      </c>
      <c r="X328" s="718">
        <v>3.98858737945557</v>
      </c>
      <c r="Y328" s="718">
        <v>4.1003923416137704</v>
      </c>
      <c r="Z328" s="718">
        <v>4.2166938781738299</v>
      </c>
    </row>
    <row r="329" spans="1:30" x14ac:dyDescent="0.25">
      <c r="A329" s="716" t="s">
        <v>601</v>
      </c>
      <c r="B329" s="718">
        <v>0</v>
      </c>
      <c r="C329" s="718">
        <v>0</v>
      </c>
      <c r="D329" s="718">
        <v>0</v>
      </c>
      <c r="E329" s="718">
        <v>0</v>
      </c>
      <c r="F329" s="718">
        <v>0</v>
      </c>
      <c r="G329" s="718">
        <v>1.5889266729354901</v>
      </c>
      <c r="H329" s="718">
        <v>1.46094393730164</v>
      </c>
      <c r="I329" s="718">
        <v>1.28843116760254</v>
      </c>
      <c r="J329" s="718">
        <v>1.5101318359375</v>
      </c>
      <c r="K329" s="718">
        <v>1.50810551643372</v>
      </c>
      <c r="L329" s="718">
        <v>1.5213859081268299</v>
      </c>
      <c r="M329" s="718">
        <v>1.53951179981232</v>
      </c>
      <c r="N329" s="718">
        <v>1.58338570594788</v>
      </c>
      <c r="O329" s="718">
        <v>1.63723039627075</v>
      </c>
      <c r="P329" s="718">
        <v>1.71289122104645</v>
      </c>
      <c r="Q329" s="718">
        <v>1.76114201545715</v>
      </c>
      <c r="R329" s="718">
        <v>1.8119050264358501</v>
      </c>
      <c r="S329" s="718">
        <v>1.8629466295242301</v>
      </c>
      <c r="T329" s="718">
        <v>1.9169825315475499</v>
      </c>
      <c r="U329" s="718">
        <v>1.9466364383697501</v>
      </c>
      <c r="V329" s="718">
        <v>1.9911848306655899</v>
      </c>
      <c r="W329" s="718">
        <v>2.0416746139526398</v>
      </c>
      <c r="X329" s="718">
        <v>2.09020328521729</v>
      </c>
      <c r="Y329" s="718">
        <v>2.1373581886291499</v>
      </c>
      <c r="Z329" s="718">
        <v>2.1847438812255899</v>
      </c>
    </row>
    <row r="330" spans="1:30" x14ac:dyDescent="0.25">
      <c r="A330" s="716" t="s">
        <v>465</v>
      </c>
      <c r="B330" s="718">
        <v>17.918214797973601</v>
      </c>
      <c r="C330" s="718">
        <v>18.6226921081543</v>
      </c>
      <c r="D330" s="718">
        <v>20.7813816070557</v>
      </c>
      <c r="E330" s="718">
        <v>19.773582458496101</v>
      </c>
      <c r="F330" s="718">
        <v>17.462970733642599</v>
      </c>
      <c r="G330" s="718">
        <v>18.126573562622099</v>
      </c>
      <c r="H330" s="718">
        <v>18.238889694213899</v>
      </c>
      <c r="I330" s="718">
        <v>18.4867153167725</v>
      </c>
      <c r="J330" s="718">
        <v>19.006654739379901</v>
      </c>
      <c r="K330" s="718">
        <v>19.565620422363299</v>
      </c>
      <c r="L330" s="718">
        <v>20.355871200561499</v>
      </c>
      <c r="M330" s="718">
        <v>21.173530578613299</v>
      </c>
      <c r="N330" s="718">
        <v>22.037576675415</v>
      </c>
      <c r="O330" s="718">
        <v>22.867145538330099</v>
      </c>
      <c r="P330" s="718">
        <v>23.876249313354499</v>
      </c>
      <c r="Q330" s="718">
        <v>24.851699829101602</v>
      </c>
      <c r="R330" s="718">
        <v>25.777753829956101</v>
      </c>
      <c r="S330" s="718">
        <v>26.392097473144499</v>
      </c>
      <c r="T330" s="718">
        <v>27.017583847045898</v>
      </c>
      <c r="U330" s="718">
        <v>27.588447570800799</v>
      </c>
      <c r="V330" s="718">
        <v>28.206142425537099</v>
      </c>
      <c r="W330" s="718">
        <v>29.1773777008057</v>
      </c>
      <c r="X330" s="718">
        <v>30.336851119995099</v>
      </c>
      <c r="Y330" s="718">
        <v>31.4674072265625</v>
      </c>
      <c r="Z330" s="718">
        <v>32.538986206054702</v>
      </c>
    </row>
    <row r="332" spans="1:30" x14ac:dyDescent="0.25">
      <c r="A332" s="716" t="s">
        <v>473</v>
      </c>
    </row>
    <row r="333" spans="1:30" x14ac:dyDescent="0.25">
      <c r="A333" s="716" t="s">
        <v>602</v>
      </c>
      <c r="B333" s="718">
        <v>21.711509704589801</v>
      </c>
      <c r="C333" s="718">
        <v>25.0072345733643</v>
      </c>
      <c r="D333" s="718">
        <v>29.391622543335</v>
      </c>
      <c r="E333" s="718">
        <v>22.380046844482401</v>
      </c>
      <c r="F333" s="718">
        <v>21.3089294433594</v>
      </c>
      <c r="G333" s="718">
        <v>23.935417175293001</v>
      </c>
      <c r="H333" s="718">
        <v>26.369024276733398</v>
      </c>
      <c r="I333" s="718">
        <v>28.752412796020501</v>
      </c>
      <c r="J333" s="718">
        <v>31.0282287597656</v>
      </c>
      <c r="K333" s="718">
        <v>33.547065734863303</v>
      </c>
      <c r="L333" s="718">
        <v>35.514869689941399</v>
      </c>
      <c r="M333" s="718">
        <v>37.352748870849602</v>
      </c>
      <c r="N333" s="718">
        <v>39.287044525146499</v>
      </c>
      <c r="O333" s="718">
        <v>40.7039604187012</v>
      </c>
      <c r="P333" s="718">
        <v>42.024444580078097</v>
      </c>
      <c r="Q333" s="718">
        <v>43.379894256591797</v>
      </c>
      <c r="R333" s="718">
        <v>44.630382537841797</v>
      </c>
      <c r="S333" s="718">
        <v>46.145259857177699</v>
      </c>
      <c r="T333" s="718">
        <v>47.363857269287102</v>
      </c>
      <c r="U333" s="718">
        <v>47.7197074890137</v>
      </c>
      <c r="V333" s="718">
        <v>49.102500915527301</v>
      </c>
      <c r="W333" s="718">
        <v>50.517303466796903</v>
      </c>
      <c r="X333" s="718">
        <v>52.086456298828097</v>
      </c>
      <c r="Y333" s="718">
        <v>53.442653656005902</v>
      </c>
      <c r="Z333" s="718">
        <v>55.104091644287102</v>
      </c>
    </row>
    <row r="334" spans="1:30" x14ac:dyDescent="0.25">
      <c r="A334" s="716" t="s">
        <v>603</v>
      </c>
      <c r="B334" s="718">
        <v>24.84494972229</v>
      </c>
      <c r="C334" s="718">
        <v>26.818180084228501</v>
      </c>
      <c r="D334" s="718">
        <v>34.822681427002003</v>
      </c>
      <c r="E334" s="718">
        <v>21.049989700317401</v>
      </c>
      <c r="F334" s="718">
        <v>19.580844879150401</v>
      </c>
      <c r="G334" s="718">
        <v>23.622909545898398</v>
      </c>
      <c r="H334" s="718">
        <v>25.881950378418001</v>
      </c>
      <c r="I334" s="718">
        <v>28.009447097778299</v>
      </c>
      <c r="J334" s="718">
        <v>30.2537937164307</v>
      </c>
      <c r="K334" s="718">
        <v>28.866632461547901</v>
      </c>
      <c r="L334" s="718">
        <v>30.4276523590088</v>
      </c>
      <c r="M334" s="718">
        <v>31.969417572021499</v>
      </c>
      <c r="N334" s="718">
        <v>32.765193939208999</v>
      </c>
      <c r="O334" s="718">
        <v>35.757926940917997</v>
      </c>
      <c r="P334" s="718">
        <v>37.577915191650398</v>
      </c>
      <c r="Q334" s="718">
        <v>38.662086486816399</v>
      </c>
      <c r="R334" s="718">
        <v>39.8419189453125</v>
      </c>
      <c r="S334" s="718">
        <v>41.092353820800803</v>
      </c>
      <c r="T334" s="718">
        <v>42.114028930664098</v>
      </c>
      <c r="U334" s="718">
        <v>42.893341064453097</v>
      </c>
      <c r="V334" s="718">
        <v>44.2104301452637</v>
      </c>
      <c r="W334" s="718">
        <v>44.896373748779297</v>
      </c>
      <c r="X334" s="718">
        <v>46.4299926757813</v>
      </c>
      <c r="Y334" s="718">
        <v>48.419319152832003</v>
      </c>
      <c r="Z334" s="718">
        <v>48.957271575927699</v>
      </c>
    </row>
    <row r="335" spans="1:30" x14ac:dyDescent="0.25">
      <c r="A335" s="716" t="s">
        <v>604</v>
      </c>
      <c r="B335" s="718">
        <v>21.213121414184599</v>
      </c>
      <c r="C335" s="718">
        <v>22.982162475585898</v>
      </c>
      <c r="D335" s="718">
        <v>26.749811172485401</v>
      </c>
      <c r="E335" s="718">
        <v>16.175968170166001</v>
      </c>
      <c r="F335" s="718">
        <v>18.381326675415</v>
      </c>
      <c r="G335" s="718">
        <v>21.693702697753899</v>
      </c>
      <c r="H335" s="718">
        <v>23.709007263183601</v>
      </c>
      <c r="I335" s="718">
        <v>25.449525833129901</v>
      </c>
      <c r="J335" s="718">
        <v>27.424634933471701</v>
      </c>
      <c r="K335" s="718">
        <v>29.529468536376999</v>
      </c>
      <c r="L335" s="718">
        <v>31.27219581604</v>
      </c>
      <c r="M335" s="718">
        <v>33.093906402587898</v>
      </c>
      <c r="N335" s="718">
        <v>34.856166839599602</v>
      </c>
      <c r="O335" s="718">
        <v>36.438858032226598</v>
      </c>
      <c r="P335" s="718">
        <v>38.015861511230497</v>
      </c>
      <c r="Q335" s="718">
        <v>39.139541625976598</v>
      </c>
      <c r="R335" s="718">
        <v>40.478176116943402</v>
      </c>
      <c r="S335" s="718">
        <v>41.691452026367202</v>
      </c>
      <c r="T335" s="718">
        <v>42.679801940917997</v>
      </c>
      <c r="U335" s="718">
        <v>43.464977264404297</v>
      </c>
      <c r="V335" s="718">
        <v>44.780059814453097</v>
      </c>
      <c r="W335" s="718">
        <v>45.673988342285199</v>
      </c>
      <c r="X335" s="718">
        <v>47.254981994628899</v>
      </c>
      <c r="Y335" s="718">
        <v>49.557445526122997</v>
      </c>
      <c r="Z335" s="718">
        <v>49.9830131530762</v>
      </c>
    </row>
    <row r="336" spans="1:30" x14ac:dyDescent="0.25">
      <c r="A336" s="716" t="s">
        <v>605</v>
      </c>
      <c r="B336" s="718">
        <v>14.844763755798301</v>
      </c>
      <c r="C336" s="718">
        <v>16.0964660644531</v>
      </c>
      <c r="D336" s="718">
        <v>22.673322677612301</v>
      </c>
      <c r="E336" s="718">
        <v>10.878761291503899</v>
      </c>
      <c r="F336" s="718">
        <v>10.805939674377401</v>
      </c>
      <c r="G336" s="718">
        <v>13.641165733337401</v>
      </c>
      <c r="H336" s="718">
        <v>15.7883806228638</v>
      </c>
      <c r="I336" s="718">
        <v>17.847295761108398</v>
      </c>
      <c r="J336" s="718">
        <v>19.768560409545898</v>
      </c>
      <c r="K336" s="718">
        <v>21.6021404266357</v>
      </c>
      <c r="L336" s="718">
        <v>23.1407794952393</v>
      </c>
      <c r="M336" s="718">
        <v>24.738756179809599</v>
      </c>
      <c r="N336" s="718">
        <v>26.200944900512699</v>
      </c>
      <c r="O336" s="718">
        <v>27.323936462402301</v>
      </c>
      <c r="P336" s="718">
        <v>28.3911018371582</v>
      </c>
      <c r="Q336" s="718">
        <v>29.343944549560501</v>
      </c>
      <c r="R336" s="718">
        <v>30.208518981933601</v>
      </c>
      <c r="S336" s="718">
        <v>31.274351119995099</v>
      </c>
      <c r="T336" s="718">
        <v>32.279064178466797</v>
      </c>
      <c r="U336" s="718">
        <v>32.661514282226598</v>
      </c>
      <c r="V336" s="718">
        <v>33.853298187255902</v>
      </c>
      <c r="W336" s="718">
        <v>34.868740081787102</v>
      </c>
      <c r="X336" s="718">
        <v>36.320652008056598</v>
      </c>
      <c r="Y336" s="718">
        <v>37.773586273193402</v>
      </c>
      <c r="Z336" s="718">
        <v>39.040420532226598</v>
      </c>
    </row>
    <row r="337" spans="1:70" x14ac:dyDescent="0.25">
      <c r="A337" s="716" t="s">
        <v>709</v>
      </c>
      <c r="B337" s="718">
        <v>19.740650177001999</v>
      </c>
      <c r="C337" s="718">
        <v>20.921422958373999</v>
      </c>
      <c r="D337" s="718">
        <v>27.660943984985401</v>
      </c>
      <c r="E337" s="718">
        <v>15.872093200683601</v>
      </c>
      <c r="F337" s="718">
        <v>15.1842641830444</v>
      </c>
      <c r="G337" s="718">
        <v>17.936090469360401</v>
      </c>
      <c r="H337" s="718">
        <v>20.100133895873999</v>
      </c>
      <c r="I337" s="718">
        <v>22.737785339355501</v>
      </c>
      <c r="J337" s="718">
        <v>24.745433807373001</v>
      </c>
      <c r="K337" s="718">
        <v>26.438911437988299</v>
      </c>
      <c r="L337" s="718">
        <v>28.0228977203369</v>
      </c>
      <c r="M337" s="718">
        <v>29.7338352203369</v>
      </c>
      <c r="N337" s="718">
        <v>31.2589511871338</v>
      </c>
      <c r="O337" s="718">
        <v>32.543869018554702</v>
      </c>
      <c r="P337" s="718">
        <v>33.764415740966797</v>
      </c>
      <c r="Q337" s="718">
        <v>34.490653991699197</v>
      </c>
      <c r="R337" s="718">
        <v>35.692588806152301</v>
      </c>
      <c r="S337" s="718">
        <v>36.884777069091797</v>
      </c>
      <c r="T337" s="718">
        <v>37.7488403320313</v>
      </c>
      <c r="U337" s="718">
        <v>38.541912078857401</v>
      </c>
      <c r="V337" s="718">
        <v>39.811958312988303</v>
      </c>
      <c r="W337" s="718">
        <v>40.433952331542997</v>
      </c>
      <c r="X337" s="718">
        <v>41.980552673339801</v>
      </c>
      <c r="Y337" s="718">
        <v>44.0175971984863</v>
      </c>
      <c r="Z337" s="718">
        <v>44.845256805419901</v>
      </c>
    </row>
    <row r="338" spans="1:70" x14ac:dyDescent="0.25">
      <c r="A338" s="716" t="s">
        <v>596</v>
      </c>
      <c r="B338" s="718">
        <v>7.9912142753601101</v>
      </c>
      <c r="C338" s="718">
        <v>9.4357099533081108</v>
      </c>
      <c r="D338" s="718">
        <v>14.5987691879272</v>
      </c>
      <c r="E338" s="718">
        <v>6.5974926948547399</v>
      </c>
      <c r="F338" s="718">
        <v>6.8336348533630398</v>
      </c>
      <c r="G338" s="718">
        <v>9.1002550125122106</v>
      </c>
      <c r="H338" s="718">
        <v>10.9850196838379</v>
      </c>
      <c r="I338" s="718">
        <v>12.7856092453003</v>
      </c>
      <c r="J338" s="718">
        <v>14.3925485610962</v>
      </c>
      <c r="K338" s="718">
        <v>16.284711837768601</v>
      </c>
      <c r="L338" s="718">
        <v>17.587419509887699</v>
      </c>
      <c r="M338" s="718">
        <v>18.815961837768601</v>
      </c>
      <c r="N338" s="718">
        <v>20.079933166503899</v>
      </c>
      <c r="O338" s="718">
        <v>21.0047607421875</v>
      </c>
      <c r="P338" s="718">
        <v>21.793167114257798</v>
      </c>
      <c r="Q338" s="718">
        <v>22.696048736572301</v>
      </c>
      <c r="R338" s="718">
        <v>23.3086338043213</v>
      </c>
      <c r="S338" s="718">
        <v>24.011238098144499</v>
      </c>
      <c r="T338" s="718">
        <v>24.648492813110401</v>
      </c>
      <c r="U338" s="718">
        <v>24.8559169769287</v>
      </c>
      <c r="V338" s="718">
        <v>25.6537380218506</v>
      </c>
      <c r="W338" s="718">
        <v>26.666080474853501</v>
      </c>
      <c r="X338" s="718">
        <v>27.731492996215799</v>
      </c>
      <c r="Y338" s="718">
        <v>28.609724044799801</v>
      </c>
      <c r="Z338" s="718">
        <v>29.807550430297901</v>
      </c>
    </row>
    <row r="339" spans="1:70" x14ac:dyDescent="0.25">
      <c r="A339" s="716" t="s">
        <v>607</v>
      </c>
      <c r="B339" s="718">
        <v>15.1338348388672</v>
      </c>
      <c r="C339" s="718">
        <v>15.4958410263062</v>
      </c>
      <c r="D339" s="718">
        <v>17.260919570922901</v>
      </c>
      <c r="E339" s="718">
        <v>13.197589874267599</v>
      </c>
      <c r="F339" s="718">
        <v>14.011960029602101</v>
      </c>
      <c r="G339" s="718">
        <v>14.5198259353638</v>
      </c>
      <c r="H339" s="718">
        <v>14.7125358581543</v>
      </c>
      <c r="I339" s="718">
        <v>14.9809007644653</v>
      </c>
      <c r="J339" s="718">
        <v>15.3987216949463</v>
      </c>
      <c r="K339" s="718">
        <v>15.929105758666999</v>
      </c>
      <c r="L339" s="718">
        <v>16.444049835205099</v>
      </c>
      <c r="M339" s="718">
        <v>16.986526489257798</v>
      </c>
      <c r="N339" s="718">
        <v>17.562019348144499</v>
      </c>
      <c r="O339" s="718">
        <v>18.214298248291001</v>
      </c>
      <c r="P339" s="718">
        <v>18.978889465331999</v>
      </c>
      <c r="Q339" s="718">
        <v>19.653842926025401</v>
      </c>
      <c r="R339" s="718">
        <v>20.151586532592798</v>
      </c>
      <c r="S339" s="718">
        <v>20.264110565185501</v>
      </c>
      <c r="T339" s="718">
        <v>20.6345119476318</v>
      </c>
      <c r="U339" s="718">
        <v>20.930568695068398</v>
      </c>
      <c r="V339" s="718">
        <v>21.5493049621582</v>
      </c>
      <c r="W339" s="718">
        <v>22.330928802490199</v>
      </c>
      <c r="X339" s="718">
        <v>23.217420578002901</v>
      </c>
      <c r="Y339" s="718">
        <v>23.984209060668899</v>
      </c>
      <c r="Z339" s="718">
        <v>24.842088699340799</v>
      </c>
    </row>
    <row r="340" spans="1:70" x14ac:dyDescent="0.25">
      <c r="A340" s="716" t="s">
        <v>465</v>
      </c>
      <c r="B340" s="718">
        <v>29.552911758422901</v>
      </c>
      <c r="C340" s="718">
        <v>30.777971267700199</v>
      </c>
      <c r="D340" s="718">
        <v>34.475650787353501</v>
      </c>
      <c r="E340" s="718">
        <v>32.511272430419901</v>
      </c>
      <c r="F340" s="718">
        <v>28.3578701019287</v>
      </c>
      <c r="G340" s="718">
        <v>29.9883632659912</v>
      </c>
      <c r="H340" s="718">
        <v>30.793474197387699</v>
      </c>
      <c r="I340" s="718">
        <v>31.290824890136701</v>
      </c>
      <c r="J340" s="718">
        <v>31.788017272949201</v>
      </c>
      <c r="K340" s="718">
        <v>32.228786468505902</v>
      </c>
      <c r="L340" s="718">
        <v>33.101249694824197</v>
      </c>
      <c r="M340" s="718">
        <v>33.873565673828097</v>
      </c>
      <c r="N340" s="718">
        <v>34.876777648925803</v>
      </c>
      <c r="O340" s="718">
        <v>35.790927886962898</v>
      </c>
      <c r="P340" s="718">
        <v>37.005527496337898</v>
      </c>
      <c r="Q340" s="718">
        <v>38.374465942382798</v>
      </c>
      <c r="R340" s="718">
        <v>39.741268157958999</v>
      </c>
      <c r="S340" s="718">
        <v>40.743644714355497</v>
      </c>
      <c r="T340" s="718">
        <v>41.832027435302699</v>
      </c>
      <c r="U340" s="718">
        <v>42.8788452148438</v>
      </c>
      <c r="V340" s="718">
        <v>44.165149688720703</v>
      </c>
      <c r="W340" s="718">
        <v>45.822151184082003</v>
      </c>
      <c r="X340" s="718">
        <v>47.770866394042997</v>
      </c>
      <c r="Y340" s="718">
        <v>49.4786567687988</v>
      </c>
      <c r="Z340" s="718">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716" t="s">
        <v>608</v>
      </c>
    </row>
    <row r="343" spans="1:70" x14ac:dyDescent="0.25">
      <c r="A343" s="716" t="s">
        <v>595</v>
      </c>
      <c r="B343" s="718">
        <v>13.411901473999</v>
      </c>
      <c r="C343" s="718">
        <v>14.7725219726563</v>
      </c>
      <c r="D343" s="718">
        <v>19.598173141479499</v>
      </c>
      <c r="E343" s="718">
        <v>12.9002075195313</v>
      </c>
      <c r="F343" s="718">
        <v>10.160784721374499</v>
      </c>
      <c r="G343" s="718">
        <v>12.683879852294901</v>
      </c>
      <c r="H343" s="718">
        <v>14.742367744445801</v>
      </c>
      <c r="I343" s="718">
        <v>16.466316223144499</v>
      </c>
      <c r="J343" s="718">
        <v>18.200975418090799</v>
      </c>
      <c r="K343" s="718">
        <v>20.294946670532202</v>
      </c>
      <c r="L343" s="718">
        <v>21.762416839599599</v>
      </c>
      <c r="M343" s="718">
        <v>23.219928741455099</v>
      </c>
      <c r="N343" s="718">
        <v>24.625257492065401</v>
      </c>
      <c r="O343" s="718">
        <v>25.658937454223601</v>
      </c>
      <c r="P343" s="718">
        <v>26.641567230224599</v>
      </c>
      <c r="Q343" s="718">
        <v>27.554689407348601</v>
      </c>
      <c r="R343" s="718">
        <v>28.433355331420898</v>
      </c>
      <c r="S343" s="718">
        <v>29.525194168090799</v>
      </c>
      <c r="T343" s="718">
        <v>30.595668792724599</v>
      </c>
      <c r="U343" s="718">
        <v>30.812200546264599</v>
      </c>
      <c r="V343" s="718">
        <v>31.8765468597412</v>
      </c>
      <c r="W343" s="718">
        <v>33.023826599121101</v>
      </c>
      <c r="X343" s="718">
        <v>34.249851226806598</v>
      </c>
      <c r="Y343" s="718">
        <v>35.370849609375</v>
      </c>
      <c r="Z343" s="718">
        <v>36.733474731445298</v>
      </c>
    </row>
    <row r="344" spans="1:70" x14ac:dyDescent="0.25">
      <c r="A344" s="716" t="s">
        <v>596</v>
      </c>
      <c r="B344" s="718">
        <v>8.1584053039550799</v>
      </c>
      <c r="C344" s="718">
        <v>8.5664386749267596</v>
      </c>
      <c r="D344" s="718">
        <v>14.623919486999499</v>
      </c>
      <c r="E344" s="718">
        <v>6.72200632095337</v>
      </c>
      <c r="F344" s="718">
        <v>6.9281921386718803</v>
      </c>
      <c r="G344" s="718">
        <v>9.7774429321289098</v>
      </c>
      <c r="H344" s="718">
        <v>11.688641548156699</v>
      </c>
      <c r="I344" s="718">
        <v>13.5591955184937</v>
      </c>
      <c r="J344" s="718">
        <v>15.198254585266101</v>
      </c>
      <c r="K344" s="718">
        <v>17.122402191162099</v>
      </c>
      <c r="L344" s="718">
        <v>18.4469089508057</v>
      </c>
      <c r="M344" s="718">
        <v>19.645553588867202</v>
      </c>
      <c r="N344" s="718">
        <v>20.905046463012699</v>
      </c>
      <c r="O344" s="718">
        <v>21.461814880371101</v>
      </c>
      <c r="P344" s="718">
        <v>22.275539398193398</v>
      </c>
      <c r="Q344" s="718">
        <v>23.178005218505898</v>
      </c>
      <c r="R344" s="718">
        <v>23.921798706054702</v>
      </c>
      <c r="S344" s="718">
        <v>24.712652206420898</v>
      </c>
      <c r="T344" s="718">
        <v>25.390251159668001</v>
      </c>
      <c r="U344" s="718">
        <v>25.605690002441399</v>
      </c>
      <c r="V344" s="718">
        <v>26.419223785400401</v>
      </c>
      <c r="W344" s="718">
        <v>27.371679306030298</v>
      </c>
      <c r="X344" s="718">
        <v>28.437421798706101</v>
      </c>
      <c r="Y344" s="718">
        <v>29.318086624145501</v>
      </c>
      <c r="Z344" s="718">
        <v>30.4597358703613</v>
      </c>
    </row>
    <row r="345" spans="1:70" x14ac:dyDescent="0.25">
      <c r="A345" s="716" t="s">
        <v>496</v>
      </c>
      <c r="B345" s="718">
        <v>6.8695855140686</v>
      </c>
      <c r="C345" s="718">
        <v>7.0191597938537598</v>
      </c>
      <c r="D345" s="718">
        <v>9.0666198730468803</v>
      </c>
      <c r="E345" s="718">
        <v>4.70163822174072</v>
      </c>
      <c r="F345" s="718">
        <v>5.3228030204772896</v>
      </c>
      <c r="G345" s="718">
        <v>5.7259230613708496</v>
      </c>
      <c r="H345" s="718">
        <v>5.8670849800109899</v>
      </c>
      <c r="I345" s="718">
        <v>5.9947657585143999</v>
      </c>
      <c r="J345" s="718">
        <v>6.2809138298034703</v>
      </c>
      <c r="K345" s="718">
        <v>6.6566915512084996</v>
      </c>
      <c r="L345" s="718">
        <v>7.0282440185546902</v>
      </c>
      <c r="M345" s="718">
        <v>7.4117355346679696</v>
      </c>
      <c r="N345" s="718">
        <v>7.8389544486999503</v>
      </c>
      <c r="O345" s="718">
        <v>8.3448457717895508</v>
      </c>
      <c r="P345" s="718">
        <v>8.9240303039550799</v>
      </c>
      <c r="Q345" s="718">
        <v>9.4456386566162092</v>
      </c>
      <c r="R345" s="718">
        <v>9.7849264144897496</v>
      </c>
      <c r="S345" s="718">
        <v>9.7760477066040004</v>
      </c>
      <c r="T345" s="718">
        <v>10.055270195007299</v>
      </c>
      <c r="U345" s="718">
        <v>10.193024635314901</v>
      </c>
      <c r="V345" s="718">
        <v>10.610521316528301</v>
      </c>
      <c r="W345" s="718">
        <v>11.20911693573</v>
      </c>
      <c r="X345" s="718">
        <v>11.9389839172363</v>
      </c>
      <c r="Y345" s="718">
        <v>12.519255638122599</v>
      </c>
      <c r="Z345" s="718">
        <v>13.197782516479499</v>
      </c>
    </row>
    <row r="346" spans="1:70" x14ac:dyDescent="0.25">
      <c r="A346" s="716" t="s">
        <v>609</v>
      </c>
      <c r="B346" s="718">
        <v>1.6900001764297501</v>
      </c>
      <c r="C346" s="718">
        <v>1.7800002098083501</v>
      </c>
      <c r="D346" s="718">
        <v>1.97352075576782</v>
      </c>
      <c r="E346" s="718">
        <v>2.0458421707153298</v>
      </c>
      <c r="F346" s="718">
        <v>1.9325078725814799</v>
      </c>
      <c r="G346" s="718">
        <v>1.9669165611267101</v>
      </c>
      <c r="H346" s="718">
        <v>1.97483730316162</v>
      </c>
      <c r="I346" s="718">
        <v>2.0363006591796902</v>
      </c>
      <c r="J346" s="718">
        <v>2.1044862270355198</v>
      </c>
      <c r="K346" s="718">
        <v>2.15470170974731</v>
      </c>
      <c r="L346" s="718">
        <v>2.2153303623199498</v>
      </c>
      <c r="M346" s="718">
        <v>2.2768745422363299</v>
      </c>
      <c r="N346" s="718">
        <v>2.3487181663513201</v>
      </c>
      <c r="O346" s="718">
        <v>2.4114518165588401</v>
      </c>
      <c r="P346" s="718">
        <v>2.4841165542602499</v>
      </c>
      <c r="Q346" s="718">
        <v>2.5551335811614999</v>
      </c>
      <c r="R346" s="718">
        <v>2.63751268386841</v>
      </c>
      <c r="S346" s="718">
        <v>2.7085535526275599</v>
      </c>
      <c r="T346" s="718">
        <v>2.7758009433746298</v>
      </c>
      <c r="U346" s="718">
        <v>2.84079241752625</v>
      </c>
      <c r="V346" s="718">
        <v>2.9094073772430402</v>
      </c>
      <c r="W346" s="718">
        <v>2.9860992431640598</v>
      </c>
      <c r="X346" s="718">
        <v>3.0685904026031499</v>
      </c>
      <c r="Y346" s="718">
        <v>3.1531631946563698</v>
      </c>
      <c r="Z346" s="718">
        <v>3.23557353019714</v>
      </c>
    </row>
    <row r="348" spans="1:70" x14ac:dyDescent="0.25">
      <c r="A348" s="716" t="s">
        <v>610</v>
      </c>
    </row>
    <row r="349" spans="1:70" x14ac:dyDescent="0.25">
      <c r="A349" s="716" t="s">
        <v>594</v>
      </c>
      <c r="B349" s="718">
        <v>15.246436119079601</v>
      </c>
      <c r="C349" s="718">
        <v>18.5313529968262</v>
      </c>
      <c r="D349" s="718">
        <v>20.134397506713899</v>
      </c>
      <c r="E349" s="718">
        <v>16.9350070953369</v>
      </c>
      <c r="F349" s="718">
        <v>16.912326812744102</v>
      </c>
      <c r="G349" s="718">
        <v>19.346534729003899</v>
      </c>
      <c r="H349" s="718">
        <v>21.4945392608643</v>
      </c>
      <c r="I349" s="718">
        <v>23.604782104492202</v>
      </c>
      <c r="J349" s="718">
        <v>25.696203231811499</v>
      </c>
      <c r="K349" s="718">
        <v>28.031579971313501</v>
      </c>
      <c r="L349" s="718">
        <v>29.828712463378899</v>
      </c>
      <c r="M349" s="718">
        <v>31.479301452636701</v>
      </c>
      <c r="N349" s="718">
        <v>33.231895446777301</v>
      </c>
      <c r="O349" s="718">
        <v>34.5145874023438</v>
      </c>
      <c r="P349" s="718">
        <v>35.698520660400398</v>
      </c>
      <c r="Q349" s="718">
        <v>36.883983612060497</v>
      </c>
      <c r="R349" s="718">
        <v>37.996242523193402</v>
      </c>
      <c r="S349" s="718">
        <v>39.337680816650398</v>
      </c>
      <c r="T349" s="718">
        <v>40.431327819824197</v>
      </c>
      <c r="U349" s="718">
        <v>40.7233276367188</v>
      </c>
      <c r="V349" s="718">
        <v>41.9925727844238</v>
      </c>
      <c r="W349" s="718">
        <v>43.322719573974602</v>
      </c>
      <c r="X349" s="718">
        <v>44.788909912109403</v>
      </c>
      <c r="Y349" s="718">
        <v>45.941520690917997</v>
      </c>
      <c r="Z349" s="718">
        <v>47.553462982177699</v>
      </c>
    </row>
    <row r="350" spans="1:70" x14ac:dyDescent="0.25">
      <c r="A350" s="716" t="s">
        <v>603</v>
      </c>
      <c r="B350" s="718">
        <v>24.84494972229</v>
      </c>
      <c r="C350" s="718">
        <v>26.818180084228501</v>
      </c>
      <c r="D350" s="718">
        <v>34.822681427002003</v>
      </c>
      <c r="E350" s="718">
        <v>21.049989700317401</v>
      </c>
      <c r="F350" s="718">
        <v>19.580844879150401</v>
      </c>
      <c r="G350" s="718">
        <v>23.622909545898398</v>
      </c>
      <c r="H350" s="718">
        <v>25.881950378418001</v>
      </c>
      <c r="I350" s="718">
        <v>28.009447097778299</v>
      </c>
      <c r="J350" s="718">
        <v>30.2537937164307</v>
      </c>
      <c r="K350" s="718">
        <v>28.866632461547901</v>
      </c>
      <c r="L350" s="718">
        <v>30.4276523590088</v>
      </c>
      <c r="M350" s="718">
        <v>31.969417572021499</v>
      </c>
      <c r="N350" s="718">
        <v>32.765193939208999</v>
      </c>
      <c r="O350" s="718">
        <v>35.757926940917997</v>
      </c>
      <c r="P350" s="718">
        <v>37.577915191650398</v>
      </c>
      <c r="Q350" s="718">
        <v>38.662086486816399</v>
      </c>
      <c r="R350" s="718">
        <v>39.8419189453125</v>
      </c>
      <c r="S350" s="718">
        <v>41.092353820800803</v>
      </c>
      <c r="T350" s="718">
        <v>42.114028930664098</v>
      </c>
      <c r="U350" s="718">
        <v>42.893341064453097</v>
      </c>
      <c r="V350" s="718">
        <v>44.2104301452637</v>
      </c>
      <c r="W350" s="718">
        <v>44.896373748779297</v>
      </c>
      <c r="X350" s="718">
        <v>46.4299926757813</v>
      </c>
      <c r="Y350" s="718">
        <v>48.419319152832003</v>
      </c>
      <c r="Z350" s="718">
        <v>48.957271575927699</v>
      </c>
    </row>
    <row r="351" spans="1:70" x14ac:dyDescent="0.25">
      <c r="A351" s="716" t="s">
        <v>604</v>
      </c>
      <c r="B351" s="718">
        <v>21.081119537353501</v>
      </c>
      <c r="C351" s="718">
        <v>22.8191947937012</v>
      </c>
      <c r="D351" s="718">
        <v>26.582485198974599</v>
      </c>
      <c r="E351" s="718">
        <v>16.308473587036101</v>
      </c>
      <c r="F351" s="718">
        <v>18.3791694641113</v>
      </c>
      <c r="G351" s="718">
        <v>21.690732955932599</v>
      </c>
      <c r="H351" s="718">
        <v>23.705785751342798</v>
      </c>
      <c r="I351" s="718">
        <v>25.446578979492202</v>
      </c>
      <c r="J351" s="718">
        <v>27.421388626098601</v>
      </c>
      <c r="K351" s="718">
        <v>29.526109695434599</v>
      </c>
      <c r="L351" s="718">
        <v>31.268815994262699</v>
      </c>
      <c r="M351" s="718">
        <v>33.090030670166001</v>
      </c>
      <c r="N351" s="718">
        <v>34.852634429931598</v>
      </c>
      <c r="O351" s="718">
        <v>36.4355278015137</v>
      </c>
      <c r="P351" s="718">
        <v>38.011890411377003</v>
      </c>
      <c r="Q351" s="718">
        <v>39.135532379150398</v>
      </c>
      <c r="R351" s="718">
        <v>40.475978851318402</v>
      </c>
      <c r="S351" s="718">
        <v>41.687484741210902</v>
      </c>
      <c r="T351" s="718">
        <v>42.675270080566399</v>
      </c>
      <c r="U351" s="718">
        <v>43.460239410400398</v>
      </c>
      <c r="V351" s="718">
        <v>44.775581359863303</v>
      </c>
      <c r="W351" s="718">
        <v>45.668975830078097</v>
      </c>
      <c r="X351" s="718">
        <v>47.250167846679702</v>
      </c>
      <c r="Y351" s="718">
        <v>49.551605224609403</v>
      </c>
      <c r="Z351" s="718">
        <v>49.978668212890597</v>
      </c>
    </row>
    <row r="352" spans="1:70" x14ac:dyDescent="0.25">
      <c r="A352" s="716" t="s">
        <v>611</v>
      </c>
      <c r="B352" s="718">
        <v>14.844763755798301</v>
      </c>
      <c r="C352" s="718">
        <v>16.0964660644531</v>
      </c>
      <c r="D352" s="718">
        <v>22.673322677612301</v>
      </c>
      <c r="E352" s="718">
        <v>10.878761291503899</v>
      </c>
      <c r="F352" s="718">
        <v>10.805939674377401</v>
      </c>
      <c r="G352" s="718">
        <v>13.641165733337401</v>
      </c>
      <c r="H352" s="718">
        <v>15.7883806228638</v>
      </c>
      <c r="I352" s="718">
        <v>17.847295761108398</v>
      </c>
      <c r="J352" s="718">
        <v>19.768560409545898</v>
      </c>
      <c r="K352" s="718">
        <v>21.6021404266357</v>
      </c>
      <c r="L352" s="718">
        <v>23.1407794952393</v>
      </c>
      <c r="M352" s="718">
        <v>24.738756179809599</v>
      </c>
      <c r="N352" s="718">
        <v>26.200944900512699</v>
      </c>
      <c r="O352" s="718">
        <v>27.323936462402301</v>
      </c>
      <c r="P352" s="718">
        <v>28.3911018371582</v>
      </c>
      <c r="Q352" s="718">
        <v>29.343944549560501</v>
      </c>
      <c r="R352" s="718">
        <v>30.208518981933601</v>
      </c>
      <c r="S352" s="718">
        <v>31.274351119995099</v>
      </c>
      <c r="T352" s="718">
        <v>32.279064178466797</v>
      </c>
      <c r="U352" s="718">
        <v>32.661514282226598</v>
      </c>
      <c r="V352" s="718">
        <v>33.853298187255902</v>
      </c>
      <c r="W352" s="718">
        <v>34.868740081787102</v>
      </c>
      <c r="X352" s="718">
        <v>36.320652008056598</v>
      </c>
      <c r="Y352" s="718">
        <v>37.773586273193402</v>
      </c>
      <c r="Z352" s="718">
        <v>39.040420532226598</v>
      </c>
    </row>
    <row r="353" spans="1:70" x14ac:dyDescent="0.25">
      <c r="A353" s="716" t="s">
        <v>595</v>
      </c>
      <c r="B353" s="718">
        <v>18.668458938598601</v>
      </c>
      <c r="C353" s="718">
        <v>19.9431552886963</v>
      </c>
      <c r="D353" s="718">
        <v>26.286823272705099</v>
      </c>
      <c r="E353" s="718">
        <v>15.636975288391101</v>
      </c>
      <c r="F353" s="718">
        <v>14.1092176437378</v>
      </c>
      <c r="G353" s="718">
        <v>16.902593612670898</v>
      </c>
      <c r="H353" s="718">
        <v>19.1516017913818</v>
      </c>
      <c r="I353" s="718">
        <v>21.744958877563501</v>
      </c>
      <c r="J353" s="718">
        <v>23.745824813842798</v>
      </c>
      <c r="K353" s="718">
        <v>25.478622436523398</v>
      </c>
      <c r="L353" s="718">
        <v>27.0623779296875</v>
      </c>
      <c r="M353" s="718">
        <v>28.722316741943398</v>
      </c>
      <c r="N353" s="718">
        <v>30.288469314575199</v>
      </c>
      <c r="O353" s="718">
        <v>31.560461044311499</v>
      </c>
      <c r="P353" s="718">
        <v>32.757129669189503</v>
      </c>
      <c r="Q353" s="718">
        <v>33.523193359375</v>
      </c>
      <c r="R353" s="718">
        <v>34.769081115722699</v>
      </c>
      <c r="S353" s="718">
        <v>35.882114410400398</v>
      </c>
      <c r="T353" s="718">
        <v>36.791599273681598</v>
      </c>
      <c r="U353" s="718">
        <v>37.5217895507813</v>
      </c>
      <c r="V353" s="718">
        <v>38.800697326660199</v>
      </c>
      <c r="W353" s="718">
        <v>39.467311859130902</v>
      </c>
      <c r="X353" s="718">
        <v>40.997920989990199</v>
      </c>
      <c r="Y353" s="718">
        <v>42.937191009521499</v>
      </c>
      <c r="Z353" s="718">
        <v>43.857540130615199</v>
      </c>
    </row>
    <row r="354" spans="1:70" x14ac:dyDescent="0.25">
      <c r="A354" s="716" t="s">
        <v>596</v>
      </c>
      <c r="B354" s="718">
        <v>8.2036781311035192</v>
      </c>
      <c r="C354" s="718">
        <v>9.3672227859497106</v>
      </c>
      <c r="D354" s="718">
        <v>14.4897508621216</v>
      </c>
      <c r="E354" s="718">
        <v>6.7128052711486799</v>
      </c>
      <c r="F354" s="718">
        <v>7.1757683753967303</v>
      </c>
      <c r="G354" s="718">
        <v>9.6609458923339808</v>
      </c>
      <c r="H354" s="718">
        <v>11.544206619262701</v>
      </c>
      <c r="I354" s="718">
        <v>13.370221138000501</v>
      </c>
      <c r="J354" s="718">
        <v>14.996021270751999</v>
      </c>
      <c r="K354" s="718">
        <v>16.898206710815401</v>
      </c>
      <c r="L354" s="718">
        <v>18.207862854003899</v>
      </c>
      <c r="M354" s="718">
        <v>19.411674499511701</v>
      </c>
      <c r="N354" s="718">
        <v>20.6822299957275</v>
      </c>
      <c r="O354" s="718">
        <v>21.516969680786101</v>
      </c>
      <c r="P354" s="718">
        <v>22.335527420043899</v>
      </c>
      <c r="Q354" s="718">
        <v>23.2407321929932</v>
      </c>
      <c r="R354" s="718">
        <v>23.916133880615199</v>
      </c>
      <c r="S354" s="718">
        <v>24.6660556793213</v>
      </c>
      <c r="T354" s="718">
        <v>25.322589874267599</v>
      </c>
      <c r="U354" s="718">
        <v>25.500698089599599</v>
      </c>
      <c r="V354" s="718">
        <v>26.3019409179688</v>
      </c>
      <c r="W354" s="718">
        <v>27.270561218261701</v>
      </c>
      <c r="X354" s="718">
        <v>28.332614898681602</v>
      </c>
      <c r="Y354" s="718">
        <v>29.2080383300781</v>
      </c>
      <c r="Z354" s="718">
        <v>30.365930557251001</v>
      </c>
    </row>
    <row r="355" spans="1:70" x14ac:dyDescent="0.25">
      <c r="A355" s="716" t="s">
        <v>496</v>
      </c>
      <c r="B355" s="718">
        <v>9.2523355484008807</v>
      </c>
      <c r="C355" s="718">
        <v>9.0060253143310494</v>
      </c>
      <c r="D355" s="718">
        <v>10.405486106872599</v>
      </c>
      <c r="E355" s="718">
        <v>6.98002004623413</v>
      </c>
      <c r="F355" s="718">
        <v>7.7092094421386701</v>
      </c>
      <c r="G355" s="718">
        <v>8.12390232086182</v>
      </c>
      <c r="H355" s="718">
        <v>8.2825136184692401</v>
      </c>
      <c r="I355" s="718">
        <v>8.4401350021362305</v>
      </c>
      <c r="J355" s="718">
        <v>8.7418422698974592</v>
      </c>
      <c r="K355" s="718">
        <v>9.1197204589843803</v>
      </c>
      <c r="L355" s="718">
        <v>9.5538625717163104</v>
      </c>
      <c r="M355" s="718">
        <v>10.0050344467163</v>
      </c>
      <c r="N355" s="718">
        <v>10.4820852279663</v>
      </c>
      <c r="O355" s="718">
        <v>11.0441122055054</v>
      </c>
      <c r="P355" s="718">
        <v>11.7092485427856</v>
      </c>
      <c r="Q355" s="718">
        <v>12.280260086059601</v>
      </c>
      <c r="R355" s="718">
        <v>12.668963432311999</v>
      </c>
      <c r="S355" s="718">
        <v>12.670117378234901</v>
      </c>
      <c r="T355" s="718">
        <v>12.917200088501</v>
      </c>
      <c r="U355" s="718">
        <v>13.0803108215332</v>
      </c>
      <c r="V355" s="718">
        <v>13.574273109436</v>
      </c>
      <c r="W355" s="718">
        <v>14.23717212677</v>
      </c>
      <c r="X355" s="718">
        <v>15.0462560653687</v>
      </c>
      <c r="Y355" s="718">
        <v>15.740474700927701</v>
      </c>
      <c r="Z355" s="718">
        <v>16.4913539886475</v>
      </c>
    </row>
    <row r="356" spans="1:70" ht="13.8" thickBot="1" x14ac:dyDescent="0.3">
      <c r="A356" s="716" t="s">
        <v>599</v>
      </c>
      <c r="B356" s="718">
        <v>3.53999996185303</v>
      </c>
      <c r="C356" s="718">
        <v>3.6099998950958301</v>
      </c>
      <c r="D356" s="718">
        <v>4.1449666023254403</v>
      </c>
      <c r="E356" s="718">
        <v>4.1784791946411097</v>
      </c>
      <c r="F356" s="718">
        <v>4.1485314369201696</v>
      </c>
      <c r="G356" s="718">
        <v>4.3175525665283203</v>
      </c>
      <c r="H356" s="718">
        <v>4.44484186172485</v>
      </c>
      <c r="I356" s="718">
        <v>4.5821456909179696</v>
      </c>
      <c r="J356" s="718">
        <v>4.7206311225891104</v>
      </c>
      <c r="K356" s="718">
        <v>4.8563599586486799</v>
      </c>
      <c r="L356" s="718">
        <v>4.9913563728332502</v>
      </c>
      <c r="M356" s="718">
        <v>5.1233406066894496</v>
      </c>
      <c r="N356" s="718">
        <v>5.2680139541626003</v>
      </c>
      <c r="O356" s="718">
        <v>5.4137320518493697</v>
      </c>
      <c r="P356" s="718">
        <v>5.5743689537048304</v>
      </c>
      <c r="Q356" s="718">
        <v>5.7906579971313503</v>
      </c>
      <c r="R356" s="718">
        <v>6.0209679603576696</v>
      </c>
      <c r="S356" s="718">
        <v>6.20045709609985</v>
      </c>
      <c r="T356" s="718">
        <v>6.3775997161865199</v>
      </c>
      <c r="U356" s="718">
        <v>6.5161404609680202</v>
      </c>
      <c r="V356" s="718">
        <v>6.6299972534179696</v>
      </c>
      <c r="W356" s="718">
        <v>6.7667918205261204</v>
      </c>
      <c r="X356" s="718">
        <v>6.88553714752197</v>
      </c>
      <c r="Y356" s="718">
        <v>6.9704546928405797</v>
      </c>
      <c r="Z356" s="718">
        <v>7.0137753486633301</v>
      </c>
    </row>
    <row r="357" spans="1:70" ht="13.8" thickBot="1" x14ac:dyDescent="0.3">
      <c r="A357" s="716" t="s">
        <v>612</v>
      </c>
      <c r="B357" s="718">
        <v>1.73100674152374</v>
      </c>
      <c r="C357" s="718">
        <v>1.81885313987732</v>
      </c>
      <c r="D357" s="718">
        <v>2.01088166236877</v>
      </c>
      <c r="E357" s="718">
        <v>2.0711190700531001</v>
      </c>
      <c r="F357" s="718">
        <v>1.96068322658539</v>
      </c>
      <c r="G357" s="718">
        <v>1.99932932853699</v>
      </c>
      <c r="H357" s="718">
        <v>2.0096416473388699</v>
      </c>
      <c r="I357" s="718">
        <v>2.07272601127625</v>
      </c>
      <c r="J357" s="718">
        <v>2.1420636177063002</v>
      </c>
      <c r="K357" s="718">
        <v>2.1925818920135498</v>
      </c>
      <c r="L357" s="718">
        <v>2.2534883022308301</v>
      </c>
      <c r="M357" s="718">
        <v>2.3155770301818799</v>
      </c>
      <c r="N357" s="718">
        <v>2.38794946670532</v>
      </c>
      <c r="O357" s="718">
        <v>2.4510562419891402</v>
      </c>
      <c r="P357" s="718">
        <v>2.52451372146606</v>
      </c>
      <c r="Q357" s="718">
        <v>2.5963439941406299</v>
      </c>
      <c r="R357" s="718">
        <v>2.6790707111358598</v>
      </c>
      <c r="S357" s="718">
        <v>2.7507226467132599</v>
      </c>
      <c r="T357" s="718">
        <v>2.8189043998718302</v>
      </c>
      <c r="U357" s="718">
        <v>2.8845274448394802</v>
      </c>
      <c r="V357" s="718">
        <v>2.9543473720550502</v>
      </c>
      <c r="W357" s="718">
        <v>3.0319309234619101</v>
      </c>
      <c r="X357" s="718">
        <v>3.1151678562164302</v>
      </c>
      <c r="Y357" s="718">
        <v>3.20047926902771</v>
      </c>
      <c r="Z357" s="718">
        <v>3.2839629650115998</v>
      </c>
      <c r="AA357" s="260">
        <f>Z527+($AI$357-$Y$527)/10</f>
        <v>8.0623037763536161</v>
      </c>
      <c r="AB357" s="260">
        <f t="shared" ref="AB357:AH357" si="21">AA357+($AI$357-$Y$527)/10</f>
        <v>8.1146083992868938</v>
      </c>
      <c r="AC357" s="260">
        <f t="shared" si="21"/>
        <v>8.1669130222201716</v>
      </c>
      <c r="AD357" s="260">
        <f t="shared" si="21"/>
        <v>8.2192176451534493</v>
      </c>
      <c r="AE357" s="260">
        <f t="shared" si="21"/>
        <v>8.2715222680867271</v>
      </c>
      <c r="AF357" s="260">
        <f t="shared" si="21"/>
        <v>8.3238268910200048</v>
      </c>
      <c r="AG357" s="260">
        <f t="shared" si="21"/>
        <v>8.3761315139532826</v>
      </c>
      <c r="AH357" s="260">
        <f t="shared" si="21"/>
        <v>8.4284361368865603</v>
      </c>
      <c r="AI357" s="261">
        <f>T527*$E$742</f>
        <v>8.4807407598198452</v>
      </c>
      <c r="AJ357" s="260">
        <f>AI357+($AX$357-$AI$357)/15</f>
        <v>8.5767365137369804</v>
      </c>
      <c r="AK357" s="260">
        <f t="shared" ref="AK357:AW357" si="22">AJ357+($AX$357-$AI$357)/15</f>
        <v>8.6727322676541156</v>
      </c>
      <c r="AL357" s="260">
        <f t="shared" si="22"/>
        <v>8.7687280215712509</v>
      </c>
      <c r="AM357" s="260">
        <f t="shared" si="22"/>
        <v>8.8647237754883861</v>
      </c>
      <c r="AN357" s="260">
        <f t="shared" si="22"/>
        <v>8.9607195294055213</v>
      </c>
      <c r="AO357" s="260">
        <f t="shared" si="22"/>
        <v>9.0567152833226565</v>
      </c>
      <c r="AP357" s="260">
        <f t="shared" si="22"/>
        <v>9.1527110372397917</v>
      </c>
      <c r="AQ357" s="260">
        <f t="shared" si="22"/>
        <v>9.248706791156927</v>
      </c>
      <c r="AR357" s="260">
        <f t="shared" si="22"/>
        <v>9.3447025450740622</v>
      </c>
      <c r="AS357" s="260">
        <f t="shared" si="22"/>
        <v>9.4406982989911974</v>
      </c>
      <c r="AT357" s="260">
        <f t="shared" si="22"/>
        <v>9.5366940529083326</v>
      </c>
      <c r="AU357" s="260">
        <f t="shared" si="22"/>
        <v>9.6326898068254678</v>
      </c>
      <c r="AV357" s="260">
        <f t="shared" si="22"/>
        <v>9.728685560742603</v>
      </c>
      <c r="AW357" s="260">
        <f t="shared" si="22"/>
        <v>9.8246813146597383</v>
      </c>
      <c r="AX357" s="261">
        <f>AI357*$B$742</f>
        <v>9.9206770685768717</v>
      </c>
      <c r="AY357" s="260">
        <f>AX357+($BM$357-$AX$357)/15</f>
        <v>10.018909165246043</v>
      </c>
      <c r="AZ357" s="260">
        <f t="shared" ref="AZ357:BL357" si="23">AY357+($BM$357-$AX$357)/15</f>
        <v>10.117141261915215</v>
      </c>
      <c r="BA357" s="260">
        <f t="shared" si="23"/>
        <v>10.215373358584387</v>
      </c>
      <c r="BB357" s="260">
        <f t="shared" si="23"/>
        <v>10.313605455253558</v>
      </c>
      <c r="BC357" s="260">
        <f t="shared" si="23"/>
        <v>10.41183755192273</v>
      </c>
      <c r="BD357" s="260">
        <f t="shared" si="23"/>
        <v>10.510069648591902</v>
      </c>
      <c r="BE357" s="260">
        <f t="shared" si="23"/>
        <v>10.608301745261073</v>
      </c>
      <c r="BF357" s="260">
        <f t="shared" si="23"/>
        <v>10.706533841930245</v>
      </c>
      <c r="BG357" s="260">
        <f t="shared" si="23"/>
        <v>10.804765938599417</v>
      </c>
      <c r="BH357" s="260">
        <f t="shared" si="23"/>
        <v>10.902998035268588</v>
      </c>
      <c r="BI357" s="260">
        <f t="shared" si="23"/>
        <v>11.00123013193776</v>
      </c>
      <c r="BJ357" s="260">
        <f t="shared" si="23"/>
        <v>11.099462228606932</v>
      </c>
      <c r="BK357" s="260">
        <f t="shared" si="23"/>
        <v>11.197694325276103</v>
      </c>
      <c r="BL357" s="260">
        <f t="shared" si="23"/>
        <v>11.295926421945275</v>
      </c>
      <c r="BM357" s="261">
        <f>AX357*$C$742</f>
        <v>11.394158518614441</v>
      </c>
      <c r="BN357" s="260">
        <f>BM357+($BR$357-$BM$357)/5</f>
        <v>11.506980665059427</v>
      </c>
      <c r="BO357" s="260">
        <f>BN357+($BR$357-$BM$357)/5</f>
        <v>11.619802811504412</v>
      </c>
      <c r="BP357" s="260">
        <f>BO357+($BR$357-$BM$357)/5</f>
        <v>11.732624957949398</v>
      </c>
      <c r="BQ357" s="260">
        <f>BP357+($BR$357-$BM$357)/5</f>
        <v>11.845447104394383</v>
      </c>
      <c r="BR357" s="261">
        <f>BM357*$D$742</f>
        <v>11.95826925083937</v>
      </c>
    </row>
    <row r="358" spans="1:70" ht="13.8" thickBot="1" x14ac:dyDescent="0.3">
      <c r="A358" s="716" t="s">
        <v>601</v>
      </c>
      <c r="B358" s="718">
        <v>0</v>
      </c>
      <c r="C358" s="718">
        <v>0</v>
      </c>
      <c r="D358" s="718">
        <v>0</v>
      </c>
      <c r="E358" s="718">
        <v>0</v>
      </c>
      <c r="F358" s="718">
        <v>0</v>
      </c>
      <c r="G358" s="718">
        <v>1.5889266729354901</v>
      </c>
      <c r="H358" s="718">
        <v>1.46094393730164</v>
      </c>
      <c r="I358" s="718">
        <v>1.28843116760254</v>
      </c>
      <c r="J358" s="718">
        <v>1.5101318359375</v>
      </c>
      <c r="K358" s="718">
        <v>1.50810551643372</v>
      </c>
      <c r="L358" s="718">
        <v>1.5213859081268299</v>
      </c>
      <c r="M358" s="718">
        <v>1.53951179981232</v>
      </c>
      <c r="N358" s="718">
        <v>1.58338570594788</v>
      </c>
      <c r="O358" s="718">
        <v>1.63723039627075</v>
      </c>
      <c r="P358" s="718">
        <v>1.71289122104645</v>
      </c>
      <c r="Q358" s="718">
        <v>1.76114201545715</v>
      </c>
      <c r="R358" s="718">
        <v>1.8119050264358501</v>
      </c>
      <c r="S358" s="718">
        <v>1.8629466295242301</v>
      </c>
      <c r="T358" s="718">
        <v>1.9169825315475499</v>
      </c>
      <c r="U358" s="718">
        <v>1.9466364383697501</v>
      </c>
      <c r="V358" s="718">
        <v>1.9911848306655899</v>
      </c>
      <c r="W358" s="718">
        <v>2.0416746139526398</v>
      </c>
      <c r="X358" s="718">
        <v>2.09020328521729</v>
      </c>
      <c r="Y358" s="718">
        <v>2.1373581886291499</v>
      </c>
      <c r="Z358" s="718">
        <v>2.1847438812255899</v>
      </c>
      <c r="AA358" s="262">
        <f>Z528+($AI$358-$Y$528)/10</f>
        <v>22.224617194901626</v>
      </c>
      <c r="AB358" s="262">
        <f t="shared" ref="AB358:AH358" si="24">AA358+($AI$358-$Y$528)/10</f>
        <v>22.135413455621489</v>
      </c>
      <c r="AC358" s="262">
        <f t="shared" si="24"/>
        <v>22.046209716341352</v>
      </c>
      <c r="AD358" s="262">
        <f t="shared" si="24"/>
        <v>21.957005977061215</v>
      </c>
      <c r="AE358" s="262">
        <f t="shared" si="24"/>
        <v>21.867802237781078</v>
      </c>
      <c r="AF358" s="262">
        <f t="shared" si="24"/>
        <v>21.778598498500941</v>
      </c>
      <c r="AG358" s="262">
        <f t="shared" si="24"/>
        <v>21.689394759220804</v>
      </c>
      <c r="AH358" s="262">
        <f t="shared" si="24"/>
        <v>21.600191019940667</v>
      </c>
      <c r="AI358" s="263">
        <f>T528*$E$745</f>
        <v>21.510987280660522</v>
      </c>
      <c r="AJ358" s="262">
        <f>AI358+($AX$358-$AI$358)/15</f>
        <v>21.502530865644818</v>
      </c>
      <c r="AK358" s="262">
        <f t="shared" ref="AK358:AW358" si="25">AJ358+($AX$358-$AI$358)/15</f>
        <v>21.494074450629114</v>
      </c>
      <c r="AL358" s="262">
        <f t="shared" si="25"/>
        <v>21.48561803561341</v>
      </c>
      <c r="AM358" s="262">
        <f t="shared" si="25"/>
        <v>21.477161620597705</v>
      </c>
      <c r="AN358" s="262">
        <f t="shared" si="25"/>
        <v>21.468705205582001</v>
      </c>
      <c r="AO358" s="262">
        <f t="shared" si="25"/>
        <v>21.460248790566297</v>
      </c>
      <c r="AP358" s="262">
        <f t="shared" si="25"/>
        <v>21.451792375550593</v>
      </c>
      <c r="AQ358" s="262">
        <f t="shared" si="25"/>
        <v>21.443335960534888</v>
      </c>
      <c r="AR358" s="262">
        <f t="shared" si="25"/>
        <v>21.434879545519184</v>
      </c>
      <c r="AS358" s="262">
        <f t="shared" si="25"/>
        <v>21.42642313050348</v>
      </c>
      <c r="AT358" s="262">
        <f t="shared" si="25"/>
        <v>21.417966715487776</v>
      </c>
      <c r="AU358" s="262">
        <f t="shared" si="25"/>
        <v>21.409510300472071</v>
      </c>
      <c r="AV358" s="262">
        <f t="shared" si="25"/>
        <v>21.401053885456367</v>
      </c>
      <c r="AW358" s="262">
        <f t="shared" si="25"/>
        <v>21.392597470440663</v>
      </c>
      <c r="AX358" s="263">
        <f>AI358*$B$745</f>
        <v>21.384141055424955</v>
      </c>
      <c r="AY358" s="262">
        <f>AX358+($BM$358-$AX$358)/15</f>
        <v>21.397725276976207</v>
      </c>
      <c r="AZ358" s="262">
        <f t="shared" ref="AZ358:BL358" si="26">AY358+($BM$358-$AX$358)/15</f>
        <v>21.411309498527459</v>
      </c>
      <c r="BA358" s="262">
        <f t="shared" si="26"/>
        <v>21.42489372007871</v>
      </c>
      <c r="BB358" s="262">
        <f t="shared" si="26"/>
        <v>21.438477941629962</v>
      </c>
      <c r="BC358" s="262">
        <f t="shared" si="26"/>
        <v>21.452062163181214</v>
      </c>
      <c r="BD358" s="262">
        <f t="shared" si="26"/>
        <v>21.465646384732466</v>
      </c>
      <c r="BE358" s="262">
        <f t="shared" si="26"/>
        <v>21.479230606283718</v>
      </c>
      <c r="BF358" s="262">
        <f t="shared" si="26"/>
        <v>21.49281482783497</v>
      </c>
      <c r="BG358" s="262">
        <f t="shared" si="26"/>
        <v>21.506399049386221</v>
      </c>
      <c r="BH358" s="262">
        <f t="shared" si="26"/>
        <v>21.519983270937473</v>
      </c>
      <c r="BI358" s="262">
        <f t="shared" si="26"/>
        <v>21.533567492488725</v>
      </c>
      <c r="BJ358" s="262">
        <f t="shared" si="26"/>
        <v>21.547151714039977</v>
      </c>
      <c r="BK358" s="262">
        <f t="shared" si="26"/>
        <v>21.560735935591229</v>
      </c>
      <c r="BL358" s="262">
        <f t="shared" si="26"/>
        <v>21.574320157142481</v>
      </c>
      <c r="BM358" s="263">
        <f>AX358*$C$745</f>
        <v>21.587904378693722</v>
      </c>
      <c r="BN358" s="262">
        <f>BM358+($BR$358-$BM$358)/5</f>
        <v>21.601618040381013</v>
      </c>
      <c r="BO358" s="262">
        <f>BN358+($BR$358-$BM$358)/5</f>
        <v>21.615331702068303</v>
      </c>
      <c r="BP358" s="262">
        <f>BO358+($BR$358-$BM$358)/5</f>
        <v>21.629045363755594</v>
      </c>
      <c r="BQ358" s="262">
        <f>BP358+($BR$358-$BM$358)/5</f>
        <v>21.642759025442885</v>
      </c>
      <c r="BR358" s="263">
        <f>BM358*$D$745</f>
        <v>21.656472687130176</v>
      </c>
    </row>
    <row r="359" spans="1:70" x14ac:dyDescent="0.25">
      <c r="A359" s="716" t="s">
        <v>465</v>
      </c>
      <c r="B359" s="718">
        <v>25.973251342773398</v>
      </c>
      <c r="C359" s="718">
        <v>26.680915832519499</v>
      </c>
      <c r="D359" s="718">
        <v>28.4103908538818</v>
      </c>
      <c r="E359" s="718">
        <v>27.544679641723601</v>
      </c>
      <c r="F359" s="718">
        <v>25.191349029541001</v>
      </c>
      <c r="G359" s="718">
        <v>26.348068237304702</v>
      </c>
      <c r="H359" s="718">
        <v>26.6303806304932</v>
      </c>
      <c r="I359" s="718">
        <v>27.154542922973601</v>
      </c>
      <c r="J359" s="718">
        <v>28.002742767333999</v>
      </c>
      <c r="K359" s="718">
        <v>28.757371902465799</v>
      </c>
      <c r="L359" s="718">
        <v>29.780685424804702</v>
      </c>
      <c r="M359" s="718">
        <v>30.870384216308601</v>
      </c>
      <c r="N359" s="718">
        <v>32.039138793945298</v>
      </c>
      <c r="O359" s="718">
        <v>33.131908416747997</v>
      </c>
      <c r="P359" s="718">
        <v>34.493354797363303</v>
      </c>
      <c r="Q359" s="718">
        <v>35.847507476806598</v>
      </c>
      <c r="R359" s="718">
        <v>37.095943450927699</v>
      </c>
      <c r="S359" s="718">
        <v>37.945499420166001</v>
      </c>
      <c r="T359" s="718">
        <v>38.854724884033203</v>
      </c>
      <c r="U359" s="718">
        <v>39.667263031005902</v>
      </c>
      <c r="V359" s="718">
        <v>40.613765716552699</v>
      </c>
      <c r="W359" s="718">
        <v>41.989593505859403</v>
      </c>
      <c r="X359" s="718">
        <v>43.556324005127003</v>
      </c>
      <c r="Y359" s="718">
        <v>45.098350524902301</v>
      </c>
      <c r="Z359" s="718">
        <v>46.616588592529297</v>
      </c>
    </row>
    <row r="361" spans="1:70" x14ac:dyDescent="0.25">
      <c r="A361" s="716" t="s">
        <v>499</v>
      </c>
    </row>
    <row r="362" spans="1:70" x14ac:dyDescent="0.25">
      <c r="A362" s="716" t="s">
        <v>712</v>
      </c>
    </row>
    <row r="363" spans="1:70" x14ac:dyDescent="0.25">
      <c r="A363" s="716" t="s">
        <v>459</v>
      </c>
      <c r="B363" s="718">
        <v>225.03859096661196</v>
      </c>
      <c r="C363" s="718">
        <v>238.40081787109398</v>
      </c>
      <c r="D363" s="718">
        <v>255.49913625772319</v>
      </c>
      <c r="E363" s="718">
        <v>230.9929746666815</v>
      </c>
      <c r="F363" s="718">
        <v>223.41247611699868</v>
      </c>
      <c r="G363" s="718">
        <v>235.2892736225177</v>
      </c>
      <c r="H363" s="718">
        <v>241.6920712265439</v>
      </c>
      <c r="I363" s="718">
        <v>246.56659612211084</v>
      </c>
      <c r="J363" s="718">
        <v>255.55094332875294</v>
      </c>
      <c r="K363" s="718">
        <v>264.57905396662414</v>
      </c>
      <c r="L363" s="718">
        <v>275.89920726734971</v>
      </c>
      <c r="M363" s="718">
        <v>287.49516661999758</v>
      </c>
      <c r="N363" s="718">
        <v>300.32909110683801</v>
      </c>
      <c r="O363" s="718">
        <v>313.11554742582229</v>
      </c>
      <c r="P363" s="718">
        <v>328.18192619930682</v>
      </c>
      <c r="Q363" s="718">
        <v>341.8235015289352</v>
      </c>
      <c r="R363" s="718">
        <v>355.09694320426638</v>
      </c>
      <c r="S363" s="718">
        <v>365.44612056098629</v>
      </c>
      <c r="T363" s="718">
        <v>378.29315112389759</v>
      </c>
      <c r="U363" s="718">
        <v>388.37155634393389</v>
      </c>
      <c r="V363" s="718">
        <v>402.59953615177363</v>
      </c>
      <c r="W363" s="718">
        <v>419.77981120164446</v>
      </c>
      <c r="X363" s="718">
        <v>438.87123825530841</v>
      </c>
      <c r="Y363" s="718">
        <v>455.24534715742953</v>
      </c>
      <c r="Z363" s="718">
        <v>473.03338245571979</v>
      </c>
    </row>
    <row r="364" spans="1:70" x14ac:dyDescent="0.25">
      <c r="A364" s="716" t="s">
        <v>466</v>
      </c>
      <c r="B364" s="718">
        <v>165.81601818957134</v>
      </c>
      <c r="C364" s="718">
        <v>172.89260864257801</v>
      </c>
      <c r="D364" s="718">
        <v>187.38257557629601</v>
      </c>
      <c r="E364" s="718">
        <v>169.14737359110225</v>
      </c>
      <c r="F364" s="718">
        <v>163.07263216137929</v>
      </c>
      <c r="G364" s="718">
        <v>172.91593328178766</v>
      </c>
      <c r="H364" s="718">
        <v>176.9297785804325</v>
      </c>
      <c r="I364" s="718">
        <v>182.88131988639063</v>
      </c>
      <c r="J364" s="718">
        <v>191.23749630338142</v>
      </c>
      <c r="K364" s="718">
        <v>199.89645601118545</v>
      </c>
      <c r="L364" s="718">
        <v>210.36479941888081</v>
      </c>
      <c r="M364" s="718">
        <v>221.36240217535854</v>
      </c>
      <c r="N364" s="718">
        <v>233.19080564556924</v>
      </c>
      <c r="O364" s="718">
        <v>244.70314616363081</v>
      </c>
      <c r="P364" s="718">
        <v>258.1051490216438</v>
      </c>
      <c r="Q364" s="718">
        <v>271.26123343313407</v>
      </c>
      <c r="R364" s="718">
        <v>283.50995205362011</v>
      </c>
      <c r="S364" s="718">
        <v>292.88584879534454</v>
      </c>
      <c r="T364" s="718">
        <v>303.70259464185926</v>
      </c>
      <c r="U364" s="718">
        <v>313.58347456242666</v>
      </c>
      <c r="V364" s="718">
        <v>325.89089746765683</v>
      </c>
      <c r="W364" s="718">
        <v>341.11550736031069</v>
      </c>
      <c r="X364" s="718">
        <v>358.21009848865214</v>
      </c>
      <c r="Y364" s="718">
        <v>374.9131546581271</v>
      </c>
      <c r="Z364" s="718">
        <v>392.1016075075479</v>
      </c>
    </row>
    <row r="365" spans="1:70" ht="13.8" thickBot="1" x14ac:dyDescent="0.3">
      <c r="A365" s="716" t="s">
        <v>501</v>
      </c>
      <c r="B365" s="718">
        <v>210.41252056252281</v>
      </c>
      <c r="C365" s="718">
        <v>226.88609313964801</v>
      </c>
      <c r="D365" s="718">
        <v>254.13497179068762</v>
      </c>
      <c r="E365" s="718">
        <v>187.2100922767749</v>
      </c>
      <c r="F365" s="718">
        <v>157.4270874391178</v>
      </c>
      <c r="G365" s="718">
        <v>180.83829470805441</v>
      </c>
      <c r="H365" s="718">
        <v>198.41655822177904</v>
      </c>
      <c r="I365" s="718">
        <v>216.64201952030527</v>
      </c>
      <c r="J365" s="718">
        <v>228.79975664936245</v>
      </c>
      <c r="K365" s="718">
        <v>241.15463361452254</v>
      </c>
      <c r="L365" s="718">
        <v>252.64480203410886</v>
      </c>
      <c r="M365" s="718">
        <v>265.1637238738445</v>
      </c>
      <c r="N365" s="718">
        <v>278.29776899368039</v>
      </c>
      <c r="O365" s="718">
        <v>289.61773721654419</v>
      </c>
      <c r="P365" s="718">
        <v>303.56832242347855</v>
      </c>
      <c r="Q365" s="718">
        <v>314.41390898844122</v>
      </c>
      <c r="R365" s="718">
        <v>323.63277263436424</v>
      </c>
      <c r="S365" s="718">
        <v>331.42426143912343</v>
      </c>
      <c r="T365" s="718">
        <v>339.57307272400601</v>
      </c>
      <c r="U365" s="718">
        <v>343.93727888891527</v>
      </c>
      <c r="V365" s="718">
        <v>351.82746805051073</v>
      </c>
      <c r="W365" s="718">
        <v>360.73339056833169</v>
      </c>
      <c r="X365" s="718">
        <v>371.92375563686846</v>
      </c>
      <c r="Y365" s="718">
        <v>381.22301587849751</v>
      </c>
      <c r="Z365" s="718">
        <v>389.10731115707301</v>
      </c>
    </row>
    <row r="366" spans="1:70" ht="13.8" thickBot="1" x14ac:dyDescent="0.3">
      <c r="A366" s="716" t="s">
        <v>473</v>
      </c>
      <c r="B366" s="718">
        <v>549.81888270324475</v>
      </c>
      <c r="C366" s="718">
        <v>596.84759521484398</v>
      </c>
      <c r="D366" s="718">
        <v>708.90187629235277</v>
      </c>
      <c r="E366" s="718">
        <v>406.38667462869051</v>
      </c>
      <c r="F366" s="718">
        <v>447.16295305198071</v>
      </c>
      <c r="G366" s="718">
        <v>542.65678113398656</v>
      </c>
      <c r="H366" s="718">
        <v>604.00010341071868</v>
      </c>
      <c r="I366" s="718">
        <v>661.06483901631009</v>
      </c>
      <c r="J366" s="718">
        <v>714.35686387994281</v>
      </c>
      <c r="K366" s="718">
        <v>764.16924059162022</v>
      </c>
      <c r="L366" s="718">
        <v>805.13331786340132</v>
      </c>
      <c r="M366" s="718">
        <v>850.39970498506295</v>
      </c>
      <c r="N366" s="718">
        <v>892.06783074940802</v>
      </c>
      <c r="O366" s="718">
        <v>929.55049698437085</v>
      </c>
      <c r="P366" s="718">
        <v>964.20679928883487</v>
      </c>
      <c r="Q366" s="718">
        <v>990.06920191633094</v>
      </c>
      <c r="R366" s="718">
        <v>1016.1557534719609</v>
      </c>
      <c r="S366" s="718">
        <v>1054.8326731961108</v>
      </c>
      <c r="T366" s="718">
        <v>1091.2729592511287</v>
      </c>
      <c r="U366" s="718">
        <v>1118.0349113947391</v>
      </c>
      <c r="V366" s="718">
        <v>1161.085260138974</v>
      </c>
      <c r="W366" s="718">
        <v>1181.9301954596156</v>
      </c>
      <c r="X366" s="718">
        <v>1232.4560893451367</v>
      </c>
      <c r="Y366" s="718">
        <v>1290.1595195386233</v>
      </c>
      <c r="Z366" s="718">
        <v>1322.0136898683704</v>
      </c>
      <c r="AA366" s="260">
        <f>Z536+($AI$366-$Y$536)/10</f>
        <v>5.5334229650972304</v>
      </c>
      <c r="AB366" s="260">
        <f t="shared" ref="AB366:AH366" si="27">AA366+($AI$366-$Y$536)/10</f>
        <v>5.5639341150042458</v>
      </c>
      <c r="AC366" s="260">
        <f t="shared" si="27"/>
        <v>5.5944452649112613</v>
      </c>
      <c r="AD366" s="260">
        <f t="shared" si="27"/>
        <v>5.6249564148182767</v>
      </c>
      <c r="AE366" s="260">
        <f t="shared" si="27"/>
        <v>5.6554675647252921</v>
      </c>
      <c r="AF366" s="260">
        <f t="shared" si="27"/>
        <v>5.6859787146323075</v>
      </c>
      <c r="AG366" s="260">
        <f t="shared" si="27"/>
        <v>5.716489864539323</v>
      </c>
      <c r="AH366" s="260">
        <f t="shared" si="27"/>
        <v>5.7470010144463384</v>
      </c>
      <c r="AI366" s="261">
        <f>T536*$E$742</f>
        <v>5.7775121643533494</v>
      </c>
      <c r="AJ366" s="260">
        <f>AI366+($AX$366-$AI$366)/15</f>
        <v>5.8429093568498098</v>
      </c>
      <c r="AK366" s="260">
        <f t="shared" ref="AK366:AW366" si="28">AJ366+($AX$366-$AI$366)/15</f>
        <v>5.9083065493462703</v>
      </c>
      <c r="AL366" s="260">
        <f t="shared" si="28"/>
        <v>5.9737037418427308</v>
      </c>
      <c r="AM366" s="260">
        <f t="shared" si="28"/>
        <v>6.0391009343391913</v>
      </c>
      <c r="AN366" s="260">
        <f t="shared" si="28"/>
        <v>6.1044981268356517</v>
      </c>
      <c r="AO366" s="260">
        <f t="shared" si="28"/>
        <v>6.1698953193321122</v>
      </c>
      <c r="AP366" s="260">
        <f t="shared" si="28"/>
        <v>6.2352925118285727</v>
      </c>
      <c r="AQ366" s="260">
        <f t="shared" si="28"/>
        <v>6.3006897043250332</v>
      </c>
      <c r="AR366" s="260">
        <f t="shared" si="28"/>
        <v>6.3660868968214936</v>
      </c>
      <c r="AS366" s="260">
        <f t="shared" si="28"/>
        <v>6.4314840893179541</v>
      </c>
      <c r="AT366" s="260">
        <f t="shared" si="28"/>
        <v>6.4968812818144146</v>
      </c>
      <c r="AU366" s="260">
        <f t="shared" si="28"/>
        <v>6.5622784743108751</v>
      </c>
      <c r="AV366" s="260">
        <f t="shared" si="28"/>
        <v>6.6276756668073356</v>
      </c>
      <c r="AW366" s="260">
        <f t="shared" si="28"/>
        <v>6.693072859303796</v>
      </c>
      <c r="AX366" s="261">
        <f>AI366*$B$742</f>
        <v>6.7584700518002592</v>
      </c>
      <c r="AY366" s="260">
        <f>AX366+($BM$366-$AX$366)/15</f>
        <v>6.8253907547799981</v>
      </c>
      <c r="AZ366" s="260">
        <f t="shared" ref="AZ366:BL366" si="29">AY366+($BM$366-$AX$366)/15</f>
        <v>6.8923114577597371</v>
      </c>
      <c r="BA366" s="260">
        <f t="shared" si="29"/>
        <v>6.959232160739476</v>
      </c>
      <c r="BB366" s="260">
        <f t="shared" si="29"/>
        <v>7.026152863719215</v>
      </c>
      <c r="BC366" s="260">
        <f t="shared" si="29"/>
        <v>7.0930735666989539</v>
      </c>
      <c r="BD366" s="260">
        <f t="shared" si="29"/>
        <v>7.1599942696786929</v>
      </c>
      <c r="BE366" s="260">
        <f t="shared" si="29"/>
        <v>7.2269149726584319</v>
      </c>
      <c r="BF366" s="260">
        <f t="shared" si="29"/>
        <v>7.2938356756381708</v>
      </c>
      <c r="BG366" s="260">
        <f t="shared" si="29"/>
        <v>7.3607563786179098</v>
      </c>
      <c r="BH366" s="260">
        <f t="shared" si="29"/>
        <v>7.4276770815976487</v>
      </c>
      <c r="BI366" s="260">
        <f t="shared" si="29"/>
        <v>7.4945977845773877</v>
      </c>
      <c r="BJ366" s="260">
        <f t="shared" si="29"/>
        <v>7.5615184875571266</v>
      </c>
      <c r="BK366" s="260">
        <f t="shared" si="29"/>
        <v>7.6284391905368656</v>
      </c>
      <c r="BL366" s="260">
        <f t="shared" si="29"/>
        <v>7.6953598935166045</v>
      </c>
      <c r="BM366" s="261">
        <f>AX366*$C$742</f>
        <v>7.7622805964963462</v>
      </c>
      <c r="BN366" s="260">
        <f>BM366+($BR$366-$BM$366)/5</f>
        <v>7.8391407838260445</v>
      </c>
      <c r="BO366" s="260">
        <f>BN366+($BR$366-$BM$366)/5</f>
        <v>7.9160009711557429</v>
      </c>
      <c r="BP366" s="260">
        <f>BO366+($BR$366-$BM$366)/5</f>
        <v>7.9928611584854412</v>
      </c>
      <c r="BQ366" s="260">
        <f>BP366+($BR$366-$BM$366)/5</f>
        <v>8.0697213458151396</v>
      </c>
      <c r="BR366" s="261">
        <f>BM366*$D$742</f>
        <v>8.1465815331448379</v>
      </c>
    </row>
    <row r="367" spans="1:70" x14ac:dyDescent="0.25">
      <c r="A367" s="716" t="s">
        <v>502</v>
      </c>
      <c r="B367" s="718">
        <v>1151.0859678463546</v>
      </c>
      <c r="C367" s="718">
        <v>1235.02709960938</v>
      </c>
      <c r="D367" s="718">
        <v>1405.9186066996403</v>
      </c>
      <c r="E367" s="718">
        <v>993.73713091111074</v>
      </c>
      <c r="F367" s="718">
        <v>991.07514876947641</v>
      </c>
      <c r="G367" s="718">
        <v>1131.7003147881212</v>
      </c>
      <c r="H367" s="718">
        <v>1221.038560105055</v>
      </c>
      <c r="I367" s="718">
        <v>1307.1547250090439</v>
      </c>
      <c r="J367" s="718">
        <v>1389.9450601614428</v>
      </c>
      <c r="K367" s="718">
        <v>1469.7993497059265</v>
      </c>
      <c r="L367" s="718">
        <v>1544.0421618496678</v>
      </c>
      <c r="M367" s="718">
        <v>1624.4209976542634</v>
      </c>
      <c r="N367" s="718">
        <v>1703.8854780296228</v>
      </c>
      <c r="O367" s="718">
        <v>1776.9868521708881</v>
      </c>
      <c r="P367" s="718">
        <v>1854.0622550605767</v>
      </c>
      <c r="Q367" s="718">
        <v>1917.5679054742993</v>
      </c>
      <c r="R367" s="718">
        <v>1978.3954213642144</v>
      </c>
      <c r="S367" s="718">
        <v>2044.5889248527621</v>
      </c>
      <c r="T367" s="718">
        <v>2112.8417777408945</v>
      </c>
      <c r="U367" s="718">
        <v>2163.9271994062915</v>
      </c>
      <c r="V367" s="718">
        <v>2241.4031618089139</v>
      </c>
      <c r="W367" s="718">
        <v>2303.558949985179</v>
      </c>
      <c r="X367" s="718">
        <v>2401.4612280803153</v>
      </c>
      <c r="Y367" s="718">
        <v>2501.5410135735665</v>
      </c>
      <c r="Z367" s="718">
        <v>2576.2560875804752</v>
      </c>
    </row>
    <row r="368" spans="1:70" ht="13.8" thickBot="1" x14ac:dyDescent="0.3">
      <c r="A368" s="716" t="s">
        <v>614</v>
      </c>
      <c r="B368" s="718">
        <v>3.1288517293273019E-2</v>
      </c>
      <c r="C368" s="718">
        <v>4.0145620703697205E-2</v>
      </c>
      <c r="D368" s="718">
        <v>3.8515830891447944E-2</v>
      </c>
      <c r="E368" s="718">
        <v>2.6303627333810531E-2</v>
      </c>
      <c r="F368" s="718">
        <v>5.6047443014104255E-2</v>
      </c>
      <c r="G368" s="718">
        <v>7.1119337023784479E-2</v>
      </c>
      <c r="H368" s="718">
        <v>8.8428224145552056E-2</v>
      </c>
      <c r="I368" s="718">
        <v>0.10266115711707489</v>
      </c>
      <c r="J368" s="718">
        <v>0.12491143634290662</v>
      </c>
      <c r="K368" s="718">
        <v>2.2293869286864165</v>
      </c>
      <c r="L368" s="718">
        <v>5.6123954184121017</v>
      </c>
      <c r="M368" s="718">
        <v>7.9566359351664051</v>
      </c>
      <c r="N368" s="718">
        <v>12.724991751969894</v>
      </c>
      <c r="O368" s="718">
        <v>19.495647700796784</v>
      </c>
      <c r="P368" s="718">
        <v>28.06371652814466</v>
      </c>
      <c r="Q368" s="718">
        <v>33.841758141316177</v>
      </c>
      <c r="R368" s="718">
        <v>47.452021910622882</v>
      </c>
      <c r="S368" s="718">
        <v>48.667640008057987</v>
      </c>
      <c r="T368" s="718">
        <v>47.767774332439714</v>
      </c>
      <c r="U368" s="718">
        <v>50.842459413568172</v>
      </c>
      <c r="V368" s="718">
        <v>54.12672288853372</v>
      </c>
      <c r="W368" s="718">
        <v>67.349033728123644</v>
      </c>
      <c r="X368" s="718">
        <v>72.870357898145016</v>
      </c>
      <c r="Y368" s="718">
        <v>82.472655922369356</v>
      </c>
      <c r="Z368" s="718">
        <v>85.74303480046683</v>
      </c>
    </row>
    <row r="369" spans="1:70" ht="13.8" thickBot="1" x14ac:dyDescent="0.3">
      <c r="A369" s="716" t="s">
        <v>504</v>
      </c>
      <c r="B369" s="718">
        <v>1151.1172301979784</v>
      </c>
      <c r="C369" s="718">
        <v>1235.06726074219</v>
      </c>
      <c r="D369" s="718">
        <v>1405.957155546361</v>
      </c>
      <c r="E369" s="718">
        <v>993.76346133595302</v>
      </c>
      <c r="F369" s="718">
        <v>991.13120249830877</v>
      </c>
      <c r="G369" s="718">
        <v>1131.7714475332546</v>
      </c>
      <c r="H369" s="718">
        <v>1221.1269368042056</v>
      </c>
      <c r="I369" s="718">
        <v>1307.2573637523753</v>
      </c>
      <c r="J369" s="718">
        <v>1390.0699789505047</v>
      </c>
      <c r="K369" s="718">
        <v>1472.0286986549243</v>
      </c>
      <c r="L369" s="718">
        <v>1549.6545225531884</v>
      </c>
      <c r="M369" s="718">
        <v>1632.3776685401217</v>
      </c>
      <c r="N369" s="718">
        <v>1716.6105344121597</v>
      </c>
      <c r="O369" s="718">
        <v>1796.4824632434897</v>
      </c>
      <c r="P369" s="718">
        <v>1882.1259667447755</v>
      </c>
      <c r="Q369" s="718">
        <v>1951.4096785174786</v>
      </c>
      <c r="R369" s="718">
        <v>2025.8475094892897</v>
      </c>
      <c r="S369" s="718">
        <v>2093.2565961526161</v>
      </c>
      <c r="T369" s="718">
        <v>2160.609578738799</v>
      </c>
      <c r="U369" s="718">
        <v>2214.7697023873047</v>
      </c>
      <c r="V369" s="718">
        <v>2295.5298624598372</v>
      </c>
      <c r="W369" s="718">
        <v>2370.9079156203875</v>
      </c>
      <c r="X369" s="718">
        <v>2474.3315685955818</v>
      </c>
      <c r="Y369" s="718">
        <v>2584.0136458368329</v>
      </c>
      <c r="Z369" s="718">
        <v>2661.9990499371279</v>
      </c>
      <c r="AA369" s="262">
        <f>Z539+($AI$369-$Y$539)/10</f>
        <v>15.611683809514826</v>
      </c>
      <c r="AB369" s="262">
        <f t="shared" ref="AB369:AH369" si="30">AA369+($AI$369-$Y$539)/10</f>
        <v>15.541748469704389</v>
      </c>
      <c r="AC369" s="262">
        <f t="shared" si="30"/>
        <v>15.471813129893953</v>
      </c>
      <c r="AD369" s="262">
        <f t="shared" si="30"/>
        <v>15.401877790083516</v>
      </c>
      <c r="AE369" s="262">
        <f t="shared" si="30"/>
        <v>15.331942450273079</v>
      </c>
      <c r="AF369" s="262">
        <f t="shared" si="30"/>
        <v>15.262007110462642</v>
      </c>
      <c r="AG369" s="262">
        <f t="shared" si="30"/>
        <v>15.192071770652205</v>
      </c>
      <c r="AH369" s="262">
        <f t="shared" si="30"/>
        <v>15.122136430841769</v>
      </c>
      <c r="AI369" s="263">
        <f>T539*$E$745</f>
        <v>15.052201091031337</v>
      </c>
      <c r="AJ369" s="262">
        <f>AI369+($AX$369-$AI$369)/15</f>
        <v>15.046283758755285</v>
      </c>
      <c r="AK369" s="262">
        <f t="shared" ref="AK369:AW369" si="31">AJ369+($AX$369-$AI$369)/15</f>
        <v>15.040366426479233</v>
      </c>
      <c r="AL369" s="262">
        <f t="shared" si="31"/>
        <v>15.034449094203181</v>
      </c>
      <c r="AM369" s="262">
        <f t="shared" si="31"/>
        <v>15.028531761927129</v>
      </c>
      <c r="AN369" s="262">
        <f t="shared" si="31"/>
        <v>15.022614429651076</v>
      </c>
      <c r="AO369" s="262">
        <f t="shared" si="31"/>
        <v>15.016697097375024</v>
      </c>
      <c r="AP369" s="262">
        <f t="shared" si="31"/>
        <v>15.010779765098972</v>
      </c>
      <c r="AQ369" s="262">
        <f t="shared" si="31"/>
        <v>15.00486243282292</v>
      </c>
      <c r="AR369" s="262">
        <f t="shared" si="31"/>
        <v>14.998945100546868</v>
      </c>
      <c r="AS369" s="262">
        <f t="shared" si="31"/>
        <v>14.993027768270816</v>
      </c>
      <c r="AT369" s="262">
        <f t="shared" si="31"/>
        <v>14.987110435994763</v>
      </c>
      <c r="AU369" s="262">
        <f t="shared" si="31"/>
        <v>14.981193103718711</v>
      </c>
      <c r="AV369" s="262">
        <f t="shared" si="31"/>
        <v>14.975275771442659</v>
      </c>
      <c r="AW369" s="262">
        <f t="shared" si="31"/>
        <v>14.969358439166607</v>
      </c>
      <c r="AX369" s="263">
        <f>AI369*$B$745</f>
        <v>14.963441106890555</v>
      </c>
      <c r="AY369" s="262">
        <f>AX369+($BM$369-$AX$369)/15</f>
        <v>14.972946595029557</v>
      </c>
      <c r="AZ369" s="262">
        <f t="shared" ref="AZ369:BL369" si="32">AY369+($BM$369-$AX$369)/15</f>
        <v>14.982452083168559</v>
      </c>
      <c r="BA369" s="262">
        <f t="shared" si="32"/>
        <v>14.991957571307561</v>
      </c>
      <c r="BB369" s="262">
        <f t="shared" si="32"/>
        <v>15.001463059446563</v>
      </c>
      <c r="BC369" s="262">
        <f t="shared" si="32"/>
        <v>15.010968547585565</v>
      </c>
      <c r="BD369" s="262">
        <f t="shared" si="32"/>
        <v>15.020474035724567</v>
      </c>
      <c r="BE369" s="262">
        <f t="shared" si="32"/>
        <v>15.029979523863569</v>
      </c>
      <c r="BF369" s="262">
        <f t="shared" si="32"/>
        <v>15.03948501200257</v>
      </c>
      <c r="BG369" s="262">
        <f t="shared" si="32"/>
        <v>15.048990500141572</v>
      </c>
      <c r="BH369" s="262">
        <f t="shared" si="32"/>
        <v>15.058495988280574</v>
      </c>
      <c r="BI369" s="262">
        <f t="shared" si="32"/>
        <v>15.068001476419576</v>
      </c>
      <c r="BJ369" s="262">
        <f t="shared" si="32"/>
        <v>15.077506964558578</v>
      </c>
      <c r="BK369" s="262">
        <f t="shared" si="32"/>
        <v>15.08701245269758</v>
      </c>
      <c r="BL369" s="262">
        <f t="shared" si="32"/>
        <v>15.096517940836582</v>
      </c>
      <c r="BM369" s="263">
        <f>AX369*$C$745</f>
        <v>15.106023428975591</v>
      </c>
      <c r="BN369" s="262">
        <f>BM369+($BR$369-$BM$369)/5</f>
        <v>15.115619492174282</v>
      </c>
      <c r="BO369" s="262">
        <f>BN369+($BR$369-$BM$369)/5</f>
        <v>15.125215555372973</v>
      </c>
      <c r="BP369" s="262">
        <f>BO369+($BR$369-$BM$369)/5</f>
        <v>15.134811618571664</v>
      </c>
      <c r="BQ369" s="262">
        <f>BP369+($BR$369-$BM$369)/5</f>
        <v>15.144407681770355</v>
      </c>
      <c r="BR369" s="263">
        <f>BM369*$D$745</f>
        <v>15.154003744969049</v>
      </c>
    </row>
    <row r="373" spans="1:70" ht="13.8" thickBot="1" x14ac:dyDescent="0.3">
      <c r="A373" s="716" t="s">
        <v>615</v>
      </c>
    </row>
    <row r="374" spans="1:70" ht="13.8" thickBot="1" x14ac:dyDescent="0.3">
      <c r="A374" s="716" t="s">
        <v>616</v>
      </c>
      <c r="AA374" s="264">
        <f>Z544+($AI$374-$Y$544)/10</f>
        <v>11.584123362673006</v>
      </c>
      <c r="AB374" s="264">
        <f t="shared" ref="AB374:AH374" si="33">AA374+($AI$374-$Y$544)/10</f>
        <v>11.952852829654059</v>
      </c>
      <c r="AC374" s="264">
        <f t="shared" si="33"/>
        <v>12.321582296635112</v>
      </c>
      <c r="AD374" s="264">
        <f t="shared" si="33"/>
        <v>12.690311763616165</v>
      </c>
      <c r="AE374" s="264">
        <f t="shared" si="33"/>
        <v>13.059041230597218</v>
      </c>
      <c r="AF374" s="264">
        <f t="shared" si="33"/>
        <v>13.427770697578271</v>
      </c>
      <c r="AG374" s="264">
        <f t="shared" si="33"/>
        <v>13.796500164559324</v>
      </c>
      <c r="AH374" s="264">
        <f t="shared" si="33"/>
        <v>14.165229631540377</v>
      </c>
      <c r="AI374" s="265">
        <f>T544*$E$744</f>
        <v>14.533959098521429</v>
      </c>
      <c r="AJ374" s="264">
        <f>AI374+($AX$374-$AI$374)/15</f>
        <v>14.687791105011014</v>
      </c>
      <c r="AK374" s="264">
        <f t="shared" ref="AK374:AW374" si="34">AJ374+($AX$374-$AI$374)/15</f>
        <v>14.841623111500599</v>
      </c>
      <c r="AL374" s="264">
        <f t="shared" si="34"/>
        <v>14.995455117990184</v>
      </c>
      <c r="AM374" s="264">
        <f t="shared" si="34"/>
        <v>15.14928712447977</v>
      </c>
      <c r="AN374" s="264">
        <f t="shared" si="34"/>
        <v>15.303119130969355</v>
      </c>
      <c r="AO374" s="264">
        <f t="shared" si="34"/>
        <v>15.45695113745894</v>
      </c>
      <c r="AP374" s="264">
        <f t="shared" si="34"/>
        <v>15.610783143948526</v>
      </c>
      <c r="AQ374" s="264">
        <f t="shared" si="34"/>
        <v>15.764615150438111</v>
      </c>
      <c r="AR374" s="264">
        <f t="shared" si="34"/>
        <v>15.918447156927696</v>
      </c>
      <c r="AS374" s="264">
        <f t="shared" si="34"/>
        <v>16.072279163417281</v>
      </c>
      <c r="AT374" s="264">
        <f t="shared" si="34"/>
        <v>16.226111169906865</v>
      </c>
      <c r="AU374" s="264">
        <f t="shared" si="34"/>
        <v>16.379943176396448</v>
      </c>
      <c r="AV374" s="264">
        <f t="shared" si="34"/>
        <v>16.533775182886032</v>
      </c>
      <c r="AW374" s="264">
        <f t="shared" si="34"/>
        <v>16.687607189375615</v>
      </c>
      <c r="AX374" s="265">
        <f>AI374*$B$744</f>
        <v>16.841439195865195</v>
      </c>
      <c r="AY374" s="264">
        <f>AX374+($BM$374-$AX$374)/15</f>
        <v>16.937333989857837</v>
      </c>
      <c r="AZ374" s="264">
        <f t="shared" ref="AZ374:BL374" si="35">AY374+($BM$374-$AX$374)/15</f>
        <v>17.033228783850479</v>
      </c>
      <c r="BA374" s="264">
        <f t="shared" si="35"/>
        <v>17.129123577843121</v>
      </c>
      <c r="BB374" s="264">
        <f t="shared" si="35"/>
        <v>17.225018371835763</v>
      </c>
      <c r="BC374" s="264">
        <f t="shared" si="35"/>
        <v>17.320913165828404</v>
      </c>
      <c r="BD374" s="264">
        <f t="shared" si="35"/>
        <v>17.416807959821046</v>
      </c>
      <c r="BE374" s="264">
        <f t="shared" si="35"/>
        <v>17.512702753813688</v>
      </c>
      <c r="BF374" s="264">
        <f t="shared" si="35"/>
        <v>17.60859754780633</v>
      </c>
      <c r="BG374" s="264">
        <f t="shared" si="35"/>
        <v>17.704492341798971</v>
      </c>
      <c r="BH374" s="264">
        <f t="shared" si="35"/>
        <v>17.800387135791613</v>
      </c>
      <c r="BI374" s="264">
        <f t="shared" si="35"/>
        <v>17.896281929784255</v>
      </c>
      <c r="BJ374" s="264">
        <f t="shared" si="35"/>
        <v>17.992176723776897</v>
      </c>
      <c r="BK374" s="264">
        <f t="shared" si="35"/>
        <v>18.088071517769539</v>
      </c>
      <c r="BL374" s="264">
        <f t="shared" si="35"/>
        <v>18.18396631176218</v>
      </c>
      <c r="BM374" s="265">
        <f>AX374*$C$744</f>
        <v>18.27986110575484</v>
      </c>
      <c r="BN374" s="264">
        <f>BM374+($BR$374-$BM$374)/5</f>
        <v>18.383946243287554</v>
      </c>
      <c r="BO374" s="264">
        <f>BN374+($BR$374-$BM$374)/5</f>
        <v>18.488031380820267</v>
      </c>
      <c r="BP374" s="264">
        <f>BO374+($BR$374-$BM$374)/5</f>
        <v>18.592116518352981</v>
      </c>
      <c r="BQ374" s="264">
        <f>BP374+($BR$374-$BM$374)/5</f>
        <v>18.696201655885694</v>
      </c>
      <c r="BR374" s="265">
        <f>BM374*$D$744</f>
        <v>18.800286793418415</v>
      </c>
    </row>
    <row r="375" spans="1:70" ht="13.8" thickBot="1" x14ac:dyDescent="0.3">
      <c r="A375" s="716" t="s">
        <v>617</v>
      </c>
    </row>
    <row r="376" spans="1:70" ht="13.8" thickBot="1" x14ac:dyDescent="0.3">
      <c r="A376" s="716" t="s">
        <v>713</v>
      </c>
      <c r="AA376" s="264">
        <f>Z546+($AI$376-$Y$546)/10</f>
        <v>13.665763245709009</v>
      </c>
      <c r="AB376" s="264">
        <f t="shared" ref="AB376:AH376" si="36">AA376+($AI$376-$Y$546)/10</f>
        <v>14.091688195895063</v>
      </c>
      <c r="AC376" s="264">
        <f t="shared" si="36"/>
        <v>14.517613146081118</v>
      </c>
      <c r="AD376" s="264">
        <f t="shared" si="36"/>
        <v>14.943538096267172</v>
      </c>
      <c r="AE376" s="264">
        <f t="shared" si="36"/>
        <v>15.369463046453227</v>
      </c>
      <c r="AF376" s="264">
        <f t="shared" si="36"/>
        <v>15.795387996639281</v>
      </c>
      <c r="AG376" s="264">
        <f t="shared" si="36"/>
        <v>16.221312946825336</v>
      </c>
      <c r="AH376" s="264">
        <f t="shared" si="36"/>
        <v>16.64723789701139</v>
      </c>
      <c r="AI376" s="265">
        <f>T546*$E$744</f>
        <v>17.073162847197445</v>
      </c>
      <c r="AJ376" s="264">
        <f>AI376+($AX$376-$AI$376)/15</f>
        <v>17.253870586919582</v>
      </c>
      <c r="AK376" s="264">
        <f t="shared" ref="AK376:AW376" si="37">AJ376+($AX$376-$AI$376)/15</f>
        <v>17.43457832664172</v>
      </c>
      <c r="AL376" s="264">
        <f t="shared" si="37"/>
        <v>17.615286066363858</v>
      </c>
      <c r="AM376" s="264">
        <f t="shared" si="37"/>
        <v>17.795993806085995</v>
      </c>
      <c r="AN376" s="264">
        <f t="shared" si="37"/>
        <v>17.976701545808133</v>
      </c>
      <c r="AO376" s="264">
        <f t="shared" si="37"/>
        <v>18.157409285530271</v>
      </c>
      <c r="AP376" s="264">
        <f t="shared" si="37"/>
        <v>18.338117025252409</v>
      </c>
      <c r="AQ376" s="264">
        <f t="shared" si="37"/>
        <v>18.518824764974546</v>
      </c>
      <c r="AR376" s="264">
        <f t="shared" si="37"/>
        <v>18.699532504696684</v>
      </c>
      <c r="AS376" s="264">
        <f t="shared" si="37"/>
        <v>18.880240244418822</v>
      </c>
      <c r="AT376" s="264">
        <f t="shared" si="37"/>
        <v>19.060947984140959</v>
      </c>
      <c r="AU376" s="264">
        <f t="shared" si="37"/>
        <v>19.241655723863097</v>
      </c>
      <c r="AV376" s="264">
        <f t="shared" si="37"/>
        <v>19.422363463585235</v>
      </c>
      <c r="AW376" s="264">
        <f t="shared" si="37"/>
        <v>19.603071203307373</v>
      </c>
      <c r="AX376" s="265">
        <f>AI376*$B$744</f>
        <v>19.783778943029514</v>
      </c>
      <c r="AY376" s="264">
        <f>AX376+($BM$376-$AX$376)/15</f>
        <v>19.896427356509733</v>
      </c>
      <c r="AZ376" s="264">
        <f t="shared" ref="AZ376:BL376" si="38">AY376+($BM$376-$AX$376)/15</f>
        <v>20.009075769989952</v>
      </c>
      <c r="BA376" s="264">
        <f t="shared" si="38"/>
        <v>20.121724183470171</v>
      </c>
      <c r="BB376" s="264">
        <f t="shared" si="38"/>
        <v>20.23437259695039</v>
      </c>
      <c r="BC376" s="264">
        <f t="shared" si="38"/>
        <v>20.347021010430609</v>
      </c>
      <c r="BD376" s="264">
        <f t="shared" si="38"/>
        <v>20.459669423910828</v>
      </c>
      <c r="BE376" s="264">
        <f t="shared" si="38"/>
        <v>20.572317837391047</v>
      </c>
      <c r="BF376" s="264">
        <f t="shared" si="38"/>
        <v>20.684966250871266</v>
      </c>
      <c r="BG376" s="264">
        <f t="shared" si="38"/>
        <v>20.797614664351485</v>
      </c>
      <c r="BH376" s="264">
        <f t="shared" si="38"/>
        <v>20.910263077831704</v>
      </c>
      <c r="BI376" s="264">
        <f t="shared" si="38"/>
        <v>21.022911491311923</v>
      </c>
      <c r="BJ376" s="264">
        <f t="shared" si="38"/>
        <v>21.135559904792142</v>
      </c>
      <c r="BK376" s="264">
        <f t="shared" si="38"/>
        <v>21.248208318272361</v>
      </c>
      <c r="BL376" s="264">
        <f t="shared" si="38"/>
        <v>21.36085673175258</v>
      </c>
      <c r="BM376" s="265">
        <f>AX376*$C$744</f>
        <v>21.47350514523281</v>
      </c>
      <c r="BN376" s="264">
        <f>BM376+($BR$376-$BM$376)/5</f>
        <v>21.595774823509927</v>
      </c>
      <c r="BO376" s="264">
        <f>BN376+($BR$376-$BM$376)/5</f>
        <v>21.718044501787045</v>
      </c>
      <c r="BP376" s="264">
        <f>BO376+($BR$376-$BM$376)/5</f>
        <v>21.840314180064162</v>
      </c>
      <c r="BQ376" s="264">
        <f>BP376+($BR$376-$BM$376)/5</f>
        <v>21.962583858341279</v>
      </c>
      <c r="BR376" s="265">
        <f>BM376*$D$744</f>
        <v>22.084853536618393</v>
      </c>
    </row>
    <row r="377" spans="1:70" x14ac:dyDescent="0.25">
      <c r="A377" s="716" t="s">
        <v>714</v>
      </c>
    </row>
    <row r="378" spans="1:70" x14ac:dyDescent="0.25">
      <c r="A378" s="716" t="s">
        <v>634</v>
      </c>
    </row>
    <row r="379" spans="1:70" ht="13.8" thickBot="1" x14ac:dyDescent="0.3">
      <c r="A379" s="716" t="s">
        <v>635</v>
      </c>
    </row>
    <row r="380" spans="1:70" ht="13.8" thickBot="1" x14ac:dyDescent="0.3">
      <c r="A380" s="716" t="s">
        <v>636</v>
      </c>
      <c r="AA380" s="266">
        <f>Z550+($AI$380-$Y$550)/10</f>
        <v>17.944433063730909</v>
      </c>
      <c r="AB380" s="266">
        <f t="shared" ref="AB380:AH380" si="39">AA380+($AI$380-$Y$550)/10</f>
        <v>17.852387205459664</v>
      </c>
      <c r="AC380" s="266">
        <f t="shared" si="39"/>
        <v>17.760341347188419</v>
      </c>
      <c r="AD380" s="266">
        <f t="shared" si="39"/>
        <v>17.668295488917174</v>
      </c>
      <c r="AE380" s="266">
        <f t="shared" si="39"/>
        <v>17.576249630645929</v>
      </c>
      <c r="AF380" s="266">
        <f t="shared" si="39"/>
        <v>17.484203772374684</v>
      </c>
      <c r="AG380" s="266">
        <f t="shared" si="39"/>
        <v>17.392157914103439</v>
      </c>
      <c r="AH380" s="266">
        <f t="shared" si="39"/>
        <v>17.300112055832194</v>
      </c>
      <c r="AI380" s="267">
        <f>T550*$E$747</f>
        <v>17.208066197560942</v>
      </c>
      <c r="AJ380" s="266">
        <f>AI380+($AX$380-$AI$380)/15</f>
        <v>17.219509839491277</v>
      </c>
      <c r="AK380" s="266">
        <f t="shared" ref="AK380:AW380" si="40">AJ380+($AX$380-$AI$380)/15</f>
        <v>17.230953481421611</v>
      </c>
      <c r="AL380" s="266">
        <f t="shared" si="40"/>
        <v>17.242397123351946</v>
      </c>
      <c r="AM380" s="266">
        <f t="shared" si="40"/>
        <v>17.253840765282281</v>
      </c>
      <c r="AN380" s="266">
        <f t="shared" si="40"/>
        <v>17.265284407212615</v>
      </c>
      <c r="AO380" s="266">
        <f t="shared" si="40"/>
        <v>17.27672804914295</v>
      </c>
      <c r="AP380" s="266">
        <f t="shared" si="40"/>
        <v>17.288171691073284</v>
      </c>
      <c r="AQ380" s="266">
        <f t="shared" si="40"/>
        <v>17.299615333003619</v>
      </c>
      <c r="AR380" s="266">
        <f t="shared" si="40"/>
        <v>17.311058974933953</v>
      </c>
      <c r="AS380" s="266">
        <f t="shared" si="40"/>
        <v>17.322502616864288</v>
      </c>
      <c r="AT380" s="266">
        <f t="shared" si="40"/>
        <v>17.333946258794622</v>
      </c>
      <c r="AU380" s="266">
        <f t="shared" si="40"/>
        <v>17.345389900724957</v>
      </c>
      <c r="AV380" s="266">
        <f t="shared" si="40"/>
        <v>17.356833542655291</v>
      </c>
      <c r="AW380" s="266">
        <f t="shared" si="40"/>
        <v>17.368277184585626</v>
      </c>
      <c r="AX380" s="267">
        <f>AI380*$B$747</f>
        <v>17.379720826515971</v>
      </c>
      <c r="AY380" s="266">
        <f>AX380+($BM$380-$AX$380)/15</f>
        <v>17.385626979648983</v>
      </c>
      <c r="AZ380" s="266">
        <f t="shared" ref="AZ380:BL380" si="41">AY380+($BM$380-$AX$380)/15</f>
        <v>17.391533132781994</v>
      </c>
      <c r="BA380" s="266">
        <f t="shared" si="41"/>
        <v>17.397439285915006</v>
      </c>
      <c r="BB380" s="266">
        <f t="shared" si="41"/>
        <v>17.403345439048017</v>
      </c>
      <c r="BC380" s="266">
        <f t="shared" si="41"/>
        <v>17.409251592181029</v>
      </c>
      <c r="BD380" s="266">
        <f t="shared" si="41"/>
        <v>17.41515774531404</v>
      </c>
      <c r="BE380" s="266">
        <f t="shared" si="41"/>
        <v>17.421063898447052</v>
      </c>
      <c r="BF380" s="266">
        <f t="shared" si="41"/>
        <v>17.426970051580064</v>
      </c>
      <c r="BG380" s="266">
        <f t="shared" si="41"/>
        <v>17.432876204713075</v>
      </c>
      <c r="BH380" s="266">
        <f t="shared" si="41"/>
        <v>17.438782357846087</v>
      </c>
      <c r="BI380" s="266">
        <f t="shared" si="41"/>
        <v>17.444688510979098</v>
      </c>
      <c r="BJ380" s="266">
        <f t="shared" si="41"/>
        <v>17.45059466411211</v>
      </c>
      <c r="BK380" s="266">
        <f t="shared" si="41"/>
        <v>17.456500817245121</v>
      </c>
      <c r="BL380" s="266">
        <f t="shared" si="41"/>
        <v>17.462406970378133</v>
      </c>
      <c r="BM380" s="267">
        <f>AX380*$C$747</f>
        <v>17.468313123511169</v>
      </c>
      <c r="BN380" s="266">
        <f>BM380+($BR$380-$BM$380)/5</f>
        <v>17.474249382977746</v>
      </c>
      <c r="BO380" s="266">
        <f>BN380+($BR$380-$BM$380)/5</f>
        <v>17.480185642444322</v>
      </c>
      <c r="BP380" s="266">
        <f>BO380+($BR$380-$BM$380)/5</f>
        <v>17.486121901910899</v>
      </c>
      <c r="BQ380" s="266">
        <f>BP380+($BR$380-$BM$380)/5</f>
        <v>17.492058161377475</v>
      </c>
      <c r="BR380" s="267">
        <f>BM380*$D$747</f>
        <v>17.497994420844059</v>
      </c>
    </row>
    <row r="381" spans="1:70" x14ac:dyDescent="0.25">
      <c r="A381" s="716" t="s">
        <v>637</v>
      </c>
    </row>
    <row r="382" spans="1:70" x14ac:dyDescent="0.25">
      <c r="A382" s="716" t="s">
        <v>638</v>
      </c>
    </row>
    <row r="383" spans="1:70" x14ac:dyDescent="0.25">
      <c r="A383" s="716" t="s">
        <v>639</v>
      </c>
    </row>
    <row r="384" spans="1:70" x14ac:dyDescent="0.25">
      <c r="A384" s="716" t="s">
        <v>531</v>
      </c>
    </row>
    <row r="385" spans="1:70" x14ac:dyDescent="0.25">
      <c r="A385" s="716" t="s">
        <v>715</v>
      </c>
    </row>
    <row r="386" spans="1:70" x14ac:dyDescent="0.25">
      <c r="A386" s="716" t="s">
        <v>716</v>
      </c>
    </row>
    <row r="387" spans="1:70" x14ac:dyDescent="0.25">
      <c r="A387" s="716" t="s">
        <v>717</v>
      </c>
    </row>
    <row r="388" spans="1:70" x14ac:dyDescent="0.25">
      <c r="A388" s="716" t="s">
        <v>718</v>
      </c>
    </row>
    <row r="389" spans="1:70" x14ac:dyDescent="0.25">
      <c r="A389" s="716" t="s">
        <v>719</v>
      </c>
    </row>
    <row r="390" spans="1:70" x14ac:dyDescent="0.25">
      <c r="A390" s="716" t="s">
        <v>720</v>
      </c>
    </row>
    <row r="391" spans="1:70" ht="13.8" thickBot="1" x14ac:dyDescent="0.3">
      <c r="A391" s="716" t="s">
        <v>721</v>
      </c>
    </row>
    <row r="392" spans="1:70" ht="13.8" thickBot="1" x14ac:dyDescent="0.3">
      <c r="A392" s="716" t="s">
        <v>722</v>
      </c>
      <c r="AA392" s="260">
        <f>Z562+($AI$392-$Y$562)/10</f>
        <v>5.5024940130181221</v>
      </c>
      <c r="AB392" s="260">
        <f t="shared" ref="AB392:AH392" si="42">AA392+($AI$392-$Y$562)/10</f>
        <v>5.5327298577229831</v>
      </c>
      <c r="AC392" s="260">
        <f t="shared" si="42"/>
        <v>5.5629657024278441</v>
      </c>
      <c r="AD392" s="260">
        <f t="shared" si="42"/>
        <v>5.593201547132705</v>
      </c>
      <c r="AE392" s="260">
        <f t="shared" si="42"/>
        <v>5.623437391837566</v>
      </c>
      <c r="AF392" s="260">
        <f t="shared" si="42"/>
        <v>5.6536732365424269</v>
      </c>
      <c r="AG392" s="260">
        <f t="shared" si="42"/>
        <v>5.6839090812472879</v>
      </c>
      <c r="AH392" s="260">
        <f t="shared" si="42"/>
        <v>5.7141449259521488</v>
      </c>
      <c r="AI392" s="261">
        <f>T562*$E$742</f>
        <v>5.7443807706570116</v>
      </c>
      <c r="AJ392" s="260">
        <f>AI392+($AX$392-$AI$392)/15</f>
        <v>5.809402940121136</v>
      </c>
      <c r="AK392" s="260">
        <f t="shared" ref="AK392:AW392" si="43">AJ392+($AX$392-$AI$392)/15</f>
        <v>5.8744251095852604</v>
      </c>
      <c r="AL392" s="260">
        <f t="shared" si="43"/>
        <v>5.9394472790493849</v>
      </c>
      <c r="AM392" s="260">
        <f t="shared" si="43"/>
        <v>6.0044694485135093</v>
      </c>
      <c r="AN392" s="260">
        <f t="shared" si="43"/>
        <v>6.0694916179776337</v>
      </c>
      <c r="AO392" s="260">
        <f t="shared" si="43"/>
        <v>6.1345137874417581</v>
      </c>
      <c r="AP392" s="260">
        <f t="shared" si="43"/>
        <v>6.1995359569058825</v>
      </c>
      <c r="AQ392" s="260">
        <f t="shared" si="43"/>
        <v>6.264558126370007</v>
      </c>
      <c r="AR392" s="260">
        <f t="shared" si="43"/>
        <v>6.3295802958341314</v>
      </c>
      <c r="AS392" s="260">
        <f t="shared" si="43"/>
        <v>6.3946024652982558</v>
      </c>
      <c r="AT392" s="260">
        <f t="shared" si="43"/>
        <v>6.4596246347623802</v>
      </c>
      <c r="AU392" s="260">
        <f t="shared" si="43"/>
        <v>6.5246468042265047</v>
      </c>
      <c r="AV392" s="260">
        <f t="shared" si="43"/>
        <v>6.5896689736906291</v>
      </c>
      <c r="AW392" s="260">
        <f t="shared" si="43"/>
        <v>6.6546911431547535</v>
      </c>
      <c r="AX392" s="261">
        <f>AI392*$B$742</f>
        <v>6.7197133126188779</v>
      </c>
      <c r="AY392" s="260">
        <f>AX392+($BM$392-$AX$392)/15</f>
        <v>6.7862502559294402</v>
      </c>
      <c r="AZ392" s="260">
        <f t="shared" ref="AZ392:BL392" si="44">AY392+($BM$392-$AX$392)/15</f>
        <v>6.8527871992400025</v>
      </c>
      <c r="BA392" s="260">
        <f t="shared" si="44"/>
        <v>6.9193241425505647</v>
      </c>
      <c r="BB392" s="260">
        <f t="shared" si="44"/>
        <v>6.985861085861127</v>
      </c>
      <c r="BC392" s="260">
        <f t="shared" si="44"/>
        <v>7.0523980291716892</v>
      </c>
      <c r="BD392" s="260">
        <f t="shared" si="44"/>
        <v>7.1189349724822515</v>
      </c>
      <c r="BE392" s="260">
        <f t="shared" si="44"/>
        <v>7.1854719157928137</v>
      </c>
      <c r="BF392" s="260">
        <f t="shared" si="44"/>
        <v>7.252008859103376</v>
      </c>
      <c r="BG392" s="260">
        <f t="shared" si="44"/>
        <v>7.3185458024139383</v>
      </c>
      <c r="BH392" s="260">
        <f t="shared" si="44"/>
        <v>7.3850827457245005</v>
      </c>
      <c r="BI392" s="260">
        <f t="shared" si="44"/>
        <v>7.4516196890350628</v>
      </c>
      <c r="BJ392" s="260">
        <f t="shared" si="44"/>
        <v>7.518156632345625</v>
      </c>
      <c r="BK392" s="260">
        <f t="shared" si="44"/>
        <v>7.5846935756561873</v>
      </c>
      <c r="BL392" s="260">
        <f t="shared" si="44"/>
        <v>7.6512305189667495</v>
      </c>
      <c r="BM392" s="261">
        <f>AX392*$C$742</f>
        <v>7.7177674622773127</v>
      </c>
      <c r="BN392" s="260">
        <f>BM392+($BR$392-$BM$392)/5</f>
        <v>7.7941868915344088</v>
      </c>
      <c r="BO392" s="260">
        <f>BN392+($BR$392-$BM$392)/5</f>
        <v>7.8706063207915049</v>
      </c>
      <c r="BP392" s="260">
        <f>BO392+($BR$392-$BM$392)/5</f>
        <v>7.947025750048601</v>
      </c>
      <c r="BQ392" s="260">
        <f>BP392+($BR$392-$BM$392)/5</f>
        <v>8.023445179305698</v>
      </c>
      <c r="BR392" s="261">
        <f>BM392*$D$742</f>
        <v>8.099864608562795</v>
      </c>
    </row>
    <row r="393" spans="1:70" ht="13.8" thickBot="1" x14ac:dyDescent="0.3">
      <c r="A393" s="716" t="s">
        <v>723</v>
      </c>
      <c r="AA393" s="268">
        <f>Z563+($AI$393-$Y$563)/10</f>
        <v>1.3116492415795387</v>
      </c>
      <c r="AB393" s="268">
        <f t="shared" ref="AB393:AH393" si="45">AA393+($AI$393-$Y$563)/10</f>
        <v>1.314474997718583</v>
      </c>
      <c r="AC393" s="268">
        <f t="shared" si="45"/>
        <v>1.3173007538576273</v>
      </c>
      <c r="AD393" s="268">
        <f t="shared" si="45"/>
        <v>1.3201265099966717</v>
      </c>
      <c r="AE393" s="268">
        <f t="shared" si="45"/>
        <v>1.322952266135716</v>
      </c>
      <c r="AF393" s="268">
        <f t="shared" si="45"/>
        <v>1.3257780222747604</v>
      </c>
      <c r="AG393" s="268">
        <f t="shared" si="45"/>
        <v>1.3286037784138047</v>
      </c>
      <c r="AH393" s="268">
        <f t="shared" si="45"/>
        <v>1.3314295345528491</v>
      </c>
      <c r="AI393" s="269">
        <f>T563*$E$740</f>
        <v>1.3342552906918941</v>
      </c>
      <c r="AJ393" s="268">
        <f>AI393+($AX$393-$AI$393)/15</f>
        <v>1.3381671025139799</v>
      </c>
      <c r="AK393" s="268">
        <f t="shared" ref="AK393:AW393" si="46">AJ393+($AX$393-$AI$393)/15</f>
        <v>1.3420789143360656</v>
      </c>
      <c r="AL393" s="268">
        <f t="shared" si="46"/>
        <v>1.3459907261581514</v>
      </c>
      <c r="AM393" s="268">
        <f t="shared" si="46"/>
        <v>1.3499025379802372</v>
      </c>
      <c r="AN393" s="268">
        <f t="shared" si="46"/>
        <v>1.353814349802323</v>
      </c>
      <c r="AO393" s="268">
        <f t="shared" si="46"/>
        <v>1.3577261616244087</v>
      </c>
      <c r="AP393" s="268">
        <f t="shared" si="46"/>
        <v>1.3616379734464945</v>
      </c>
      <c r="AQ393" s="268">
        <f t="shared" si="46"/>
        <v>1.3655497852685803</v>
      </c>
      <c r="AR393" s="268">
        <f t="shared" si="46"/>
        <v>1.3694615970906661</v>
      </c>
      <c r="AS393" s="268">
        <f t="shared" si="46"/>
        <v>1.3733734089127518</v>
      </c>
      <c r="AT393" s="268">
        <f t="shared" si="46"/>
        <v>1.3772852207348376</v>
      </c>
      <c r="AU393" s="268">
        <f t="shared" si="46"/>
        <v>1.3811970325569234</v>
      </c>
      <c r="AV393" s="268">
        <f t="shared" si="46"/>
        <v>1.3851088443790092</v>
      </c>
      <c r="AW393" s="268">
        <f t="shared" si="46"/>
        <v>1.3890206562010949</v>
      </c>
      <c r="AX393" s="269">
        <f>AI393*$B$740</f>
        <v>1.3929324680231794</v>
      </c>
      <c r="AY393" s="268">
        <f>AX393+($BM$393-$AX$393)/15</f>
        <v>1.3955742685410359</v>
      </c>
      <c r="AZ393" s="268">
        <f t="shared" ref="AZ393:BL393" si="47">AY393+($BM$393-$AX$393)/15</f>
        <v>1.3982160690588925</v>
      </c>
      <c r="BA393" s="268">
        <f t="shared" si="47"/>
        <v>1.4008578695767491</v>
      </c>
      <c r="BB393" s="268">
        <f t="shared" si="47"/>
        <v>1.4034996700946056</v>
      </c>
      <c r="BC393" s="268">
        <f t="shared" si="47"/>
        <v>1.4061414706124622</v>
      </c>
      <c r="BD393" s="268">
        <f t="shared" si="47"/>
        <v>1.4087832711303188</v>
      </c>
      <c r="BE393" s="268">
        <f t="shared" si="47"/>
        <v>1.4114250716481753</v>
      </c>
      <c r="BF393" s="268">
        <f t="shared" si="47"/>
        <v>1.4140668721660319</v>
      </c>
      <c r="BG393" s="268">
        <f t="shared" si="47"/>
        <v>1.4167086726838884</v>
      </c>
      <c r="BH393" s="268">
        <f t="shared" si="47"/>
        <v>1.419350473201745</v>
      </c>
      <c r="BI393" s="268">
        <f t="shared" si="47"/>
        <v>1.4219922737196016</v>
      </c>
      <c r="BJ393" s="268">
        <f t="shared" si="47"/>
        <v>1.4246340742374581</v>
      </c>
      <c r="BK393" s="268">
        <f t="shared" si="47"/>
        <v>1.4272758747553147</v>
      </c>
      <c r="BL393" s="268">
        <f t="shared" si="47"/>
        <v>1.4299176752731713</v>
      </c>
      <c r="BM393" s="269">
        <f>AX393*$C$740</f>
        <v>1.4325594757910274</v>
      </c>
      <c r="BN393" s="268">
        <f>BM393+($BR$393-$BM$393)/5</f>
        <v>1.4352764318903966</v>
      </c>
      <c r="BO393" s="268">
        <f>BN393+($BR$393-$BM$393)/5</f>
        <v>1.4379933879897657</v>
      </c>
      <c r="BP393" s="268">
        <f>BO393+($BR$393-$BM$393)/5</f>
        <v>1.4407103440891349</v>
      </c>
      <c r="BQ393" s="268">
        <f>BP393+($BR$393-$BM$393)/5</f>
        <v>1.4434273001885041</v>
      </c>
      <c r="BR393" s="269">
        <f>BM393*$D$740</f>
        <v>1.4461442562878735</v>
      </c>
    </row>
    <row r="394" spans="1:70" x14ac:dyDescent="0.25">
      <c r="A394" s="716" t="s">
        <v>724</v>
      </c>
    </row>
    <row r="395" spans="1:70" x14ac:dyDescent="0.25">
      <c r="A395" s="716" t="s">
        <v>725</v>
      </c>
    </row>
    <row r="396" spans="1:70" x14ac:dyDescent="0.25">
      <c r="A396" s="716" t="s">
        <v>726</v>
      </c>
    </row>
    <row r="397" spans="1:70" x14ac:dyDescent="0.25">
      <c r="A397" s="716" t="s">
        <v>727</v>
      </c>
    </row>
    <row r="403" spans="1:26" x14ac:dyDescent="0.25">
      <c r="A403" s="282" t="s">
        <v>842</v>
      </c>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spans="1:26" x14ac:dyDescent="0.25">
      <c r="A404" s="282" t="s">
        <v>586</v>
      </c>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spans="1:26" x14ac:dyDescent="0.25">
      <c r="A405" s="282" t="s">
        <v>587</v>
      </c>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spans="1:26" x14ac:dyDescent="0.25">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spans="1:26" x14ac:dyDescent="0.25">
      <c r="A407" s="282" t="s">
        <v>433</v>
      </c>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spans="1:26" x14ac:dyDescent="0.25">
      <c r="A408" s="282" t="s">
        <v>588</v>
      </c>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spans="1:26" x14ac:dyDescent="0.25">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spans="1:26" x14ac:dyDescent="0.25">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spans="1:26" x14ac:dyDescent="0.25">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spans="1:26" x14ac:dyDescent="0.25">
      <c r="A412" s="282"/>
      <c r="B412" s="282"/>
      <c r="C412" s="282"/>
      <c r="D412" s="282" t="s">
        <v>437</v>
      </c>
      <c r="E412" s="282" t="s">
        <v>438</v>
      </c>
      <c r="F412" s="282" t="s">
        <v>439</v>
      </c>
      <c r="G412" s="282" t="s">
        <v>440</v>
      </c>
      <c r="H412" s="282" t="s">
        <v>441</v>
      </c>
      <c r="I412" s="282" t="s">
        <v>442</v>
      </c>
      <c r="J412" s="282" t="s">
        <v>443</v>
      </c>
      <c r="K412" s="282" t="s">
        <v>444</v>
      </c>
      <c r="L412" s="282" t="s">
        <v>445</v>
      </c>
      <c r="M412" s="282" t="s">
        <v>446</v>
      </c>
      <c r="N412" s="282" t="s">
        <v>447</v>
      </c>
      <c r="O412" s="282" t="s">
        <v>448</v>
      </c>
      <c r="P412" s="282" t="s">
        <v>449</v>
      </c>
      <c r="Q412" s="282" t="s">
        <v>450</v>
      </c>
      <c r="R412" s="282" t="s">
        <v>451</v>
      </c>
      <c r="S412" s="282" t="s">
        <v>452</v>
      </c>
      <c r="T412" s="282" t="s">
        <v>453</v>
      </c>
      <c r="U412" s="282" t="s">
        <v>454</v>
      </c>
      <c r="V412" s="282" t="s">
        <v>455</v>
      </c>
      <c r="W412" s="282" t="s">
        <v>456</v>
      </c>
      <c r="X412" s="282" t="s">
        <v>457</v>
      </c>
      <c r="Y412" s="282" t="s">
        <v>458</v>
      </c>
      <c r="Z412" s="282" t="s">
        <v>589</v>
      </c>
    </row>
    <row r="413" spans="1:26" x14ac:dyDescent="0.25">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spans="1:26" x14ac:dyDescent="0.25">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spans="1:26" x14ac:dyDescent="0.25">
      <c r="A415" s="282" t="s">
        <v>459</v>
      </c>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spans="1:26" x14ac:dyDescent="0.25">
      <c r="A416" s="282" t="s">
        <v>594</v>
      </c>
      <c r="B416" s="282"/>
      <c r="C416" s="282"/>
      <c r="D416" s="282">
        <v>18.210411071777301</v>
      </c>
      <c r="E416" s="282">
        <v>19.293371200561499</v>
      </c>
      <c r="F416" s="282">
        <v>21.158409118652301</v>
      </c>
      <c r="G416" s="282">
        <v>24.5404376983643</v>
      </c>
      <c r="H416" s="282">
        <v>24.494813919067401</v>
      </c>
      <c r="I416" s="282">
        <v>23.9600429534912</v>
      </c>
      <c r="J416" s="282">
        <v>23.672391891479499</v>
      </c>
      <c r="K416" s="282">
        <v>23.2634162902832</v>
      </c>
      <c r="L416" s="282">
        <v>23.106723785400401</v>
      </c>
      <c r="M416" s="282">
        <v>22.905719757080099</v>
      </c>
      <c r="N416" s="282">
        <v>22.942964553833001</v>
      </c>
      <c r="O416" s="282">
        <v>22.881586074829102</v>
      </c>
      <c r="P416" s="282">
        <v>22.979688644409201</v>
      </c>
      <c r="Q416" s="282">
        <v>23.190465927123999</v>
      </c>
      <c r="R416" s="282">
        <v>23.129106521606399</v>
      </c>
      <c r="S416" s="282">
        <v>23.088548660278299</v>
      </c>
      <c r="T416" s="282">
        <v>23.183416366577099</v>
      </c>
      <c r="U416" s="282">
        <v>23.1546516418457</v>
      </c>
      <c r="V416" s="282">
        <v>23.285535812377901</v>
      </c>
      <c r="W416" s="282">
        <v>23.420475006103501</v>
      </c>
      <c r="X416" s="282">
        <v>23.540468215942401</v>
      </c>
      <c r="Y416" s="282">
        <v>23.532218933105501</v>
      </c>
      <c r="Z416" s="282">
        <v>23.562456130981399</v>
      </c>
    </row>
    <row r="417" spans="1:26" x14ac:dyDescent="0.25">
      <c r="A417" s="282" t="s">
        <v>595</v>
      </c>
      <c r="B417" s="282"/>
      <c r="C417" s="282"/>
      <c r="D417" s="282">
        <v>12.893347740173301</v>
      </c>
      <c r="E417" s="282">
        <v>14.727064132690399</v>
      </c>
      <c r="F417" s="282">
        <v>16.906724929809599</v>
      </c>
      <c r="G417" s="282">
        <v>17.4485054016113</v>
      </c>
      <c r="H417" s="282">
        <v>16.910488128662099</v>
      </c>
      <c r="I417" s="282">
        <v>15.8367977142334</v>
      </c>
      <c r="J417" s="282">
        <v>14.87486743927</v>
      </c>
      <c r="K417" s="282">
        <v>14.031831741333001</v>
      </c>
      <c r="L417" s="282">
        <v>13.359474182128899</v>
      </c>
      <c r="M417" s="282">
        <v>12.596385955810501</v>
      </c>
      <c r="N417" s="282">
        <v>12.5241403579712</v>
      </c>
      <c r="O417" s="282">
        <v>12.595507621765099</v>
      </c>
      <c r="P417" s="282">
        <v>12.630928039550801</v>
      </c>
      <c r="Q417" s="282">
        <v>12.738121032714799</v>
      </c>
      <c r="R417" s="282">
        <v>12.8303670883179</v>
      </c>
      <c r="S417" s="282">
        <v>13.052293777465801</v>
      </c>
      <c r="T417" s="282">
        <v>13.1472158432007</v>
      </c>
      <c r="U417" s="282">
        <v>13.2630777359009</v>
      </c>
      <c r="V417" s="282">
        <v>13.422198295593301</v>
      </c>
      <c r="W417" s="282">
        <v>13.360619544982899</v>
      </c>
      <c r="X417" s="282">
        <v>13.513841629028301</v>
      </c>
      <c r="Y417" s="282">
        <v>13.560380935668899</v>
      </c>
      <c r="Z417" s="282">
        <v>13.627392768859901</v>
      </c>
    </row>
    <row r="418" spans="1:26" x14ac:dyDescent="0.25">
      <c r="A418" s="282" t="s">
        <v>496</v>
      </c>
      <c r="B418" s="282"/>
      <c r="C418" s="282"/>
      <c r="D418" s="282">
        <v>10.721179008483899</v>
      </c>
      <c r="E418" s="282">
        <v>12.4281768798828</v>
      </c>
      <c r="F418" s="282">
        <v>13.040691375732401</v>
      </c>
      <c r="G418" s="282">
        <v>11.8341617584229</v>
      </c>
      <c r="H418" s="282">
        <v>11.7410221099854</v>
      </c>
      <c r="I418" s="282">
        <v>11.2507781982422</v>
      </c>
      <c r="J418" s="282">
        <v>10.9759874343872</v>
      </c>
      <c r="K418" s="282">
        <v>10.5919141769409</v>
      </c>
      <c r="L418" s="282">
        <v>10.441241264343301</v>
      </c>
      <c r="M418" s="282">
        <v>10.249824523925801</v>
      </c>
      <c r="N418" s="282">
        <v>10.2927255630493</v>
      </c>
      <c r="O418" s="282">
        <v>10.2421607971191</v>
      </c>
      <c r="P418" s="282">
        <v>10.3305416107178</v>
      </c>
      <c r="Q418" s="282">
        <v>10.557685852050801</v>
      </c>
      <c r="R418" s="282">
        <v>10.4870929718018</v>
      </c>
      <c r="S418" s="282">
        <v>10.439262390136699</v>
      </c>
      <c r="T418" s="282">
        <v>10.539955139160201</v>
      </c>
      <c r="U418" s="282">
        <v>10.5361185073853</v>
      </c>
      <c r="V418" s="282">
        <v>10.6743927001953</v>
      </c>
      <c r="W418" s="282">
        <v>10.830116271972701</v>
      </c>
      <c r="X418" s="282">
        <v>10.948052406311</v>
      </c>
      <c r="Y418" s="282">
        <v>10.9735927581787</v>
      </c>
      <c r="Z418" s="282">
        <v>11.0174913406372</v>
      </c>
    </row>
    <row r="419" spans="1:26" x14ac:dyDescent="0.25">
      <c r="A419" s="282" t="s">
        <v>465</v>
      </c>
      <c r="B419" s="282"/>
      <c r="C419" s="282"/>
      <c r="D419" s="282">
        <v>27.0989685058594</v>
      </c>
      <c r="E419" s="282">
        <v>27.587884902954102</v>
      </c>
      <c r="F419" s="282">
        <v>27.636594772338899</v>
      </c>
      <c r="G419" s="282">
        <v>27.492031097412099</v>
      </c>
      <c r="H419" s="282">
        <v>27.368114471435501</v>
      </c>
      <c r="I419" s="282">
        <v>27.154861450195298</v>
      </c>
      <c r="J419" s="282">
        <v>26.912786483764599</v>
      </c>
      <c r="K419" s="282">
        <v>26.5094184875488</v>
      </c>
      <c r="L419" s="282">
        <v>26.281187057495099</v>
      </c>
      <c r="M419" s="282">
        <v>26.172458648681602</v>
      </c>
      <c r="N419" s="282">
        <v>26.036540985107401</v>
      </c>
      <c r="O419" s="282">
        <v>25.993564605712901</v>
      </c>
      <c r="P419" s="282">
        <v>26.085290908813501</v>
      </c>
      <c r="Q419" s="282">
        <v>26.304872512817401</v>
      </c>
      <c r="R419" s="282">
        <v>26.445003509521499</v>
      </c>
      <c r="S419" s="282">
        <v>26.355556488037099</v>
      </c>
      <c r="T419" s="282">
        <v>26.368726730346701</v>
      </c>
      <c r="U419" s="282">
        <v>26.419284820556602</v>
      </c>
      <c r="V419" s="282">
        <v>26.420993804931602</v>
      </c>
      <c r="W419" s="282">
        <v>26.4647102355957</v>
      </c>
      <c r="X419" s="282">
        <v>26.5621242523193</v>
      </c>
      <c r="Y419" s="282">
        <v>26.608213424682599</v>
      </c>
      <c r="Z419" s="282">
        <v>26.564920425415</v>
      </c>
    </row>
    <row r="420" spans="1:26" x14ac:dyDescent="0.25">
      <c r="A420" s="282" t="s">
        <v>466</v>
      </c>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spans="1:26" x14ac:dyDescent="0.25">
      <c r="A421" s="282" t="s">
        <v>595</v>
      </c>
      <c r="B421" s="282"/>
      <c r="C421" s="282"/>
      <c r="D421" s="282">
        <v>10.4802904129028</v>
      </c>
      <c r="E421" s="282">
        <v>12.6793832778931</v>
      </c>
      <c r="F421" s="282">
        <v>14.632154464721699</v>
      </c>
      <c r="G421" s="282">
        <v>15.3235988616943</v>
      </c>
      <c r="H421" s="282">
        <v>14.4384679794312</v>
      </c>
      <c r="I421" s="282">
        <v>13.4501142501831</v>
      </c>
      <c r="J421" s="282">
        <v>12.7189273834229</v>
      </c>
      <c r="K421" s="282">
        <v>11.9810342788696</v>
      </c>
      <c r="L421" s="282">
        <v>11.338329315185501</v>
      </c>
      <c r="M421" s="282">
        <v>10.8460388183594</v>
      </c>
      <c r="N421" s="282">
        <v>10.667523384094199</v>
      </c>
      <c r="O421" s="282">
        <v>10.728004455566399</v>
      </c>
      <c r="P421" s="282">
        <v>10.8701782226563</v>
      </c>
      <c r="Q421" s="282">
        <v>10.9251909255981</v>
      </c>
      <c r="R421" s="282">
        <v>11.0219278335571</v>
      </c>
      <c r="S421" s="282">
        <v>11.292310714721699</v>
      </c>
      <c r="T421" s="282">
        <v>11.349814414978001</v>
      </c>
      <c r="U421" s="282">
        <v>11.461010932922401</v>
      </c>
      <c r="V421" s="282">
        <v>11.6882877349854</v>
      </c>
      <c r="W421" s="282">
        <v>11.5126600265503</v>
      </c>
      <c r="X421" s="282">
        <v>11.6838274002075</v>
      </c>
      <c r="Y421" s="282">
        <v>11.8503408432007</v>
      </c>
      <c r="Z421" s="282">
        <v>11.857501029968301</v>
      </c>
    </row>
    <row r="422" spans="1:26" ht="51" customHeight="1" x14ac:dyDescent="0.25">
      <c r="A422" s="282" t="s">
        <v>596</v>
      </c>
      <c r="B422" s="282"/>
      <c r="C422" s="282"/>
      <c r="D422" s="282">
        <v>6.2490105628967303</v>
      </c>
      <c r="E422" s="282">
        <v>8.4144115447997994</v>
      </c>
      <c r="F422" s="282">
        <v>10.1003465652466</v>
      </c>
      <c r="G422" s="282">
        <v>7.8816242218017596</v>
      </c>
      <c r="H422" s="282">
        <v>7.7979149818420401</v>
      </c>
      <c r="I422" s="282">
        <v>7.67907810211182</v>
      </c>
      <c r="J422" s="282">
        <v>7.5374598503112802</v>
      </c>
      <c r="K422" s="282">
        <v>7.0601482391357404</v>
      </c>
      <c r="L422" s="282">
        <v>6.9191079139709499</v>
      </c>
      <c r="M422" s="282">
        <v>5.9906802177429199</v>
      </c>
      <c r="N422" s="282">
        <v>6.31249952316284</v>
      </c>
      <c r="O422" s="282">
        <v>6.4941840171814</v>
      </c>
      <c r="P422" s="282">
        <v>6.4476203918456996</v>
      </c>
      <c r="Q422" s="282">
        <v>6.5857205390930202</v>
      </c>
      <c r="R422" s="282">
        <v>6.7015118598937997</v>
      </c>
      <c r="S422" s="282">
        <v>6.98899221420288</v>
      </c>
      <c r="T422" s="282">
        <v>7.0690569877624503</v>
      </c>
      <c r="U422" s="282">
        <v>7.2425847053527797</v>
      </c>
      <c r="V422" s="282">
        <v>7.4012169837951696</v>
      </c>
      <c r="W422" s="282">
        <v>7.2363023757934597</v>
      </c>
      <c r="X422" s="282">
        <v>7.3775544166564897</v>
      </c>
      <c r="Y422" s="282">
        <v>7.1704416275024396</v>
      </c>
      <c r="Z422" s="282">
        <v>7.2997760772705096</v>
      </c>
    </row>
    <row r="423" spans="1:26" ht="30.75" customHeight="1" x14ac:dyDescent="0.25">
      <c r="A423" s="284" t="s">
        <v>496</v>
      </c>
      <c r="B423" s="284"/>
      <c r="C423" s="284"/>
      <c r="D423" s="282">
        <v>9.4024562835693395</v>
      </c>
      <c r="E423" s="282">
        <v>11.2028198242188</v>
      </c>
      <c r="F423" s="282">
        <v>11.3786783218384</v>
      </c>
      <c r="G423" s="282">
        <v>10.2688541412354</v>
      </c>
      <c r="H423" s="282">
        <v>10.157588958740201</v>
      </c>
      <c r="I423" s="282">
        <v>9.6297473907470703</v>
      </c>
      <c r="J423" s="282">
        <v>9.3356885910034197</v>
      </c>
      <c r="K423" s="282">
        <v>8.9214458465576207</v>
      </c>
      <c r="L423" s="282">
        <v>8.7509040832519496</v>
      </c>
      <c r="M423" s="282">
        <v>8.5351839065551793</v>
      </c>
      <c r="N423" s="282">
        <v>8.5524559020996094</v>
      </c>
      <c r="O423" s="282">
        <v>8.47686672210693</v>
      </c>
      <c r="P423" s="282">
        <v>8.5459880828857404</v>
      </c>
      <c r="Q423" s="282">
        <v>8.7391986846923793</v>
      </c>
      <c r="R423" s="282">
        <v>8.6564092636108398</v>
      </c>
      <c r="S423" s="282">
        <v>8.5963792800903303</v>
      </c>
      <c r="T423" s="282">
        <v>8.6742591857910192</v>
      </c>
      <c r="U423" s="282">
        <v>8.6351099014282209</v>
      </c>
      <c r="V423" s="282">
        <v>8.7470979690551793</v>
      </c>
      <c r="W423" s="282">
        <v>8.8685941696166992</v>
      </c>
      <c r="X423" s="282">
        <v>8.9716949462890607</v>
      </c>
      <c r="Y423" s="282">
        <v>8.9597854614257795</v>
      </c>
      <c r="Z423" s="282">
        <v>8.9777603149414098</v>
      </c>
    </row>
    <row r="424" spans="1:26" x14ac:dyDescent="0.25">
      <c r="A424" s="283" t="s">
        <v>465</v>
      </c>
      <c r="B424" s="283"/>
      <c r="C424" s="283"/>
      <c r="D424" s="282">
        <v>24.591539382934599</v>
      </c>
      <c r="E424" s="282">
        <v>25.251781463623001</v>
      </c>
      <c r="F424" s="282">
        <v>25.738388061523398</v>
      </c>
      <c r="G424" s="282">
        <v>25.3376979827881</v>
      </c>
      <c r="H424" s="282">
        <v>25.268539428710898</v>
      </c>
      <c r="I424" s="282">
        <v>24.918291091918899</v>
      </c>
      <c r="J424" s="282">
        <v>24.500482559204102</v>
      </c>
      <c r="K424" s="282">
        <v>23.8594665527344</v>
      </c>
      <c r="L424" s="282">
        <v>23.593626022338899</v>
      </c>
      <c r="M424" s="282">
        <v>23.443479537963899</v>
      </c>
      <c r="N424" s="282">
        <v>23.311824798583999</v>
      </c>
      <c r="O424" s="282">
        <v>23.328050613403299</v>
      </c>
      <c r="P424" s="282">
        <v>23.4844055175781</v>
      </c>
      <c r="Q424" s="282">
        <v>23.749778747558601</v>
      </c>
      <c r="R424" s="282">
        <v>23.944339752197301</v>
      </c>
      <c r="S424" s="282">
        <v>23.889307022094702</v>
      </c>
      <c r="T424" s="282">
        <v>23.952335357666001</v>
      </c>
      <c r="U424" s="282">
        <v>24.000473022460898</v>
      </c>
      <c r="V424" s="282">
        <v>24.006351470947301</v>
      </c>
      <c r="W424" s="282">
        <v>24.077814102172901</v>
      </c>
      <c r="X424" s="282">
        <v>24.1955890655518</v>
      </c>
      <c r="Y424" s="282">
        <v>24.23095703125</v>
      </c>
      <c r="Z424" s="282">
        <v>24.1812038421631</v>
      </c>
    </row>
    <row r="425" spans="1:26" x14ac:dyDescent="0.25">
      <c r="A425" s="282" t="s">
        <v>597</v>
      </c>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spans="1:26" x14ac:dyDescent="0.25">
      <c r="A426" s="282" t="s">
        <v>594</v>
      </c>
      <c r="B426" s="282"/>
      <c r="C426" s="282"/>
      <c r="D426" s="282">
        <v>11.1755380630493</v>
      </c>
      <c r="E426" s="282">
        <v>16.959981918335</v>
      </c>
      <c r="F426" s="282">
        <v>18.9578742980957</v>
      </c>
      <c r="G426" s="282">
        <v>17.513134002685501</v>
      </c>
      <c r="H426" s="282">
        <v>17.389408111572301</v>
      </c>
      <c r="I426" s="282">
        <v>16.750247955322301</v>
      </c>
      <c r="J426" s="282">
        <v>16.423851013183601</v>
      </c>
      <c r="K426" s="282">
        <v>15.943309783935501</v>
      </c>
      <c r="L426" s="282">
        <v>15.769355773925801</v>
      </c>
      <c r="M426" s="282">
        <v>15.620997428894</v>
      </c>
      <c r="N426" s="282">
        <v>15.627494812011699</v>
      </c>
      <c r="O426" s="282">
        <v>15.565483093261699</v>
      </c>
      <c r="P426" s="282">
        <v>15.6823263168335</v>
      </c>
      <c r="Q426" s="282">
        <v>15.8655786514282</v>
      </c>
      <c r="R426" s="282">
        <v>15.8662757873535</v>
      </c>
      <c r="S426" s="282">
        <v>15.8647546768188</v>
      </c>
      <c r="T426" s="282">
        <v>15.9073581695557</v>
      </c>
      <c r="U426" s="282">
        <v>15.883088111877401</v>
      </c>
      <c r="V426" s="282">
        <v>15.994482994079601</v>
      </c>
      <c r="W426" s="282">
        <v>16.1067924499512</v>
      </c>
      <c r="X426" s="282">
        <v>16.2546577453613</v>
      </c>
      <c r="Y426" s="282">
        <v>16.219263076782202</v>
      </c>
      <c r="Z426" s="282">
        <v>16.2301216125488</v>
      </c>
    </row>
    <row r="427" spans="1:26" x14ac:dyDescent="0.25">
      <c r="A427" s="282" t="s">
        <v>595</v>
      </c>
      <c r="B427" s="282"/>
      <c r="C427" s="282"/>
      <c r="D427" s="282">
        <v>10.9898891448975</v>
      </c>
      <c r="E427" s="282">
        <v>13.0814533233643</v>
      </c>
      <c r="F427" s="282">
        <v>15.1407413482666</v>
      </c>
      <c r="G427" s="282">
        <v>15.435567855835</v>
      </c>
      <c r="H427" s="282">
        <v>14.2919836044312</v>
      </c>
      <c r="I427" s="282">
        <v>13.4232997894287</v>
      </c>
      <c r="J427" s="282">
        <v>12.948052406311</v>
      </c>
      <c r="K427" s="282">
        <v>12.4780015945435</v>
      </c>
      <c r="L427" s="282">
        <v>11.882830619811999</v>
      </c>
      <c r="M427" s="282">
        <v>11.641848564147899</v>
      </c>
      <c r="N427" s="282">
        <v>11.349123954772899</v>
      </c>
      <c r="O427" s="282">
        <v>11.401933670043899</v>
      </c>
      <c r="P427" s="282">
        <v>11.6324548721313</v>
      </c>
      <c r="Q427" s="282">
        <v>11.632493019104</v>
      </c>
      <c r="R427" s="282">
        <v>11.737724304199199</v>
      </c>
      <c r="S427" s="282">
        <v>12.060711860656699</v>
      </c>
      <c r="T427" s="282">
        <v>12.0405569076538</v>
      </c>
      <c r="U427" s="282">
        <v>12.1396341323853</v>
      </c>
      <c r="V427" s="282">
        <v>12.421196937561</v>
      </c>
      <c r="W427" s="282">
        <v>12.169375419616699</v>
      </c>
      <c r="X427" s="282">
        <v>12.3622283935547</v>
      </c>
      <c r="Y427" s="282">
        <v>12.619636535644499</v>
      </c>
      <c r="Z427" s="282">
        <v>12.5786838531494</v>
      </c>
    </row>
    <row r="428" spans="1:26" x14ac:dyDescent="0.25">
      <c r="A428" s="282" t="s">
        <v>596</v>
      </c>
      <c r="B428" s="282"/>
      <c r="C428" s="282"/>
      <c r="D428" s="282">
        <v>5.7738895416259801</v>
      </c>
      <c r="E428" s="282">
        <v>7.7708010673522896</v>
      </c>
      <c r="F428" s="282">
        <v>9.3422021865844709</v>
      </c>
      <c r="G428" s="282">
        <v>9.8767166137695295</v>
      </c>
      <c r="H428" s="282">
        <v>10.084191322326699</v>
      </c>
      <c r="I428" s="282">
        <v>9.7906637191772496</v>
      </c>
      <c r="J428" s="282">
        <v>9.5023155212402308</v>
      </c>
      <c r="K428" s="282">
        <v>8.7792091369628906</v>
      </c>
      <c r="L428" s="282">
        <v>8.4676847457885707</v>
      </c>
      <c r="M428" s="282">
        <v>8.0373468399047905</v>
      </c>
      <c r="N428" s="282">
        <v>7.9767365455627397</v>
      </c>
      <c r="O428" s="282">
        <v>8.2131023406982404</v>
      </c>
      <c r="P428" s="282">
        <v>8.4110374450683594</v>
      </c>
      <c r="Q428" s="282">
        <v>8.5568304061889595</v>
      </c>
      <c r="R428" s="282">
        <v>8.6100654602050799</v>
      </c>
      <c r="S428" s="282">
        <v>8.8084278106689506</v>
      </c>
      <c r="T428" s="282">
        <v>8.9135255813598597</v>
      </c>
      <c r="U428" s="282">
        <v>9.0664196014404297</v>
      </c>
      <c r="V428" s="282">
        <v>9.2084608078002894</v>
      </c>
      <c r="W428" s="282">
        <v>9.1494617462158203</v>
      </c>
      <c r="X428" s="282">
        <v>9.2910699844360405</v>
      </c>
      <c r="Y428" s="282">
        <v>9.2583961486816406</v>
      </c>
      <c r="Z428" s="282">
        <v>9.38494873046875</v>
      </c>
    </row>
    <row r="429" spans="1:26" x14ac:dyDescent="0.25">
      <c r="A429" s="284" t="s">
        <v>598</v>
      </c>
      <c r="B429" s="284"/>
      <c r="C429" s="284"/>
      <c r="D429" s="282">
        <v>6.4688553810119602</v>
      </c>
      <c r="E429" s="282">
        <v>8.1627740859985405</v>
      </c>
      <c r="F429" s="282">
        <v>7.4494204521179199</v>
      </c>
      <c r="G429" s="282">
        <v>7.3632249832153303</v>
      </c>
      <c r="H429" s="282">
        <v>7.2901554107665998</v>
      </c>
      <c r="I429" s="282">
        <v>6.7422003746032697</v>
      </c>
      <c r="J429" s="282">
        <v>6.4267692565918004</v>
      </c>
      <c r="K429" s="282">
        <v>6.0213589668273899</v>
      </c>
      <c r="L429" s="282">
        <v>5.8671450614929199</v>
      </c>
      <c r="M429" s="282">
        <v>5.6813068389892596</v>
      </c>
      <c r="N429" s="282">
        <v>5.6900143623352104</v>
      </c>
      <c r="O429" s="282">
        <v>5.6504640579223597</v>
      </c>
      <c r="P429" s="282">
        <v>5.7415480613708496</v>
      </c>
      <c r="Q429" s="282">
        <v>5.91982173919678</v>
      </c>
      <c r="R429" s="282">
        <v>5.8755149841308603</v>
      </c>
      <c r="S429" s="282">
        <v>5.8359832763671902</v>
      </c>
      <c r="T429" s="282">
        <v>5.9000439643859899</v>
      </c>
      <c r="U429" s="282">
        <v>5.8858833312988299</v>
      </c>
      <c r="V429" s="282">
        <v>6.0041050910949698</v>
      </c>
      <c r="W429" s="282">
        <v>6.1238050460815403</v>
      </c>
      <c r="X429" s="282">
        <v>6.2412667274475098</v>
      </c>
      <c r="Y429" s="282">
        <v>6.2102909088134801</v>
      </c>
      <c r="Z429" s="282">
        <v>6.2538614273071298</v>
      </c>
    </row>
    <row r="430" spans="1:26" x14ac:dyDescent="0.25">
      <c r="A430" s="282" t="s">
        <v>599</v>
      </c>
      <c r="B430" s="282"/>
      <c r="C430" s="282"/>
      <c r="D430" s="282">
        <v>2.3078472614288299</v>
      </c>
      <c r="E430" s="282">
        <v>3.0599997043609601</v>
      </c>
      <c r="F430" s="282">
        <v>3.2548489570617698</v>
      </c>
      <c r="G430" s="282">
        <v>3.2975256443023699</v>
      </c>
      <c r="H430" s="282">
        <v>3.2872827053070099</v>
      </c>
      <c r="I430" s="282">
        <v>3.1889374256134002</v>
      </c>
      <c r="J430" s="282">
        <v>3.0940959453582799</v>
      </c>
      <c r="K430" s="282">
        <v>2.9914577007293701</v>
      </c>
      <c r="L430" s="282">
        <v>2.8927016258239702</v>
      </c>
      <c r="M430" s="282">
        <v>2.78926348686218</v>
      </c>
      <c r="N430" s="282">
        <v>2.7408642768859899</v>
      </c>
      <c r="O430" s="282">
        <v>2.7166485786438002</v>
      </c>
      <c r="P430" s="282">
        <v>2.7061200141906698</v>
      </c>
      <c r="Q430" s="282">
        <v>2.7063503265380899</v>
      </c>
      <c r="R430" s="282">
        <v>2.7045123577117902</v>
      </c>
      <c r="S430" s="282">
        <v>2.68979120254517</v>
      </c>
      <c r="T430" s="282">
        <v>2.7072892189025901</v>
      </c>
      <c r="U430" s="282">
        <v>2.71812868118286</v>
      </c>
      <c r="V430" s="282">
        <v>2.7191135883331299</v>
      </c>
      <c r="W430" s="282">
        <v>2.7064330577850302</v>
      </c>
      <c r="X430" s="282">
        <v>2.68589544296265</v>
      </c>
      <c r="Y430" s="282">
        <v>2.69574999809265</v>
      </c>
      <c r="Z430" s="282">
        <v>2.7049932479858398</v>
      </c>
    </row>
    <row r="431" spans="1:26" x14ac:dyDescent="0.25">
      <c r="A431" s="282" t="s">
        <v>600</v>
      </c>
      <c r="B431" s="282"/>
      <c r="C431" s="282"/>
      <c r="D431" s="282">
        <v>1.80300605297089</v>
      </c>
      <c r="E431" s="282">
        <v>2.1500017642974898</v>
      </c>
      <c r="F431" s="282">
        <v>2.2005796432495099</v>
      </c>
      <c r="G431" s="282">
        <v>2.2392640113830602</v>
      </c>
      <c r="H431" s="282">
        <v>2.2450914382934601</v>
      </c>
      <c r="I431" s="282">
        <v>2.2358458042144802</v>
      </c>
      <c r="J431" s="282">
        <v>2.2614977359771702</v>
      </c>
      <c r="K431" s="282">
        <v>2.2480733394622798</v>
      </c>
      <c r="L431" s="282">
        <v>2.2308864593505899</v>
      </c>
      <c r="M431" s="282">
        <v>2.2124359607696502</v>
      </c>
      <c r="N431" s="282">
        <v>2.2059276103973402</v>
      </c>
      <c r="O431" s="282">
        <v>2.1967613697052002</v>
      </c>
      <c r="P431" s="282">
        <v>2.18912577629089</v>
      </c>
      <c r="Q431" s="282">
        <v>2.1856777667999299</v>
      </c>
      <c r="R431" s="282">
        <v>2.1763286590576199</v>
      </c>
      <c r="S431" s="282">
        <v>2.1755278110504199</v>
      </c>
      <c r="T431" s="282">
        <v>2.18182468414307</v>
      </c>
      <c r="U431" s="282">
        <v>2.19542455673218</v>
      </c>
      <c r="V431" s="282">
        <v>2.2050869464874299</v>
      </c>
      <c r="W431" s="282">
        <v>2.2089655399322501</v>
      </c>
      <c r="X431" s="282">
        <v>2.2187693119049099</v>
      </c>
      <c r="Y431" s="282">
        <v>2.2309319972991899</v>
      </c>
      <c r="Z431" s="282">
        <v>2.2423520088195801</v>
      </c>
    </row>
    <row r="432" spans="1:26" x14ac:dyDescent="0.25">
      <c r="A432" s="282" t="s">
        <v>601</v>
      </c>
      <c r="B432" s="282"/>
      <c r="C432" s="282"/>
      <c r="D432" s="282" t="s">
        <v>1055</v>
      </c>
      <c r="E432" s="282" t="s">
        <v>1055</v>
      </c>
      <c r="F432" s="282" t="s">
        <v>1055</v>
      </c>
      <c r="G432" s="282" t="s">
        <v>1055</v>
      </c>
      <c r="H432" s="282" t="s">
        <v>1055</v>
      </c>
      <c r="I432" s="282" t="s">
        <v>1055</v>
      </c>
      <c r="J432" s="282" t="s">
        <v>1055</v>
      </c>
      <c r="K432" s="282">
        <v>0.88956671953201305</v>
      </c>
      <c r="L432" s="282">
        <v>0.881245017051697</v>
      </c>
      <c r="M432" s="282">
        <v>0.88442194461822499</v>
      </c>
      <c r="N432" s="282">
        <v>0.89085346460342396</v>
      </c>
      <c r="O432" s="282">
        <v>0.88840740919113204</v>
      </c>
      <c r="P432" s="282">
        <v>0.89322775602340698</v>
      </c>
      <c r="Q432" s="282">
        <v>0.90440875291824296</v>
      </c>
      <c r="R432" s="282">
        <v>0.91453087329864502</v>
      </c>
      <c r="S432" s="282">
        <v>0.95469778776168801</v>
      </c>
      <c r="T432" s="282">
        <v>0.96978461742401101</v>
      </c>
      <c r="U432" s="282">
        <v>1.01334369182587</v>
      </c>
      <c r="V432" s="282">
        <v>1.02781510353088</v>
      </c>
      <c r="W432" s="282">
        <v>1.0294380187988299</v>
      </c>
      <c r="X432" s="282">
        <v>1.1219843626022299</v>
      </c>
      <c r="Y432" s="282">
        <v>1.2297383546829199</v>
      </c>
      <c r="Z432" s="282">
        <v>1.26935982704163</v>
      </c>
    </row>
    <row r="433" spans="1:26" x14ac:dyDescent="0.25">
      <c r="A433" s="283" t="s">
        <v>465</v>
      </c>
      <c r="B433" s="283"/>
      <c r="C433" s="283"/>
      <c r="D433" s="282">
        <v>15.8847751617432</v>
      </c>
      <c r="E433" s="282">
        <v>16.691057205200199</v>
      </c>
      <c r="F433" s="282">
        <v>18.258220672607401</v>
      </c>
      <c r="G433" s="282">
        <v>18.768579483032202</v>
      </c>
      <c r="H433" s="282">
        <v>18.8538303375244</v>
      </c>
      <c r="I433" s="282">
        <v>18.518165588378899</v>
      </c>
      <c r="J433" s="282">
        <v>18.014034271240199</v>
      </c>
      <c r="K433" s="282">
        <v>17.2542610168457</v>
      </c>
      <c r="L433" s="282">
        <v>16.790317535400401</v>
      </c>
      <c r="M433" s="282">
        <v>16.590124130248999</v>
      </c>
      <c r="N433" s="282">
        <v>16.466903686523398</v>
      </c>
      <c r="O433" s="282">
        <v>16.461626052856399</v>
      </c>
      <c r="P433" s="282">
        <v>16.6055717468262</v>
      </c>
      <c r="Q433" s="282">
        <v>16.851476669311499</v>
      </c>
      <c r="R433" s="282">
        <v>17.021175384521499</v>
      </c>
      <c r="S433" s="282">
        <v>17.000881195068398</v>
      </c>
      <c r="T433" s="282">
        <v>17.070917129516602</v>
      </c>
      <c r="U433" s="282">
        <v>17.1260585784912</v>
      </c>
      <c r="V433" s="282">
        <v>17.140884399414102</v>
      </c>
      <c r="W433" s="282">
        <v>17.206485748291001</v>
      </c>
      <c r="X433" s="282">
        <v>17.3262729644775</v>
      </c>
      <c r="Y433" s="282">
        <v>17.353824615478501</v>
      </c>
      <c r="Z433" s="282">
        <v>17.310489654541001</v>
      </c>
    </row>
    <row r="434" spans="1:26" x14ac:dyDescent="0.25">
      <c r="A434" s="282" t="s">
        <v>473</v>
      </c>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spans="1:26" x14ac:dyDescent="0.25">
      <c r="A435" s="282" t="s">
        <v>602</v>
      </c>
      <c r="B435" s="282"/>
      <c r="C435" s="282"/>
      <c r="D435" s="282">
        <v>19.6766357421875</v>
      </c>
      <c r="E435" s="282">
        <v>23.9161167144775</v>
      </c>
      <c r="F435" s="282">
        <v>26.805564880371101</v>
      </c>
      <c r="G435" s="282">
        <v>22.710954666137699</v>
      </c>
      <c r="H435" s="282">
        <v>22.759067535400401</v>
      </c>
      <c r="I435" s="282">
        <v>22.268846511840799</v>
      </c>
      <c r="J435" s="282">
        <v>24.343835830688501</v>
      </c>
      <c r="K435" s="282">
        <v>23.932544708251999</v>
      </c>
      <c r="L435" s="282">
        <v>23.763250350952099</v>
      </c>
      <c r="M435" s="282">
        <v>23.536403656005898</v>
      </c>
      <c r="N435" s="282">
        <v>23.5618801116943</v>
      </c>
      <c r="O435" s="282">
        <v>23.4868278503418</v>
      </c>
      <c r="P435" s="282">
        <v>23.560710906982401</v>
      </c>
      <c r="Q435" s="282">
        <v>23.7542419433594</v>
      </c>
      <c r="R435" s="282">
        <v>23.654756546020501</v>
      </c>
      <c r="S435" s="282">
        <v>23.5774955749512</v>
      </c>
      <c r="T435" s="282">
        <v>23.664421081543001</v>
      </c>
      <c r="U435" s="282">
        <v>23.6253147125244</v>
      </c>
      <c r="V435" s="282">
        <v>23.741106033325199</v>
      </c>
      <c r="W435" s="282">
        <v>23.8700561523438</v>
      </c>
      <c r="X435" s="282">
        <v>23.973831176757798</v>
      </c>
      <c r="Y435" s="282">
        <v>23.953416824340799</v>
      </c>
      <c r="Z435" s="282">
        <v>23.9759330749512</v>
      </c>
    </row>
    <row r="436" spans="1:26" x14ac:dyDescent="0.25">
      <c r="A436" s="286" t="s">
        <v>603</v>
      </c>
      <c r="B436" s="286"/>
      <c r="C436" s="286"/>
      <c r="D436" s="282">
        <v>20.914932250976602</v>
      </c>
      <c r="E436" s="282">
        <v>23.101913452148398</v>
      </c>
      <c r="F436" s="282">
        <v>24.811454772949201</v>
      </c>
      <c r="G436" s="282">
        <v>27.774848937988299</v>
      </c>
      <c r="H436" s="282">
        <v>25.9952602386475</v>
      </c>
      <c r="I436" s="282">
        <v>24.2666110992432</v>
      </c>
      <c r="J436" s="282">
        <v>21.291254043579102</v>
      </c>
      <c r="K436" s="282">
        <v>20.525190353393601</v>
      </c>
      <c r="L436" s="282">
        <v>20.3361301422119</v>
      </c>
      <c r="M436" s="282">
        <v>20.197395324706999</v>
      </c>
      <c r="N436" s="282">
        <v>20.009881973266602</v>
      </c>
      <c r="O436" s="282">
        <v>20.093305587768601</v>
      </c>
      <c r="P436" s="282">
        <v>20.196292877197301</v>
      </c>
      <c r="Q436" s="282">
        <v>20.4327602386475</v>
      </c>
      <c r="R436" s="282">
        <v>20.4076957702637</v>
      </c>
      <c r="S436" s="282">
        <v>20.624263763427699</v>
      </c>
      <c r="T436" s="282">
        <v>20.610368728637699</v>
      </c>
      <c r="U436" s="282">
        <v>20.617734909057599</v>
      </c>
      <c r="V436" s="282">
        <v>21.067132949829102</v>
      </c>
      <c r="W436" s="282">
        <v>20.970218658447301</v>
      </c>
      <c r="X436" s="282">
        <v>20.962213516235401</v>
      </c>
      <c r="Y436" s="282">
        <v>21.257926940918001</v>
      </c>
      <c r="Z436" s="282">
        <v>21.098123550415</v>
      </c>
    </row>
    <row r="437" spans="1:26" x14ac:dyDescent="0.25">
      <c r="A437" s="285" t="s">
        <v>604</v>
      </c>
      <c r="B437" s="285"/>
      <c r="C437" s="285"/>
      <c r="D437" s="282">
        <v>15.721848487854</v>
      </c>
      <c r="E437" s="282">
        <v>18.644901275634801</v>
      </c>
      <c r="F437" s="282">
        <v>21.1534824371338</v>
      </c>
      <c r="G437" s="282">
        <v>20.964454650878899</v>
      </c>
      <c r="H437" s="282">
        <v>19.721015930175799</v>
      </c>
      <c r="I437" s="282">
        <v>18.6920680999756</v>
      </c>
      <c r="J437" s="282">
        <v>17.902309417724599</v>
      </c>
      <c r="K437" s="282">
        <v>17.232242584228501</v>
      </c>
      <c r="L437" s="282">
        <v>16.863773345947301</v>
      </c>
      <c r="M437" s="282">
        <v>16.565891265869102</v>
      </c>
      <c r="N437" s="282">
        <v>16.0857257843018</v>
      </c>
      <c r="O437" s="282">
        <v>16.063297271728501</v>
      </c>
      <c r="P437" s="282">
        <v>16.111997604370099</v>
      </c>
      <c r="Q437" s="282">
        <v>16.240406036376999</v>
      </c>
      <c r="R437" s="282">
        <v>16.3247375488281</v>
      </c>
      <c r="S437" s="282">
        <v>16.6728916168213</v>
      </c>
      <c r="T437" s="282">
        <v>16.6320400238037</v>
      </c>
      <c r="U437" s="282">
        <v>16.751285552978501</v>
      </c>
      <c r="V437" s="282">
        <v>17.051519393920898</v>
      </c>
      <c r="W437" s="282">
        <v>16.920253753662099</v>
      </c>
      <c r="X437" s="282">
        <v>17.1026096343994</v>
      </c>
      <c r="Y437" s="282">
        <v>17.3232307434082</v>
      </c>
      <c r="Z437" s="282">
        <v>17.144313812255898</v>
      </c>
    </row>
    <row r="438" spans="1:26" x14ac:dyDescent="0.25">
      <c r="A438" s="282" t="s">
        <v>605</v>
      </c>
      <c r="B438" s="282"/>
      <c r="C438" s="282"/>
      <c r="D438" s="282">
        <v>9.2184209823608398</v>
      </c>
      <c r="E438" s="282">
        <v>13.1439361572266</v>
      </c>
      <c r="F438" s="282">
        <v>14.9574270248413</v>
      </c>
      <c r="G438" s="282">
        <v>12.9907026290894</v>
      </c>
      <c r="H438" s="282">
        <v>11.722384452819799</v>
      </c>
      <c r="I438" s="282">
        <v>11.2624855041504</v>
      </c>
      <c r="J438" s="282">
        <v>10.9056959152222</v>
      </c>
      <c r="K438" s="282">
        <v>10.3720808029175</v>
      </c>
      <c r="L438" s="282">
        <v>10.059165954589799</v>
      </c>
      <c r="M438" s="282">
        <v>10.0335283279419</v>
      </c>
      <c r="N438" s="282">
        <v>9.8430700302124006</v>
      </c>
      <c r="O438" s="282">
        <v>9.8874025344848597</v>
      </c>
      <c r="P438" s="282">
        <v>10.0322532653809</v>
      </c>
      <c r="Q438" s="282">
        <v>10.087176322936999</v>
      </c>
      <c r="R438" s="282">
        <v>10.2108345031738</v>
      </c>
      <c r="S438" s="282">
        <v>10.523097038269</v>
      </c>
      <c r="T438" s="282">
        <v>10.506872177124</v>
      </c>
      <c r="U438" s="282">
        <v>10.5880041122437</v>
      </c>
      <c r="V438" s="282">
        <v>10.8930578231812</v>
      </c>
      <c r="W438" s="282">
        <v>10.788450241088899</v>
      </c>
      <c r="X438" s="282">
        <v>10.9106340408325</v>
      </c>
      <c r="Y438" s="282">
        <v>11.0979099273682</v>
      </c>
      <c r="Z438" s="282">
        <v>11.0487413406372</v>
      </c>
    </row>
    <row r="439" spans="1:26" x14ac:dyDescent="0.25">
      <c r="A439" s="285" t="s">
        <v>606</v>
      </c>
      <c r="B439" s="285"/>
      <c r="C439" s="285"/>
      <c r="D439" s="282">
        <v>13.583283424377401</v>
      </c>
      <c r="E439" s="282">
        <v>17.522464752197301</v>
      </c>
      <c r="F439" s="282">
        <v>19.7921543121338</v>
      </c>
      <c r="G439" s="282">
        <v>19.706336975097699</v>
      </c>
      <c r="H439" s="282">
        <v>18.211244583129901</v>
      </c>
      <c r="I439" s="282">
        <v>17.3085613250732</v>
      </c>
      <c r="J439" s="282">
        <v>16.8088684082031</v>
      </c>
      <c r="K439" s="282">
        <v>16.001249313354499</v>
      </c>
      <c r="L439" s="282">
        <v>15.3922462463379</v>
      </c>
      <c r="M439" s="282">
        <v>15.213009834289601</v>
      </c>
      <c r="N439" s="282">
        <v>14.822114944458001</v>
      </c>
      <c r="O439" s="282">
        <v>14.859941482543899</v>
      </c>
      <c r="P439" s="282">
        <v>15.1213598251343</v>
      </c>
      <c r="Q439" s="282">
        <v>15.075839042663601</v>
      </c>
      <c r="R439" s="282">
        <v>15.158118247985801</v>
      </c>
      <c r="S439" s="282">
        <v>15.4795846939087</v>
      </c>
      <c r="T439" s="282">
        <v>15.4157457351685</v>
      </c>
      <c r="U439" s="282">
        <v>15.4886207580566</v>
      </c>
      <c r="V439" s="282">
        <v>15.773143768310501</v>
      </c>
      <c r="W439" s="282">
        <v>15.4716739654541</v>
      </c>
      <c r="X439" s="282">
        <v>15.639728546142599</v>
      </c>
      <c r="Y439" s="282">
        <v>15.912574768066399</v>
      </c>
      <c r="Z439" s="282">
        <v>15.834021568298301</v>
      </c>
    </row>
    <row r="440" spans="1:26" x14ac:dyDescent="0.25">
      <c r="A440" s="282" t="s">
        <v>596</v>
      </c>
      <c r="B440" s="282"/>
      <c r="C440" s="282"/>
      <c r="D440" s="282">
        <v>4.8536195755004901</v>
      </c>
      <c r="E440" s="282">
        <v>5.5067763328552202</v>
      </c>
      <c r="F440" s="282">
        <v>7.1623473167419398</v>
      </c>
      <c r="G440" s="282">
        <v>8.8221101760864293</v>
      </c>
      <c r="H440" s="282">
        <v>9.0483112335205096</v>
      </c>
      <c r="I440" s="282">
        <v>8.6029233932495099</v>
      </c>
      <c r="J440" s="282">
        <v>8.0481967926025408</v>
      </c>
      <c r="K440" s="282">
        <v>7.6902847290039098</v>
      </c>
      <c r="L440" s="282">
        <v>7.3429737091064498</v>
      </c>
      <c r="M440" s="282">
        <v>7.1018238067626998</v>
      </c>
      <c r="N440" s="282">
        <v>6.97245073318481</v>
      </c>
      <c r="O440" s="282">
        <v>7.0413579940795898</v>
      </c>
      <c r="P440" s="282">
        <v>7.0324416160583496</v>
      </c>
      <c r="Q440" s="282">
        <v>7.12284135818481</v>
      </c>
      <c r="R440" s="282">
        <v>7.14320993423462</v>
      </c>
      <c r="S440" s="282">
        <v>7.1685328483581499</v>
      </c>
      <c r="T440" s="282">
        <v>7.3589744567871103</v>
      </c>
      <c r="U440" s="282">
        <v>7.4886426925659197</v>
      </c>
      <c r="V440" s="282">
        <v>7.6476154327392596</v>
      </c>
      <c r="W440" s="282">
        <v>7.6766633987426802</v>
      </c>
      <c r="X440" s="282">
        <v>7.8515577316284197</v>
      </c>
      <c r="Y440" s="282">
        <v>7.8973522186279297</v>
      </c>
      <c r="Z440" s="282">
        <v>8.0370302200317401</v>
      </c>
    </row>
    <row r="441" spans="1:26" x14ac:dyDescent="0.25">
      <c r="A441" s="282" t="s">
        <v>607</v>
      </c>
      <c r="B441" s="282"/>
      <c r="C441" s="282"/>
      <c r="D441" s="282">
        <v>11.913727760314901</v>
      </c>
      <c r="E441" s="282">
        <v>14.761161804199199</v>
      </c>
      <c r="F441" s="282">
        <v>11.981869697570801</v>
      </c>
      <c r="G441" s="282">
        <v>12.283256530761699</v>
      </c>
      <c r="H441" s="282">
        <v>12.1389265060425</v>
      </c>
      <c r="I441" s="282">
        <v>12.3170175552368</v>
      </c>
      <c r="J441" s="282">
        <v>13.965456008911101</v>
      </c>
      <c r="K441" s="282">
        <v>13.507596015930201</v>
      </c>
      <c r="L441" s="282">
        <v>13.291357994079601</v>
      </c>
      <c r="M441" s="282">
        <v>13.0437335968018</v>
      </c>
      <c r="N441" s="282">
        <v>12.940827369689901</v>
      </c>
      <c r="O441" s="282">
        <v>12.861621856689499</v>
      </c>
      <c r="P441" s="282">
        <v>12.894752502441399</v>
      </c>
      <c r="Q441" s="282">
        <v>13.0291633605957</v>
      </c>
      <c r="R441" s="282">
        <v>12.9489841461182</v>
      </c>
      <c r="S441" s="282">
        <v>12.946153640747101</v>
      </c>
      <c r="T441" s="282">
        <v>12.9756631851196</v>
      </c>
      <c r="U441" s="282">
        <v>12.953050613403301</v>
      </c>
      <c r="V441" s="282">
        <v>13.079764366149901</v>
      </c>
      <c r="W441" s="282">
        <v>13.110743522644</v>
      </c>
      <c r="X441" s="282">
        <v>13.198463439941399</v>
      </c>
      <c r="Y441" s="282">
        <v>13.2244005203247</v>
      </c>
      <c r="Z441" s="282">
        <v>13.175202369689901</v>
      </c>
    </row>
    <row r="442" spans="1:26" x14ac:dyDescent="0.25">
      <c r="A442" s="282" t="s">
        <v>465</v>
      </c>
      <c r="B442" s="282"/>
      <c r="C442" s="282"/>
      <c r="D442" s="282">
        <v>26.1035976409912</v>
      </c>
      <c r="E442" s="282">
        <v>25.216188430786101</v>
      </c>
      <c r="F442" s="282">
        <v>26.121034622192401</v>
      </c>
      <c r="G442" s="282">
        <v>25.629154205322301</v>
      </c>
      <c r="H442" s="282">
        <v>25.7473449707031</v>
      </c>
      <c r="I442" s="282">
        <v>25.392839431762699</v>
      </c>
      <c r="J442" s="282">
        <v>24.861566543579102</v>
      </c>
      <c r="K442" s="282">
        <v>24.317947387695298</v>
      </c>
      <c r="L442" s="282">
        <v>24.125808715820298</v>
      </c>
      <c r="M442" s="282">
        <v>23.980707168579102</v>
      </c>
      <c r="N442" s="282">
        <v>23.787378311157202</v>
      </c>
      <c r="O442" s="282">
        <v>23.809650421142599</v>
      </c>
      <c r="P442" s="282">
        <v>23.876377105712901</v>
      </c>
      <c r="Q442" s="282">
        <v>24.074831008911101</v>
      </c>
      <c r="R442" s="282">
        <v>24.262081146240199</v>
      </c>
      <c r="S442" s="282">
        <v>24.183790206909201</v>
      </c>
      <c r="T442" s="282">
        <v>24.2170009613037</v>
      </c>
      <c r="U442" s="282">
        <v>24.245899200439499</v>
      </c>
      <c r="V442" s="282">
        <v>24.2234077453613</v>
      </c>
      <c r="W442" s="282">
        <v>24.307447433471701</v>
      </c>
      <c r="X442" s="282">
        <v>24.4279899597168</v>
      </c>
      <c r="Y442" s="282">
        <v>24.465734481811499</v>
      </c>
      <c r="Z442" s="282">
        <v>24.386825561523398</v>
      </c>
    </row>
    <row r="443" spans="1:26" x14ac:dyDescent="0.25">
      <c r="A443" s="282" t="s">
        <v>608</v>
      </c>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spans="1:26" x14ac:dyDescent="0.25">
      <c r="A444" s="282" t="s">
        <v>595</v>
      </c>
      <c r="B444" s="282"/>
      <c r="C444" s="282"/>
      <c r="D444" s="282">
        <v>9.5153579711914098</v>
      </c>
      <c r="E444" s="282">
        <v>11.3847246170044</v>
      </c>
      <c r="F444" s="282">
        <v>13.235827445983899</v>
      </c>
      <c r="G444" s="282">
        <v>14.263434410095201</v>
      </c>
      <c r="H444" s="282">
        <v>13.7692108154297</v>
      </c>
      <c r="I444" s="282">
        <v>12.704180717468301</v>
      </c>
      <c r="J444" s="282">
        <v>11.7051839828491</v>
      </c>
      <c r="K444" s="282">
        <v>10.7794647216797</v>
      </c>
      <c r="L444" s="282">
        <v>10.0299482345581</v>
      </c>
      <c r="M444" s="282">
        <v>9.2896862030029297</v>
      </c>
      <c r="N444" s="282">
        <v>9.1972703933715803</v>
      </c>
      <c r="O444" s="282">
        <v>9.2599020004272496</v>
      </c>
      <c r="P444" s="282">
        <v>9.2775526046752894</v>
      </c>
      <c r="Q444" s="282">
        <v>9.4403448104858398</v>
      </c>
      <c r="R444" s="282">
        <v>9.5352287292480504</v>
      </c>
      <c r="S444" s="282">
        <v>9.7515039443969709</v>
      </c>
      <c r="T444" s="282">
        <v>9.8428487777709996</v>
      </c>
      <c r="U444" s="282">
        <v>9.9595317840576207</v>
      </c>
      <c r="V444" s="282">
        <v>10.1106100082397</v>
      </c>
      <c r="W444" s="282">
        <v>10.0771369934082</v>
      </c>
      <c r="X444" s="282">
        <v>10.217479705810501</v>
      </c>
      <c r="Y444" s="282">
        <v>10.254093170166</v>
      </c>
      <c r="Z444" s="282">
        <v>10.318883895874</v>
      </c>
    </row>
    <row r="445" spans="1:26" x14ac:dyDescent="0.25">
      <c r="A445" s="282" t="s">
        <v>596</v>
      </c>
      <c r="B445" s="282"/>
      <c r="C445" s="282"/>
      <c r="D445" s="282">
        <v>4.9909768104553196</v>
      </c>
      <c r="E445" s="282">
        <v>6.9611043930053702</v>
      </c>
      <c r="F445" s="282">
        <v>7.8457942008972203</v>
      </c>
      <c r="G445" s="282">
        <v>7.1943798065185502</v>
      </c>
      <c r="H445" s="282">
        <v>7.2948379516601598</v>
      </c>
      <c r="I445" s="282">
        <v>6.9926204681396502</v>
      </c>
      <c r="J445" s="282">
        <v>6.5808119773864702</v>
      </c>
      <c r="K445" s="282">
        <v>6.2065305709838903</v>
      </c>
      <c r="L445" s="282">
        <v>5.9029440879821804</v>
      </c>
      <c r="M445" s="282">
        <v>5.45705270767212</v>
      </c>
      <c r="N445" s="282">
        <v>5.4534096717834499</v>
      </c>
      <c r="O445" s="282">
        <v>5.5995068550109899</v>
      </c>
      <c r="P445" s="282">
        <v>5.6287369728088397</v>
      </c>
      <c r="Q445" s="282">
        <v>5.7370648384094203</v>
      </c>
      <c r="R445" s="282">
        <v>5.8140759468078604</v>
      </c>
      <c r="S445" s="282">
        <v>6.0071105957031303</v>
      </c>
      <c r="T445" s="282">
        <v>6.0822205543518102</v>
      </c>
      <c r="U445" s="282">
        <v>6.22955322265625</v>
      </c>
      <c r="V445" s="282">
        <v>6.4186983108520499</v>
      </c>
      <c r="W445" s="282">
        <v>6.3188004493713397</v>
      </c>
      <c r="X445" s="282">
        <v>6.5342454910278303</v>
      </c>
      <c r="Y445" s="282">
        <v>6.5804891586303702</v>
      </c>
      <c r="Z445" s="282">
        <v>6.6370191574096697</v>
      </c>
    </row>
    <row r="446" spans="1:26" x14ac:dyDescent="0.25">
      <c r="A446" s="284" t="s">
        <v>496</v>
      </c>
      <c r="B446" s="284"/>
      <c r="C446" s="284"/>
      <c r="D446" s="282">
        <v>6.1140975952148402</v>
      </c>
      <c r="E446" s="282">
        <v>8.1813249588012695</v>
      </c>
      <c r="F446" s="282">
        <v>6.9707522392272896</v>
      </c>
      <c r="G446" s="282">
        <v>7.1151452064514196</v>
      </c>
      <c r="H446" s="282">
        <v>7.0668158531189</v>
      </c>
      <c r="I446" s="282">
        <v>6.5265731811523402</v>
      </c>
      <c r="J446" s="282">
        <v>6.2202811241149902</v>
      </c>
      <c r="K446" s="282">
        <v>5.8298497200012198</v>
      </c>
      <c r="L446" s="282">
        <v>5.6925516128540004</v>
      </c>
      <c r="M446" s="282">
        <v>5.4995698928832999</v>
      </c>
      <c r="N446" s="282">
        <v>5.54103326797485</v>
      </c>
      <c r="O446" s="282">
        <v>5.5007095336914098</v>
      </c>
      <c r="P446" s="282">
        <v>5.59739446640015</v>
      </c>
      <c r="Q446" s="282">
        <v>5.7880721092224103</v>
      </c>
      <c r="R446" s="282">
        <v>5.7225790023803702</v>
      </c>
      <c r="S446" s="282">
        <v>5.6709170341491699</v>
      </c>
      <c r="T446" s="282">
        <v>5.7639327049255398</v>
      </c>
      <c r="U446" s="282">
        <v>5.72597312927246</v>
      </c>
      <c r="V446" s="282">
        <v>5.8378243446350098</v>
      </c>
      <c r="W446" s="282">
        <v>5.9462161064147896</v>
      </c>
      <c r="X446" s="282">
        <v>6.05735063552856</v>
      </c>
      <c r="Y446" s="282">
        <v>6.0477237701415998</v>
      </c>
      <c r="Z446" s="282">
        <v>6.0664491653442401</v>
      </c>
    </row>
    <row r="447" spans="1:26" x14ac:dyDescent="0.25">
      <c r="A447" s="287" t="s">
        <v>609</v>
      </c>
      <c r="B447" s="287"/>
      <c r="C447" s="287"/>
      <c r="D447" s="282">
        <v>1.4011929035186801</v>
      </c>
      <c r="E447" s="282">
        <v>1.5299999713897701</v>
      </c>
      <c r="F447" s="282">
        <v>1.6714243888855</v>
      </c>
      <c r="G447" s="282">
        <v>1.69177293777466</v>
      </c>
      <c r="H447" s="282">
        <v>1.70398998260498</v>
      </c>
      <c r="I447" s="282">
        <v>1.7000321149826001</v>
      </c>
      <c r="J447" s="282">
        <v>1.7052028179168699</v>
      </c>
      <c r="K447" s="282">
        <v>1.66678094863892</v>
      </c>
      <c r="L447" s="282">
        <v>1.63700723648071</v>
      </c>
      <c r="M447" s="282">
        <v>1.6199716329574601</v>
      </c>
      <c r="N447" s="282">
        <v>1.61296951770782</v>
      </c>
      <c r="O447" s="282">
        <v>1.59987056255341</v>
      </c>
      <c r="P447" s="282">
        <v>1.59190189838409</v>
      </c>
      <c r="Q447" s="282">
        <v>1.5892090797424301</v>
      </c>
      <c r="R447" s="282">
        <v>1.57604885101318</v>
      </c>
      <c r="S447" s="282">
        <v>1.5779995918273899</v>
      </c>
      <c r="T447" s="282">
        <v>1.5809644460678101</v>
      </c>
      <c r="U447" s="282">
        <v>1.5890377759933501</v>
      </c>
      <c r="V447" s="282">
        <v>1.59825491905212</v>
      </c>
      <c r="W447" s="282">
        <v>1.6020262241363501</v>
      </c>
      <c r="X447" s="282">
        <v>1.6148724555969201</v>
      </c>
      <c r="Y447" s="282">
        <v>1.62832856178284</v>
      </c>
      <c r="Z447" s="282">
        <v>1.63934326171875</v>
      </c>
    </row>
    <row r="448" spans="1:26" x14ac:dyDescent="0.25">
      <c r="A448" s="282" t="s">
        <v>610</v>
      </c>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spans="1:70" x14ac:dyDescent="0.25">
      <c r="A449" s="282" t="s">
        <v>594</v>
      </c>
      <c r="B449" s="282"/>
      <c r="C449" s="282"/>
      <c r="D449" s="282">
        <v>12.6906900405884</v>
      </c>
      <c r="E449" s="282">
        <v>17.482444763183601</v>
      </c>
      <c r="F449" s="282">
        <v>19.464084625244102</v>
      </c>
      <c r="G449" s="282">
        <v>18.995626449585</v>
      </c>
      <c r="H449" s="282">
        <v>18.880571365356399</v>
      </c>
      <c r="I449" s="282">
        <v>18.286575317382798</v>
      </c>
      <c r="J449" s="282">
        <v>18.020065307617202</v>
      </c>
      <c r="K449" s="282">
        <v>17.571559906005898</v>
      </c>
      <c r="L449" s="282">
        <v>17.417589187622099</v>
      </c>
      <c r="M449" s="282">
        <v>17.2678737640381</v>
      </c>
      <c r="N449" s="282">
        <v>17.291303634643601</v>
      </c>
      <c r="O449" s="282">
        <v>17.241743087768601</v>
      </c>
      <c r="P449" s="282">
        <v>17.364793777465799</v>
      </c>
      <c r="Q449" s="282">
        <v>17.562221527099599</v>
      </c>
      <c r="R449" s="282">
        <v>17.562810897827099</v>
      </c>
      <c r="S449" s="282">
        <v>17.558799743652301</v>
      </c>
      <c r="T449" s="282">
        <v>17.620630264282202</v>
      </c>
      <c r="U449" s="282">
        <v>17.599321365356399</v>
      </c>
      <c r="V449" s="282">
        <v>17.721448898315401</v>
      </c>
      <c r="W449" s="282">
        <v>17.8418064117432</v>
      </c>
      <c r="X449" s="282">
        <v>17.9907836914063</v>
      </c>
      <c r="Y449" s="282">
        <v>17.9618225097656</v>
      </c>
      <c r="Z449" s="282">
        <v>17.988685607910199</v>
      </c>
    </row>
    <row r="450" spans="1:70" x14ac:dyDescent="0.25">
      <c r="A450" s="282" t="s">
        <v>603</v>
      </c>
      <c r="B450" s="282"/>
      <c r="C450" s="282"/>
      <c r="D450" s="282">
        <v>20.914932250976602</v>
      </c>
      <c r="E450" s="282">
        <v>23.101913452148398</v>
      </c>
      <c r="F450" s="282">
        <v>24.811454772949201</v>
      </c>
      <c r="G450" s="282">
        <v>27.774848937988299</v>
      </c>
      <c r="H450" s="282">
        <v>25.9952602386475</v>
      </c>
      <c r="I450" s="282">
        <v>24.2666110992432</v>
      </c>
      <c r="J450" s="282">
        <v>21.291254043579102</v>
      </c>
      <c r="K450" s="282">
        <v>20.525190353393601</v>
      </c>
      <c r="L450" s="282">
        <v>20.3361301422119</v>
      </c>
      <c r="M450" s="282">
        <v>20.197395324706999</v>
      </c>
      <c r="N450" s="282">
        <v>20.009881973266602</v>
      </c>
      <c r="O450" s="282">
        <v>20.093305587768601</v>
      </c>
      <c r="P450" s="282">
        <v>20.196292877197301</v>
      </c>
      <c r="Q450" s="282">
        <v>20.4327602386475</v>
      </c>
      <c r="R450" s="282">
        <v>20.4076957702637</v>
      </c>
      <c r="S450" s="282">
        <v>20.624263763427699</v>
      </c>
      <c r="T450" s="282">
        <v>20.610368728637699</v>
      </c>
      <c r="U450" s="282">
        <v>20.617734909057599</v>
      </c>
      <c r="V450" s="282">
        <v>21.067132949829102</v>
      </c>
      <c r="W450" s="282">
        <v>20.970218658447301</v>
      </c>
      <c r="X450" s="282">
        <v>20.962213516235401</v>
      </c>
      <c r="Y450" s="282">
        <v>21.257926940918001</v>
      </c>
      <c r="Z450" s="282">
        <v>21.098123550415</v>
      </c>
    </row>
    <row r="451" spans="1:70" x14ac:dyDescent="0.25">
      <c r="A451" s="282" t="s">
        <v>604</v>
      </c>
      <c r="B451" s="282"/>
      <c r="C451" s="282"/>
      <c r="D451" s="282">
        <v>15.706001281738301</v>
      </c>
      <c r="E451" s="282">
        <v>18.602125167846701</v>
      </c>
      <c r="F451" s="282">
        <v>21.1080112457275</v>
      </c>
      <c r="G451" s="282">
        <v>20.962741851806602</v>
      </c>
      <c r="H451" s="282">
        <v>19.720066070556602</v>
      </c>
      <c r="I451" s="282">
        <v>18.690637588501001</v>
      </c>
      <c r="J451" s="282">
        <v>17.900485992431602</v>
      </c>
      <c r="K451" s="282">
        <v>17.230388641357401</v>
      </c>
      <c r="L451" s="282">
        <v>16.861814498901399</v>
      </c>
      <c r="M451" s="282">
        <v>16.564214706420898</v>
      </c>
      <c r="N451" s="282">
        <v>16.0839519500732</v>
      </c>
      <c r="O451" s="282">
        <v>16.0615749359131</v>
      </c>
      <c r="P451" s="282">
        <v>16.110080718994102</v>
      </c>
      <c r="Q451" s="282">
        <v>16.238643646240199</v>
      </c>
      <c r="R451" s="282">
        <v>16.322971343994102</v>
      </c>
      <c r="S451" s="282">
        <v>16.671089172363299</v>
      </c>
      <c r="T451" s="282">
        <v>16.630247116088899</v>
      </c>
      <c r="U451" s="282">
        <v>16.7495441436768</v>
      </c>
      <c r="V451" s="282">
        <v>17.049686431884801</v>
      </c>
      <c r="W451" s="282">
        <v>16.918500900268601</v>
      </c>
      <c r="X451" s="282">
        <v>17.100944519043001</v>
      </c>
      <c r="Y451" s="282">
        <v>17.321361541748001</v>
      </c>
      <c r="Z451" s="282">
        <v>17.142530441284201</v>
      </c>
    </row>
    <row r="452" spans="1:70" x14ac:dyDescent="0.25">
      <c r="A452" s="282" t="s">
        <v>611</v>
      </c>
      <c r="B452" s="282"/>
      <c r="C452" s="282"/>
      <c r="D452" s="282">
        <v>9.2184209823608398</v>
      </c>
      <c r="E452" s="282">
        <v>13.1439361572266</v>
      </c>
      <c r="F452" s="282">
        <v>14.9574270248413</v>
      </c>
      <c r="G452" s="282">
        <v>12.9907026290894</v>
      </c>
      <c r="H452" s="282">
        <v>11.722384452819799</v>
      </c>
      <c r="I452" s="282">
        <v>11.2624855041504</v>
      </c>
      <c r="J452" s="282">
        <v>10.9056959152222</v>
      </c>
      <c r="K452" s="282">
        <v>10.3720808029175</v>
      </c>
      <c r="L452" s="282">
        <v>10.059165954589799</v>
      </c>
      <c r="M452" s="282">
        <v>10.0335283279419</v>
      </c>
      <c r="N452" s="282">
        <v>9.8430700302124006</v>
      </c>
      <c r="O452" s="282">
        <v>9.8874025344848597</v>
      </c>
      <c r="P452" s="282">
        <v>10.0322532653809</v>
      </c>
      <c r="Q452" s="282">
        <v>10.087176322936999</v>
      </c>
      <c r="R452" s="282">
        <v>10.2108345031738</v>
      </c>
      <c r="S452" s="282">
        <v>10.523097038269</v>
      </c>
      <c r="T452" s="282">
        <v>10.506872177124</v>
      </c>
      <c r="U452" s="282">
        <v>10.5880041122437</v>
      </c>
      <c r="V452" s="282">
        <v>10.8930578231812</v>
      </c>
      <c r="W452" s="282">
        <v>10.788450241088899</v>
      </c>
      <c r="X452" s="282">
        <v>10.9106340408325</v>
      </c>
      <c r="Y452" s="282">
        <v>11.0979099273682</v>
      </c>
      <c r="Z452" s="282">
        <v>11.0487413406372</v>
      </c>
    </row>
    <row r="453" spans="1:70" x14ac:dyDescent="0.25">
      <c r="A453" s="282" t="s">
        <v>595</v>
      </c>
      <c r="B453" s="282"/>
      <c r="C453" s="282"/>
      <c r="D453" s="282">
        <v>12.9106340408325</v>
      </c>
      <c r="E453" s="282">
        <v>16.217037200927699</v>
      </c>
      <c r="F453" s="282">
        <v>18.421550750732401</v>
      </c>
      <c r="G453" s="282">
        <v>18.437913894653299</v>
      </c>
      <c r="H453" s="282">
        <v>17.199058532714801</v>
      </c>
      <c r="I453" s="282">
        <v>16.296318054199201</v>
      </c>
      <c r="J453" s="282">
        <v>15.704516410827599</v>
      </c>
      <c r="K453" s="282">
        <v>14.921827316284199</v>
      </c>
      <c r="L453" s="282">
        <v>14.360170364379901</v>
      </c>
      <c r="M453" s="282">
        <v>14.182985305786101</v>
      </c>
      <c r="N453" s="282">
        <v>13.862556457519499</v>
      </c>
      <c r="O453" s="282">
        <v>13.915904045105</v>
      </c>
      <c r="P453" s="282">
        <v>14.153459548950201</v>
      </c>
      <c r="Q453" s="282">
        <v>14.1445617675781</v>
      </c>
      <c r="R453" s="282">
        <v>14.2399711608887</v>
      </c>
      <c r="S453" s="282">
        <v>14.558382987976101</v>
      </c>
      <c r="T453" s="282">
        <v>14.527869224548301</v>
      </c>
      <c r="U453" s="282">
        <v>14.6189737319946</v>
      </c>
      <c r="V453" s="282">
        <v>14.9021968841553</v>
      </c>
      <c r="W453" s="282">
        <v>14.6463842391968</v>
      </c>
      <c r="X453" s="282">
        <v>14.8252000808716</v>
      </c>
      <c r="Y453" s="282">
        <v>15.0819444656372</v>
      </c>
      <c r="Z453" s="282">
        <v>15.031323432922401</v>
      </c>
    </row>
    <row r="454" spans="1:70" x14ac:dyDescent="0.25">
      <c r="A454" s="282" t="s">
        <v>596</v>
      </c>
      <c r="B454" s="282"/>
      <c r="C454" s="282"/>
      <c r="D454" s="282">
        <v>5.0985417366027797</v>
      </c>
      <c r="E454" s="282">
        <v>6.5886197090148899</v>
      </c>
      <c r="F454" s="282">
        <v>7.9185199737548801</v>
      </c>
      <c r="G454" s="282">
        <v>8.2529850006103498</v>
      </c>
      <c r="H454" s="282">
        <v>8.4050197601318395</v>
      </c>
      <c r="I454" s="282">
        <v>8.0572872161865199</v>
      </c>
      <c r="J454" s="282">
        <v>7.6087560653686497</v>
      </c>
      <c r="K454" s="282">
        <v>7.1943945884704599</v>
      </c>
      <c r="L454" s="282">
        <v>6.8676166534423801</v>
      </c>
      <c r="M454" s="282">
        <v>6.4547815322876003</v>
      </c>
      <c r="N454" s="282">
        <v>6.4073238372802699</v>
      </c>
      <c r="O454" s="282">
        <v>6.54701900482178</v>
      </c>
      <c r="P454" s="282">
        <v>6.5695567131042498</v>
      </c>
      <c r="Q454" s="282">
        <v>6.6816062927246103</v>
      </c>
      <c r="R454" s="282">
        <v>6.7372307777404803</v>
      </c>
      <c r="S454" s="282">
        <v>6.86507225036621</v>
      </c>
      <c r="T454" s="282">
        <v>6.9956922531127903</v>
      </c>
      <c r="U454" s="282">
        <v>7.1396765708923304</v>
      </c>
      <c r="V454" s="282">
        <v>7.3088741302490199</v>
      </c>
      <c r="W454" s="282">
        <v>7.2670574188232404</v>
      </c>
      <c r="X454" s="282">
        <v>7.4510564804077104</v>
      </c>
      <c r="Y454" s="282">
        <v>7.4737396240234402</v>
      </c>
      <c r="Z454" s="282">
        <v>7.5808291435241699</v>
      </c>
    </row>
    <row r="455" spans="1:70" x14ac:dyDescent="0.25">
      <c r="A455" s="282" t="s">
        <v>496</v>
      </c>
      <c r="B455" s="282"/>
      <c r="C455" s="282"/>
      <c r="D455" s="282">
        <v>7.8259296417236301</v>
      </c>
      <c r="E455" s="282">
        <v>9.6487970352172905</v>
      </c>
      <c r="F455" s="282">
        <v>9.1377601623535192</v>
      </c>
      <c r="G455" s="282">
        <v>8.7611961364746094</v>
      </c>
      <c r="H455" s="282">
        <v>8.6626396179199201</v>
      </c>
      <c r="I455" s="282">
        <v>8.1270828247070295</v>
      </c>
      <c r="J455" s="282">
        <v>7.8336372375488299</v>
      </c>
      <c r="K455" s="282">
        <v>7.4448304176330602</v>
      </c>
      <c r="L455" s="282">
        <v>7.2887372970581099</v>
      </c>
      <c r="M455" s="282">
        <v>7.0927038192748997</v>
      </c>
      <c r="N455" s="282">
        <v>7.1150150299072301</v>
      </c>
      <c r="O455" s="282">
        <v>7.0641679763793901</v>
      </c>
      <c r="P455" s="282">
        <v>7.1520218849182102</v>
      </c>
      <c r="Q455" s="282">
        <v>7.3469972610473597</v>
      </c>
      <c r="R455" s="282">
        <v>7.2896466255187997</v>
      </c>
      <c r="S455" s="282">
        <v>7.2448530197143599</v>
      </c>
      <c r="T455" s="282">
        <v>7.3207983970642099</v>
      </c>
      <c r="U455" s="282">
        <v>7.3070926666259801</v>
      </c>
      <c r="V455" s="282">
        <v>7.4372458457946804</v>
      </c>
      <c r="W455" s="282">
        <v>7.5700182914733896</v>
      </c>
      <c r="X455" s="282">
        <v>7.6924967765808097</v>
      </c>
      <c r="Y455" s="282">
        <v>7.6794857978820801</v>
      </c>
      <c r="Z455" s="282">
        <v>7.7304539680481001</v>
      </c>
    </row>
    <row r="456" spans="1:70" x14ac:dyDescent="0.25">
      <c r="A456" s="282" t="s">
        <v>599</v>
      </c>
      <c r="B456" s="282"/>
      <c r="C456" s="282"/>
      <c r="D456" s="282">
        <v>2.3078472614288299</v>
      </c>
      <c r="E456" s="282">
        <v>3.0599997043609601</v>
      </c>
      <c r="F456" s="282">
        <v>3.2548489570617698</v>
      </c>
      <c r="G456" s="282">
        <v>3.2975256443023699</v>
      </c>
      <c r="H456" s="282">
        <v>3.2872827053070099</v>
      </c>
      <c r="I456" s="282">
        <v>3.1889374256134002</v>
      </c>
      <c r="J456" s="282">
        <v>3.0940959453582799</v>
      </c>
      <c r="K456" s="282">
        <v>2.9914577007293701</v>
      </c>
      <c r="L456" s="282">
        <v>2.8927016258239702</v>
      </c>
      <c r="M456" s="282">
        <v>2.78926348686218</v>
      </c>
      <c r="N456" s="282">
        <v>2.7408642768859899</v>
      </c>
      <c r="O456" s="282">
        <v>2.7166485786438002</v>
      </c>
      <c r="P456" s="282">
        <v>2.7061200141906698</v>
      </c>
      <c r="Q456" s="282">
        <v>2.7063503265380899</v>
      </c>
      <c r="R456" s="282">
        <v>2.7045123577117902</v>
      </c>
      <c r="S456" s="282">
        <v>2.68979120254517</v>
      </c>
      <c r="T456" s="282">
        <v>2.7072892189025901</v>
      </c>
      <c r="U456" s="282">
        <v>2.71812868118286</v>
      </c>
      <c r="V456" s="282">
        <v>2.7191135883331299</v>
      </c>
      <c r="W456" s="282">
        <v>2.7064330577850302</v>
      </c>
      <c r="X456" s="282">
        <v>2.68589544296265</v>
      </c>
      <c r="Y456" s="282">
        <v>2.69574999809265</v>
      </c>
      <c r="Z456" s="282">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282" t="s">
        <v>612</v>
      </c>
      <c r="B457" s="282"/>
      <c r="C457" s="282"/>
      <c r="D457" s="282">
        <v>1.43066883087158</v>
      </c>
      <c r="E457" s="282">
        <v>1.5706532001495399</v>
      </c>
      <c r="F457" s="282">
        <v>1.7059867382049601</v>
      </c>
      <c r="G457" s="282">
        <v>1.7268872261047401</v>
      </c>
      <c r="H457" s="282">
        <v>1.7392324209213299</v>
      </c>
      <c r="I457" s="282">
        <v>1.7345312833786</v>
      </c>
      <c r="J457" s="282">
        <v>1.7401528358459499</v>
      </c>
      <c r="K457" s="282">
        <v>1.7026997804641699</v>
      </c>
      <c r="L457" s="282">
        <v>1.67319643497467</v>
      </c>
      <c r="M457" s="282">
        <v>1.6556009054184</v>
      </c>
      <c r="N457" s="282">
        <v>1.6479283571243299</v>
      </c>
      <c r="O457" s="282">
        <v>1.63474309444427</v>
      </c>
      <c r="P457" s="282">
        <v>1.6263667345046999</v>
      </c>
      <c r="Q457" s="282">
        <v>1.6231272220611599</v>
      </c>
      <c r="R457" s="282">
        <v>1.60980331897736</v>
      </c>
      <c r="S457" s="282">
        <v>1.6111264228820801</v>
      </c>
      <c r="T457" s="282">
        <v>1.61373710632324</v>
      </c>
      <c r="U457" s="282">
        <v>1.6214674711227399</v>
      </c>
      <c r="V457" s="282">
        <v>1.6300570964813199</v>
      </c>
      <c r="W457" s="282">
        <v>1.6331868171691899</v>
      </c>
      <c r="X457" s="282">
        <v>1.6452817916870099</v>
      </c>
      <c r="Y457" s="282">
        <v>1.6581670045852701</v>
      </c>
      <c r="Z457" s="282">
        <v>1.6686607599258401</v>
      </c>
    </row>
    <row r="458" spans="1:70" x14ac:dyDescent="0.25">
      <c r="A458" s="282" t="s">
        <v>601</v>
      </c>
      <c r="B458" s="282"/>
      <c r="C458" s="282"/>
      <c r="D458" s="282" t="s">
        <v>1055</v>
      </c>
      <c r="E458" s="282" t="s">
        <v>1055</v>
      </c>
      <c r="F458" s="282" t="s">
        <v>1055</v>
      </c>
      <c r="G458" s="282" t="s">
        <v>1055</v>
      </c>
      <c r="H458" s="282" t="s">
        <v>1055</v>
      </c>
      <c r="I458" s="282" t="s">
        <v>1055</v>
      </c>
      <c r="J458" s="282" t="s">
        <v>1055</v>
      </c>
      <c r="K458" s="282">
        <v>0.88956671953201305</v>
      </c>
      <c r="L458" s="282">
        <v>0.881245017051697</v>
      </c>
      <c r="M458" s="282">
        <v>0.88442194461822499</v>
      </c>
      <c r="N458" s="282">
        <v>0.89085346460342396</v>
      </c>
      <c r="O458" s="282">
        <v>0.88840740919113204</v>
      </c>
      <c r="P458" s="282">
        <v>0.89322775602340698</v>
      </c>
      <c r="Q458" s="282">
        <v>0.90440875291824296</v>
      </c>
      <c r="R458" s="282">
        <v>0.91453087329864502</v>
      </c>
      <c r="S458" s="282">
        <v>0.95469778776168801</v>
      </c>
      <c r="T458" s="282">
        <v>0.96978461742401101</v>
      </c>
      <c r="U458" s="282">
        <v>1.01334369182587</v>
      </c>
      <c r="V458" s="282">
        <v>1.02781510353088</v>
      </c>
      <c r="W458" s="282">
        <v>1.0294380187988299</v>
      </c>
      <c r="X458" s="282">
        <v>1.1219843626022299</v>
      </c>
      <c r="Y458" s="282">
        <v>1.2297383546829199</v>
      </c>
      <c r="Z458" s="282">
        <v>1.26935982704163</v>
      </c>
    </row>
    <row r="459" spans="1:70" x14ac:dyDescent="0.25">
      <c r="A459" s="282" t="s">
        <v>465</v>
      </c>
      <c r="B459" s="282"/>
      <c r="C459" s="282"/>
      <c r="D459" s="282">
        <v>23.009492874145501</v>
      </c>
      <c r="E459" s="282">
        <v>23.734071731567401</v>
      </c>
      <c r="F459" s="282">
        <v>24.3845615386963</v>
      </c>
      <c r="G459" s="282">
        <v>24.318822860717798</v>
      </c>
      <c r="H459" s="282">
        <v>24.297929763793899</v>
      </c>
      <c r="I459" s="282">
        <v>24.022377014160199</v>
      </c>
      <c r="J459" s="282">
        <v>23.662025451660199</v>
      </c>
      <c r="K459" s="282">
        <v>23.093143463134801</v>
      </c>
      <c r="L459" s="282">
        <v>22.802413940429702</v>
      </c>
      <c r="M459" s="282">
        <v>22.663448333740199</v>
      </c>
      <c r="N459" s="282">
        <v>22.5459308624268</v>
      </c>
      <c r="O459" s="282">
        <v>22.5456428527832</v>
      </c>
      <c r="P459" s="282">
        <v>22.688844680786101</v>
      </c>
      <c r="Q459" s="282">
        <v>22.9480895996094</v>
      </c>
      <c r="R459" s="282">
        <v>23.136041641235401</v>
      </c>
      <c r="S459" s="282">
        <v>23.0899753570557</v>
      </c>
      <c r="T459" s="282">
        <v>23.154170989990199</v>
      </c>
      <c r="U459" s="282">
        <v>23.213594436645501</v>
      </c>
      <c r="V459" s="282">
        <v>23.230543136596701</v>
      </c>
      <c r="W459" s="282">
        <v>23.3047065734863</v>
      </c>
      <c r="X459" s="282">
        <v>23.429094314575199</v>
      </c>
      <c r="Y459" s="282">
        <v>23.4709377288818</v>
      </c>
      <c r="Z459" s="282">
        <v>23.433801651001001</v>
      </c>
    </row>
    <row r="460" spans="1:70" x14ac:dyDescent="0.25">
      <c r="A460" s="282" t="s">
        <v>499</v>
      </c>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spans="1:70" x14ac:dyDescent="0.25">
      <c r="A461" s="282" t="s">
        <v>613</v>
      </c>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spans="1:70" x14ac:dyDescent="0.25">
      <c r="A462" s="282" t="s">
        <v>459</v>
      </c>
      <c r="B462" s="282"/>
      <c r="C462" s="282"/>
      <c r="D462" s="282">
        <v>195.98880004882801</v>
      </c>
      <c r="E462" s="282">
        <v>215.13366699218801</v>
      </c>
      <c r="F462" s="282">
        <v>218.80557250976599</v>
      </c>
      <c r="G462" s="282">
        <v>221.29866027832</v>
      </c>
      <c r="H462" s="282">
        <v>223.50036621093801</v>
      </c>
      <c r="I462" s="282">
        <v>221.10458374023401</v>
      </c>
      <c r="J462" s="282">
        <v>220.438400268555</v>
      </c>
      <c r="K462" s="282">
        <v>218.08479309082</v>
      </c>
      <c r="L462" s="282">
        <v>218.45701599121099</v>
      </c>
      <c r="M462" s="282">
        <v>217.84970092773401</v>
      </c>
      <c r="N462" s="282">
        <v>219.40165710449199</v>
      </c>
      <c r="O462" s="282">
        <v>221.00289916992199</v>
      </c>
      <c r="P462" s="282">
        <v>224.59239196777301</v>
      </c>
      <c r="Q462" s="282">
        <v>228.53056335449199</v>
      </c>
      <c r="R462" s="282">
        <v>230.97148132324199</v>
      </c>
      <c r="S462" s="282">
        <v>232.57162475585901</v>
      </c>
      <c r="T462" s="282">
        <v>236.03457641601599</v>
      </c>
      <c r="U462" s="282">
        <v>237.58020019531301</v>
      </c>
      <c r="V462" s="282">
        <v>240.43632507324199</v>
      </c>
      <c r="W462" s="282">
        <v>243.39186096191401</v>
      </c>
      <c r="X462" s="282">
        <v>247.24427795410199</v>
      </c>
      <c r="Y462" s="282">
        <v>248.98767089843801</v>
      </c>
      <c r="Z462" s="282">
        <v>251.02548217773401</v>
      </c>
    </row>
    <row r="463" spans="1:70" x14ac:dyDescent="0.25">
      <c r="A463" s="282" t="s">
        <v>466</v>
      </c>
      <c r="B463" s="282"/>
      <c r="C463" s="282"/>
      <c r="D463" s="282">
        <v>141.77845764160199</v>
      </c>
      <c r="E463" s="282">
        <v>154.38449096679699</v>
      </c>
      <c r="F463" s="282">
        <v>157.84999084472699</v>
      </c>
      <c r="G463" s="282">
        <v>156.06527709960901</v>
      </c>
      <c r="H463" s="282">
        <v>159.312088012695</v>
      </c>
      <c r="I463" s="282">
        <v>158.53677368164099</v>
      </c>
      <c r="J463" s="282">
        <v>157.966796875</v>
      </c>
      <c r="K463" s="282">
        <v>156.350173950195</v>
      </c>
      <c r="L463" s="282">
        <v>157.31393432617199</v>
      </c>
      <c r="M463" s="282">
        <v>158.58882141113301</v>
      </c>
      <c r="N463" s="282">
        <v>160.74195861816401</v>
      </c>
      <c r="O463" s="282">
        <v>163.37489318847699</v>
      </c>
      <c r="P463" s="282">
        <v>167.20817565918</v>
      </c>
      <c r="Q463" s="282">
        <v>172.04411315918</v>
      </c>
      <c r="R463" s="282">
        <v>175.58262634277301</v>
      </c>
      <c r="S463" s="282">
        <v>178.093505859375</v>
      </c>
      <c r="T463" s="282">
        <v>181.73991394043</v>
      </c>
      <c r="U463" s="282">
        <v>185.01341247558599</v>
      </c>
      <c r="V463" s="282">
        <v>188.79048156738301</v>
      </c>
      <c r="W463" s="282">
        <v>192.86947631835901</v>
      </c>
      <c r="X463" s="282">
        <v>197.36026000976599</v>
      </c>
      <c r="Y463" s="282">
        <v>201.10684204101599</v>
      </c>
      <c r="Z463" s="282">
        <v>204.49230957031301</v>
      </c>
    </row>
    <row r="464" spans="1:70" x14ac:dyDescent="0.25">
      <c r="A464" s="282" t="s">
        <v>501</v>
      </c>
      <c r="B464" s="282"/>
      <c r="C464" s="282"/>
      <c r="D464" s="282">
        <v>184.22943115234401</v>
      </c>
      <c r="E464" s="282">
        <v>196.07313537597699</v>
      </c>
      <c r="F464" s="282">
        <v>205.39855957031301</v>
      </c>
      <c r="G464" s="282">
        <v>217.87611389160199</v>
      </c>
      <c r="H464" s="282">
        <v>214.14784240722699</v>
      </c>
      <c r="I464" s="282">
        <v>207.11370849609401</v>
      </c>
      <c r="J464" s="282">
        <v>200.48422241210901</v>
      </c>
      <c r="K464" s="282">
        <v>191.81477355957</v>
      </c>
      <c r="L464" s="282">
        <v>187.29217529296901</v>
      </c>
      <c r="M464" s="282">
        <v>184.91578674316401</v>
      </c>
      <c r="N464" s="282">
        <v>184.25204467773401</v>
      </c>
      <c r="O464" s="282">
        <v>184.11447143554699</v>
      </c>
      <c r="P464" s="282">
        <v>186.80691528320301</v>
      </c>
      <c r="Q464" s="282">
        <v>189.66255187988301</v>
      </c>
      <c r="R464" s="282">
        <v>190.49990844726599</v>
      </c>
      <c r="S464" s="282">
        <v>192.03105163574199</v>
      </c>
      <c r="T464" s="282">
        <v>194.88296508789099</v>
      </c>
      <c r="U464" s="282">
        <v>196.87213134765599</v>
      </c>
      <c r="V464" s="282">
        <v>200.07191467285199</v>
      </c>
      <c r="W464" s="282">
        <v>202.13279724121099</v>
      </c>
      <c r="X464" s="282">
        <v>205.48814392089801</v>
      </c>
      <c r="Y464" s="282">
        <v>206.97822570800801</v>
      </c>
      <c r="Z464" s="282">
        <v>209.30905151367199</v>
      </c>
    </row>
    <row r="465" spans="1:70" x14ac:dyDescent="0.25">
      <c r="A465" s="282" t="s">
        <v>473</v>
      </c>
      <c r="B465" s="282"/>
      <c r="C465" s="282"/>
      <c r="D465" s="282">
        <v>385.00112915039102</v>
      </c>
      <c r="E465" s="282">
        <v>474.66281127929699</v>
      </c>
      <c r="F465" s="282">
        <v>545.7236328125</v>
      </c>
      <c r="G465" s="282">
        <v>538.79211425781295</v>
      </c>
      <c r="H465" s="282">
        <v>508.11019897460898</v>
      </c>
      <c r="I465" s="282">
        <v>488.44781494140602</v>
      </c>
      <c r="J465" s="282">
        <v>476.37777709960898</v>
      </c>
      <c r="K465" s="282">
        <v>463.41403198242199</v>
      </c>
      <c r="L465" s="282">
        <v>458.16046142578102</v>
      </c>
      <c r="M465" s="282">
        <v>458.57275390625</v>
      </c>
      <c r="N465" s="282">
        <v>452.78533935546898</v>
      </c>
      <c r="O465" s="282">
        <v>459.41848754882801</v>
      </c>
      <c r="P465" s="282">
        <v>469.74392700195301</v>
      </c>
      <c r="Q465" s="282">
        <v>478.67190551757801</v>
      </c>
      <c r="R465" s="282">
        <v>487.87078857421898</v>
      </c>
      <c r="S465" s="282">
        <v>505.29348754882801</v>
      </c>
      <c r="T465" s="282">
        <v>511.07485961914102</v>
      </c>
      <c r="U465" s="282">
        <v>521.646240234375</v>
      </c>
      <c r="V465" s="282">
        <v>538.77532958984398</v>
      </c>
      <c r="W465" s="282">
        <v>540.642822265625</v>
      </c>
      <c r="X465" s="282">
        <v>554.21173095703102</v>
      </c>
      <c r="Y465" s="282">
        <v>570.280029296875</v>
      </c>
      <c r="Z465" s="282">
        <v>574.30035400390602</v>
      </c>
    </row>
    <row r="466" spans="1:70" x14ac:dyDescent="0.25">
      <c r="A466" s="282" t="s">
        <v>502</v>
      </c>
      <c r="B466" s="282"/>
      <c r="C466" s="282"/>
      <c r="D466" s="282">
        <v>906.997802734375</v>
      </c>
      <c r="E466" s="282">
        <v>1040.25415039063</v>
      </c>
      <c r="F466" s="282">
        <v>1127.77770996094</v>
      </c>
      <c r="G466" s="282">
        <v>1134.0322265625</v>
      </c>
      <c r="H466" s="282">
        <v>1105.07055664063</v>
      </c>
      <c r="I466" s="282">
        <v>1075.20288085938</v>
      </c>
      <c r="J466" s="282">
        <v>1055.26721191406</v>
      </c>
      <c r="K466" s="282">
        <v>1029.66381835938</v>
      </c>
      <c r="L466" s="282">
        <v>1021.22357177734</v>
      </c>
      <c r="M466" s="282">
        <v>1019.92706298828</v>
      </c>
      <c r="N466" s="282">
        <v>1017.18103027344</v>
      </c>
      <c r="O466" s="282">
        <v>1027.91076660156</v>
      </c>
      <c r="P466" s="282">
        <v>1048.35144042969</v>
      </c>
      <c r="Q466" s="282">
        <v>1068.9091796875</v>
      </c>
      <c r="R466" s="282">
        <v>1084.9248046875</v>
      </c>
      <c r="S466" s="282">
        <v>1107.98962402344</v>
      </c>
      <c r="T466" s="282">
        <v>1123.73229980469</v>
      </c>
      <c r="U466" s="282">
        <v>1141.11193847656</v>
      </c>
      <c r="V466" s="282">
        <v>1168.07409667969</v>
      </c>
      <c r="W466" s="282">
        <v>1179.03698730469</v>
      </c>
      <c r="X466" s="282">
        <v>1204.30444335938</v>
      </c>
      <c r="Y466" s="282">
        <v>1227.35278320313</v>
      </c>
      <c r="Z466" s="282">
        <v>1239.12719726563</v>
      </c>
    </row>
    <row r="467" spans="1:70" x14ac:dyDescent="0.25">
      <c r="A467" s="282" t="s">
        <v>614</v>
      </c>
      <c r="B467" s="282"/>
      <c r="C467" s="282"/>
      <c r="D467" s="282">
        <v>2.27928571403027E-2</v>
      </c>
      <c r="E467" s="282">
        <v>3.3822253346443197E-2</v>
      </c>
      <c r="F467" s="282">
        <v>4.68330308794975E-2</v>
      </c>
      <c r="G467" s="282">
        <v>4.2311083525419201E-2</v>
      </c>
      <c r="H467" s="282">
        <v>4.6379543840885197E-2</v>
      </c>
      <c r="I467" s="282">
        <v>5.0339180976152399E-2</v>
      </c>
      <c r="J467" s="282">
        <v>6.3796535134315505E-2</v>
      </c>
      <c r="K467" s="282">
        <v>7.1353547275066403E-2</v>
      </c>
      <c r="L467" s="282">
        <v>7.5695373117923695E-2</v>
      </c>
      <c r="M467" s="282">
        <v>8.06071981787682E-2</v>
      </c>
      <c r="N467" s="282">
        <v>8.2480475306510898E-2</v>
      </c>
      <c r="O467" s="282">
        <v>8.9031867682933793E-2</v>
      </c>
      <c r="P467" s="282">
        <v>9.6231654286384596E-2</v>
      </c>
      <c r="Q467" s="282">
        <v>0.10344713926315301</v>
      </c>
      <c r="R467" s="282">
        <v>0.112680315971375</v>
      </c>
      <c r="S467" s="282">
        <v>0.13150542974471999</v>
      </c>
      <c r="T467" s="282">
        <v>0.15408998727798501</v>
      </c>
      <c r="U467" s="282">
        <v>0.18660007417201999</v>
      </c>
      <c r="V467" s="282">
        <v>0.21707823872566201</v>
      </c>
      <c r="W467" s="282">
        <v>0.243339464068413</v>
      </c>
      <c r="X467" s="282">
        <v>0.28575915098190302</v>
      </c>
      <c r="Y467" s="282">
        <v>0.31987324357032798</v>
      </c>
      <c r="Z467" s="282">
        <v>0.34808513522148099</v>
      </c>
    </row>
    <row r="468" spans="1:70" x14ac:dyDescent="0.25">
      <c r="A468" s="282" t="s">
        <v>504</v>
      </c>
      <c r="B468" s="282"/>
      <c r="C468" s="282"/>
      <c r="D468" s="282">
        <v>907.02056884765602</v>
      </c>
      <c r="E468" s="282">
        <v>1040.28796386719</v>
      </c>
      <c r="F468" s="282">
        <v>1127.82458496094</v>
      </c>
      <c r="G468" s="282">
        <v>1134.07458496094</v>
      </c>
      <c r="H468" s="282">
        <v>1105.11694335938</v>
      </c>
      <c r="I468" s="282">
        <v>1075.25317382813</v>
      </c>
      <c r="J468" s="282">
        <v>1055.3310546875</v>
      </c>
      <c r="K468" s="282">
        <v>1029.73522949219</v>
      </c>
      <c r="L468" s="282">
        <v>1021.29925537109</v>
      </c>
      <c r="M468" s="282">
        <v>1020.00769042969</v>
      </c>
      <c r="N468" s="282">
        <v>1017.26348876953</v>
      </c>
      <c r="O468" s="282">
        <v>1027.99975585938</v>
      </c>
      <c r="P468" s="282">
        <v>1048.44763183594</v>
      </c>
      <c r="Q468" s="282">
        <v>1069.01257324219</v>
      </c>
      <c r="R468" s="282">
        <v>1085.03747558594</v>
      </c>
      <c r="S468" s="282">
        <v>1108.12109375</v>
      </c>
      <c r="T468" s="282">
        <v>1123.88635253906</v>
      </c>
      <c r="U468" s="282">
        <v>1141.29858398438</v>
      </c>
      <c r="V468" s="282">
        <v>1168.29113769531</v>
      </c>
      <c r="W468" s="282">
        <v>1179.2802734375</v>
      </c>
      <c r="X468" s="282">
        <v>1204.59020996094</v>
      </c>
      <c r="Y468" s="282">
        <v>1227.67260742188</v>
      </c>
      <c r="Z468" s="282">
        <v>1239.47534179688</v>
      </c>
    </row>
    <row r="469" spans="1:70" x14ac:dyDescent="0.25">
      <c r="A469" s="270" t="s">
        <v>1054</v>
      </c>
      <c r="B469" s="234" t="s">
        <v>578</v>
      </c>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spans="1:70" ht="13.8" thickBot="1" x14ac:dyDescent="0.3">
      <c r="A470" s="259" t="s">
        <v>308</v>
      </c>
      <c r="B470" s="234" t="s">
        <v>578</v>
      </c>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spans="1:70" ht="13.8" thickBot="1" x14ac:dyDescent="0.3">
      <c r="A471" s="282" t="s">
        <v>951</v>
      </c>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c r="AA471" s="260">
        <f>Z641+($AI$471-$Y$641)/10</f>
        <v>8.1072037368774854</v>
      </c>
      <c r="AB471" s="260">
        <f t="shared" ref="AB471:AH471" si="48">AA471+($AI$471-$Y$641)/10</f>
        <v>8.1552847846985532</v>
      </c>
      <c r="AC471" s="260">
        <f t="shared" si="48"/>
        <v>8.203365832519621</v>
      </c>
      <c r="AD471" s="260">
        <f t="shared" si="48"/>
        <v>8.2514468803406888</v>
      </c>
      <c r="AE471" s="260">
        <f t="shared" si="48"/>
        <v>8.2995279281617567</v>
      </c>
      <c r="AF471" s="260">
        <f t="shared" si="48"/>
        <v>8.3476089759828245</v>
      </c>
      <c r="AG471" s="260">
        <f t="shared" si="48"/>
        <v>8.3956900238038923</v>
      </c>
      <c r="AH471" s="260">
        <f t="shared" si="48"/>
        <v>8.4437710716249601</v>
      </c>
      <c r="AI471" s="261">
        <f>T641*$E$742</f>
        <v>8.4918521194460261</v>
      </c>
      <c r="AJ471" s="260">
        <f>AI471+($AX$471-$AI$471)/15</f>
        <v>8.5879736457897184</v>
      </c>
      <c r="AK471" s="260">
        <f t="shared" ref="AK471:AW471" si="49">AJ471+($AX$471-$AI$471)/15</f>
        <v>8.6840951721334108</v>
      </c>
      <c r="AL471" s="260">
        <f t="shared" si="49"/>
        <v>8.7802166984771031</v>
      </c>
      <c r="AM471" s="260">
        <f t="shared" si="49"/>
        <v>8.8763382248207954</v>
      </c>
      <c r="AN471" s="260">
        <f t="shared" si="49"/>
        <v>8.9724597511644877</v>
      </c>
      <c r="AO471" s="260">
        <f t="shared" si="49"/>
        <v>9.06858127750818</v>
      </c>
      <c r="AP471" s="260">
        <f t="shared" si="49"/>
        <v>9.1647028038518723</v>
      </c>
      <c r="AQ471" s="260">
        <f t="shared" si="49"/>
        <v>9.2608243301955646</v>
      </c>
      <c r="AR471" s="260">
        <f t="shared" si="49"/>
        <v>9.3569458565392569</v>
      </c>
      <c r="AS471" s="260">
        <f t="shared" si="49"/>
        <v>9.4530673828829492</v>
      </c>
      <c r="AT471" s="260">
        <f t="shared" si="49"/>
        <v>9.5491889092266415</v>
      </c>
      <c r="AU471" s="260">
        <f t="shared" si="49"/>
        <v>9.6453104355703339</v>
      </c>
      <c r="AV471" s="260">
        <f t="shared" si="49"/>
        <v>9.7414319619140262</v>
      </c>
      <c r="AW471" s="260">
        <f t="shared" si="49"/>
        <v>9.8375534882577185</v>
      </c>
      <c r="AX471" s="261">
        <f>AI471*$B$742</f>
        <v>9.9336750146014001</v>
      </c>
      <c r="AY471" s="260">
        <f>AX471+($BM$471-$AX$471)/15</f>
        <v>10.032035813725209</v>
      </c>
      <c r="AZ471" s="260">
        <f t="shared" ref="AZ471:BL471" si="50">AY471+($BM$471-$AX$471)/15</f>
        <v>10.130396612849017</v>
      </c>
      <c r="BA471" s="260">
        <f t="shared" si="50"/>
        <v>10.228757411972826</v>
      </c>
      <c r="BB471" s="260">
        <f t="shared" si="50"/>
        <v>10.327118211096634</v>
      </c>
      <c r="BC471" s="260">
        <f t="shared" si="50"/>
        <v>10.425479010220442</v>
      </c>
      <c r="BD471" s="260">
        <f t="shared" si="50"/>
        <v>10.523839809344251</v>
      </c>
      <c r="BE471" s="260">
        <f t="shared" si="50"/>
        <v>10.622200608468059</v>
      </c>
      <c r="BF471" s="260">
        <f t="shared" si="50"/>
        <v>10.720561407591868</v>
      </c>
      <c r="BG471" s="260">
        <f t="shared" si="50"/>
        <v>10.818922206715676</v>
      </c>
      <c r="BH471" s="260">
        <f t="shared" si="50"/>
        <v>10.917283005839485</v>
      </c>
      <c r="BI471" s="260">
        <f t="shared" si="50"/>
        <v>11.015643804963293</v>
      </c>
      <c r="BJ471" s="260">
        <f t="shared" si="50"/>
        <v>11.114004604087102</v>
      </c>
      <c r="BK471" s="260">
        <f t="shared" si="50"/>
        <v>11.21236540321091</v>
      </c>
      <c r="BL471" s="260">
        <f t="shared" si="50"/>
        <v>11.310726202334719</v>
      </c>
      <c r="BM471" s="261">
        <f>AX471*$C$742</f>
        <v>11.409087001458516</v>
      </c>
      <c r="BN471" s="260">
        <f>BM471+($BR$471-$BM$471)/5</f>
        <v>11.522056966057418</v>
      </c>
      <c r="BO471" s="260">
        <f>BN471+($BR$471-$BM$471)/5</f>
        <v>11.63502693065632</v>
      </c>
      <c r="BP471" s="260">
        <f>BO471+($BR$471-$BM$471)/5</f>
        <v>11.747996895255222</v>
      </c>
      <c r="BQ471" s="260">
        <f>BP471+($BR$471-$BM$471)/5</f>
        <v>11.860966859854123</v>
      </c>
      <c r="BR471" s="261">
        <f>BM471*$D$742</f>
        <v>11.973936824453022</v>
      </c>
    </row>
    <row r="472" spans="1:70" ht="13.8" thickBot="1" x14ac:dyDescent="0.3">
      <c r="A472" s="282" t="s">
        <v>615</v>
      </c>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c r="AA472" s="262">
        <f>Z642+($AI$472-$Y$642)/10</f>
        <v>22.490795032640289</v>
      </c>
      <c r="AB472" s="262">
        <f t="shared" ref="AB472:AH472" si="51">AA472+($AI$472-$Y$642)/10</f>
        <v>22.394891584604984</v>
      </c>
      <c r="AC472" s="262">
        <f t="shared" si="51"/>
        <v>22.29898813656968</v>
      </c>
      <c r="AD472" s="262">
        <f t="shared" si="51"/>
        <v>22.203084688534375</v>
      </c>
      <c r="AE472" s="262">
        <f t="shared" si="51"/>
        <v>22.10718124049907</v>
      </c>
      <c r="AF472" s="262">
        <f t="shared" si="51"/>
        <v>22.011277792463765</v>
      </c>
      <c r="AG472" s="262">
        <f t="shared" si="51"/>
        <v>21.915374344428461</v>
      </c>
      <c r="AH472" s="262">
        <f t="shared" si="51"/>
        <v>21.819470896393156</v>
      </c>
      <c r="AI472" s="263">
        <f>T642*$E$745</f>
        <v>21.723567448357841</v>
      </c>
      <c r="AJ472" s="262">
        <f>AI472+($AX$472-$AI$472)/15</f>
        <v>21.715027463671497</v>
      </c>
      <c r="AK472" s="262">
        <f t="shared" ref="AK472:AW472" si="52">AJ472+($AX$472-$AI$472)/15</f>
        <v>21.706487478985153</v>
      </c>
      <c r="AL472" s="262">
        <f t="shared" si="52"/>
        <v>21.697947494298809</v>
      </c>
      <c r="AM472" s="262">
        <f t="shared" si="52"/>
        <v>21.689407509612465</v>
      </c>
      <c r="AN472" s="262">
        <f t="shared" si="52"/>
        <v>21.680867524926121</v>
      </c>
      <c r="AO472" s="262">
        <f t="shared" si="52"/>
        <v>21.672327540239777</v>
      </c>
      <c r="AP472" s="262">
        <f t="shared" si="52"/>
        <v>21.663787555553434</v>
      </c>
      <c r="AQ472" s="262">
        <f t="shared" si="52"/>
        <v>21.65524757086709</v>
      </c>
      <c r="AR472" s="262">
        <f t="shared" si="52"/>
        <v>21.646707586180746</v>
      </c>
      <c r="AS472" s="262">
        <f t="shared" si="52"/>
        <v>21.638167601494402</v>
      </c>
      <c r="AT472" s="262">
        <f t="shared" si="52"/>
        <v>21.629627616808058</v>
      </c>
      <c r="AU472" s="262">
        <f t="shared" si="52"/>
        <v>21.621087632121714</v>
      </c>
      <c r="AV472" s="262">
        <f t="shared" si="52"/>
        <v>21.61254764743537</v>
      </c>
      <c r="AW472" s="262">
        <f t="shared" si="52"/>
        <v>21.604007662749027</v>
      </c>
      <c r="AX472" s="263">
        <f>AI472*$B$745</f>
        <v>21.595467678062693</v>
      </c>
      <c r="AY472" s="262">
        <f>AX472+($BM$472-$AX$472)/15</f>
        <v>21.609186144316791</v>
      </c>
      <c r="AZ472" s="262">
        <f t="shared" ref="AZ472:BL472" si="53">AY472+($BM$472-$AX$472)/15</f>
        <v>21.622904610570888</v>
      </c>
      <c r="BA472" s="262">
        <f t="shared" si="53"/>
        <v>21.636623076824986</v>
      </c>
      <c r="BB472" s="262">
        <f t="shared" si="53"/>
        <v>21.650341543079083</v>
      </c>
      <c r="BC472" s="262">
        <f t="shared" si="53"/>
        <v>21.664060009333181</v>
      </c>
      <c r="BD472" s="262">
        <f t="shared" si="53"/>
        <v>21.677778475587278</v>
      </c>
      <c r="BE472" s="262">
        <f t="shared" si="53"/>
        <v>21.691496941841375</v>
      </c>
      <c r="BF472" s="262">
        <f t="shared" si="53"/>
        <v>21.705215408095473</v>
      </c>
      <c r="BG472" s="262">
        <f t="shared" si="53"/>
        <v>21.71893387434957</v>
      </c>
      <c r="BH472" s="262">
        <f t="shared" si="53"/>
        <v>21.732652340603668</v>
      </c>
      <c r="BI472" s="262">
        <f t="shared" si="53"/>
        <v>21.746370806857765</v>
      </c>
      <c r="BJ472" s="262">
        <f t="shared" si="53"/>
        <v>21.760089273111863</v>
      </c>
      <c r="BK472" s="262">
        <f t="shared" si="53"/>
        <v>21.77380773936596</v>
      </c>
      <c r="BL472" s="262">
        <f t="shared" si="53"/>
        <v>21.787526205620058</v>
      </c>
      <c r="BM472" s="263">
        <f>AX472*$C$745</f>
        <v>21.801244671874137</v>
      </c>
      <c r="BN472" s="262">
        <f>BM472+($BR$472-$BM$472)/5</f>
        <v>21.815093857443394</v>
      </c>
      <c r="BO472" s="262">
        <f>BN472+($BR$472-$BM$472)/5</f>
        <v>21.82894304301265</v>
      </c>
      <c r="BP472" s="262">
        <f>BO472+($BR$472-$BM$472)/5</f>
        <v>21.842792228581906</v>
      </c>
      <c r="BQ472" s="262">
        <f>BP472+($BR$472-$BM$472)/5</f>
        <v>21.856641414151163</v>
      </c>
      <c r="BR472" s="263">
        <f>BM472*$D$745</f>
        <v>21.870490599720426</v>
      </c>
    </row>
    <row r="473" spans="1:70" x14ac:dyDescent="0.25">
      <c r="A473" s="282" t="s">
        <v>616</v>
      </c>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spans="1:70" x14ac:dyDescent="0.25">
      <c r="A474" s="282" t="s">
        <v>617</v>
      </c>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spans="1:70" x14ac:dyDescent="0.25">
      <c r="A475" s="282" t="s">
        <v>633</v>
      </c>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spans="1:70" x14ac:dyDescent="0.25">
      <c r="A476" s="282" t="s">
        <v>528</v>
      </c>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spans="1:70" ht="52.5" customHeight="1" x14ac:dyDescent="0.25">
      <c r="A477" s="282" t="s">
        <v>634</v>
      </c>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spans="1:70" x14ac:dyDescent="0.25">
      <c r="A478" s="282" t="s">
        <v>635</v>
      </c>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spans="1:70" ht="13.8" thickBot="1" x14ac:dyDescent="0.3">
      <c r="A479" s="282" t="s">
        <v>636</v>
      </c>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spans="1:70" ht="13.8" thickBot="1" x14ac:dyDescent="0.3">
      <c r="A480" s="282" t="s">
        <v>637</v>
      </c>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c r="AA480" s="260">
        <f>Z650+($AI$480-$Y$650)/10</f>
        <v>5.5873463921161282</v>
      </c>
      <c r="AB480" s="260">
        <f t="shared" ref="AB480:AH480" si="54">AA480+($AI$480-$Y$650)/10</f>
        <v>5.6146233040707969</v>
      </c>
      <c r="AC480" s="260">
        <f t="shared" si="54"/>
        <v>5.6419002160254657</v>
      </c>
      <c r="AD480" s="260">
        <f t="shared" si="54"/>
        <v>5.6691771279801344</v>
      </c>
      <c r="AE480" s="260">
        <f t="shared" si="54"/>
        <v>5.6964540399348031</v>
      </c>
      <c r="AF480" s="260">
        <f t="shared" si="54"/>
        <v>5.7237309518894719</v>
      </c>
      <c r="AG480" s="260">
        <f t="shared" si="54"/>
        <v>5.7510078638441406</v>
      </c>
      <c r="AH480" s="260">
        <f t="shared" si="54"/>
        <v>5.7782847757988094</v>
      </c>
      <c r="AI480" s="261">
        <f>T650*$E$742</f>
        <v>5.8055616877534817</v>
      </c>
      <c r="AJ480" s="260">
        <f>AI480+($AX$480-$AI$480)/15</f>
        <v>5.8712763802445851</v>
      </c>
      <c r="AK480" s="260">
        <f t="shared" ref="AK480:AW480" si="55">AJ480+($AX$480-$AI$480)/15</f>
        <v>5.9369910727356885</v>
      </c>
      <c r="AL480" s="260">
        <f t="shared" si="55"/>
        <v>6.0027057652267919</v>
      </c>
      <c r="AM480" s="260">
        <f t="shared" si="55"/>
        <v>6.0684204577178953</v>
      </c>
      <c r="AN480" s="260">
        <f t="shared" si="55"/>
        <v>6.1341351502089987</v>
      </c>
      <c r="AO480" s="260">
        <f t="shared" si="55"/>
        <v>6.1998498427001021</v>
      </c>
      <c r="AP480" s="260">
        <f t="shared" si="55"/>
        <v>6.2655645351912055</v>
      </c>
      <c r="AQ480" s="260">
        <f t="shared" si="55"/>
        <v>6.3312792276823089</v>
      </c>
      <c r="AR480" s="260">
        <f t="shared" si="55"/>
        <v>6.3969939201734123</v>
      </c>
      <c r="AS480" s="260">
        <f t="shared" si="55"/>
        <v>6.4627086126645157</v>
      </c>
      <c r="AT480" s="260">
        <f t="shared" si="55"/>
        <v>6.5284233051556191</v>
      </c>
      <c r="AU480" s="260">
        <f t="shared" si="55"/>
        <v>6.5941379976467225</v>
      </c>
      <c r="AV480" s="260">
        <f t="shared" si="55"/>
        <v>6.6598526901378259</v>
      </c>
      <c r="AW480" s="260">
        <f t="shared" si="55"/>
        <v>6.7255673826289293</v>
      </c>
      <c r="AX480" s="261">
        <f>AI480*$B$742</f>
        <v>6.791282075120038</v>
      </c>
      <c r="AY480" s="260">
        <f>AX480+($BM$480-$AX$480)/15</f>
        <v>6.858527674659193</v>
      </c>
      <c r="AZ480" s="260">
        <f t="shared" ref="AZ480:BL480" si="56">AY480+($BM$480-$AX$480)/15</f>
        <v>6.925773274198348</v>
      </c>
      <c r="BA480" s="260">
        <f t="shared" si="56"/>
        <v>6.993018873737503</v>
      </c>
      <c r="BB480" s="260">
        <f t="shared" si="56"/>
        <v>7.060264473276658</v>
      </c>
      <c r="BC480" s="260">
        <f t="shared" si="56"/>
        <v>7.1275100728158129</v>
      </c>
      <c r="BD480" s="260">
        <f t="shared" si="56"/>
        <v>7.1947556723549679</v>
      </c>
      <c r="BE480" s="260">
        <f t="shared" si="56"/>
        <v>7.2620012718941229</v>
      </c>
      <c r="BF480" s="260">
        <f t="shared" si="56"/>
        <v>7.3292468714332779</v>
      </c>
      <c r="BG480" s="260">
        <f t="shared" si="56"/>
        <v>7.3964924709724329</v>
      </c>
      <c r="BH480" s="260">
        <f t="shared" si="56"/>
        <v>7.4637380705115879</v>
      </c>
      <c r="BI480" s="260">
        <f t="shared" si="56"/>
        <v>7.5309836700507429</v>
      </c>
      <c r="BJ480" s="260">
        <f t="shared" si="56"/>
        <v>7.5982292695898979</v>
      </c>
      <c r="BK480" s="260">
        <f t="shared" si="56"/>
        <v>7.6654748691290528</v>
      </c>
      <c r="BL480" s="260">
        <f t="shared" si="56"/>
        <v>7.7327204686682078</v>
      </c>
      <c r="BM480" s="261">
        <f>AX480*$C$742</f>
        <v>7.7999660682073682</v>
      </c>
      <c r="BN480" s="260">
        <f>BM480+($BR$480-$BM$480)/5</f>
        <v>7.8771994077800587</v>
      </c>
      <c r="BO480" s="260">
        <f>BN480+($BR$480-$BM$480)/5</f>
        <v>7.9544327473527492</v>
      </c>
      <c r="BP480" s="260">
        <f>BO480+($BR$480-$BM$480)/5</f>
        <v>8.0316660869254388</v>
      </c>
      <c r="BQ480" s="260">
        <f>BP480+($BR$480-$BM$480)/5</f>
        <v>8.1088994264981284</v>
      </c>
      <c r="BR480" s="261">
        <f>BM480*$D$742</f>
        <v>8.1861327660708199</v>
      </c>
    </row>
    <row r="481" spans="1:70" x14ac:dyDescent="0.25">
      <c r="A481" s="282" t="s">
        <v>638</v>
      </c>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spans="1:70" ht="13.8" thickBot="1" x14ac:dyDescent="0.3">
      <c r="A482" s="282" t="s">
        <v>639</v>
      </c>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spans="1:70" ht="13.8" thickBot="1" x14ac:dyDescent="0.3">
      <c r="A483" s="282" t="s">
        <v>531</v>
      </c>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c r="AA483" s="262">
        <f>Z653+($AI$483-$Y$653)/10</f>
        <v>15.747041087587585</v>
      </c>
      <c r="AB483" s="262">
        <f t="shared" ref="AB483:AH483" si="57">AA483+($AI$483-$Y$653)/10</f>
        <v>15.673905881106727</v>
      </c>
      <c r="AC483" s="262">
        <f t="shared" si="57"/>
        <v>15.600770674625869</v>
      </c>
      <c r="AD483" s="262">
        <f t="shared" si="57"/>
        <v>15.527635468145011</v>
      </c>
      <c r="AE483" s="262">
        <f t="shared" si="57"/>
        <v>15.454500261664153</v>
      </c>
      <c r="AF483" s="262">
        <f t="shared" si="57"/>
        <v>15.381365055183295</v>
      </c>
      <c r="AG483" s="262">
        <f t="shared" si="57"/>
        <v>15.308229848702437</v>
      </c>
      <c r="AH483" s="262">
        <f t="shared" si="57"/>
        <v>15.235094642221579</v>
      </c>
      <c r="AI483" s="263">
        <f>T653*$E$745</f>
        <v>15.161959435740725</v>
      </c>
      <c r="AJ483" s="262">
        <f>AI483+($AX$483-$AI$483)/15</f>
        <v>15.155998955184113</v>
      </c>
      <c r="AK483" s="262">
        <f t="shared" ref="AK483:AW483" si="58">AJ483+($AX$483-$AI$483)/15</f>
        <v>15.150038474627502</v>
      </c>
      <c r="AL483" s="262">
        <f t="shared" si="58"/>
        <v>15.144077994070891</v>
      </c>
      <c r="AM483" s="262">
        <f t="shared" si="58"/>
        <v>15.138117513514279</v>
      </c>
      <c r="AN483" s="262">
        <f t="shared" si="58"/>
        <v>15.132157032957668</v>
      </c>
      <c r="AO483" s="262">
        <f t="shared" si="58"/>
        <v>15.126196552401057</v>
      </c>
      <c r="AP483" s="262">
        <f t="shared" si="58"/>
        <v>15.120236071844445</v>
      </c>
      <c r="AQ483" s="262">
        <f t="shared" si="58"/>
        <v>15.114275591287834</v>
      </c>
      <c r="AR483" s="262">
        <f t="shared" si="58"/>
        <v>15.108315110731223</v>
      </c>
      <c r="AS483" s="262">
        <f t="shared" si="58"/>
        <v>15.102354630174611</v>
      </c>
      <c r="AT483" s="262">
        <f t="shared" si="58"/>
        <v>15.096394149618</v>
      </c>
      <c r="AU483" s="262">
        <f t="shared" si="58"/>
        <v>15.090433669061388</v>
      </c>
      <c r="AV483" s="262">
        <f t="shared" si="58"/>
        <v>15.084473188504777</v>
      </c>
      <c r="AW483" s="262">
        <f t="shared" si="58"/>
        <v>15.078512707948166</v>
      </c>
      <c r="AX483" s="263">
        <f>AI483*$B$745</f>
        <v>15.072552227391549</v>
      </c>
      <c r="AY483" s="262">
        <f>AX483+($BM$483-$AX$483)/15</f>
        <v>15.082127028094042</v>
      </c>
      <c r="AZ483" s="262">
        <f t="shared" ref="AZ483:BL483" si="59">AY483+($BM$483-$AX$483)/15</f>
        <v>15.091701828796536</v>
      </c>
      <c r="BA483" s="262">
        <f t="shared" si="59"/>
        <v>15.101276629499029</v>
      </c>
      <c r="BB483" s="262">
        <f t="shared" si="59"/>
        <v>15.110851430201523</v>
      </c>
      <c r="BC483" s="262">
        <f t="shared" si="59"/>
        <v>15.120426230904016</v>
      </c>
      <c r="BD483" s="262">
        <f t="shared" si="59"/>
        <v>15.130001031606509</v>
      </c>
      <c r="BE483" s="262">
        <f t="shared" si="59"/>
        <v>15.139575832309003</v>
      </c>
      <c r="BF483" s="262">
        <f t="shared" si="59"/>
        <v>15.149150633011496</v>
      </c>
      <c r="BG483" s="262">
        <f t="shared" si="59"/>
        <v>15.15872543371399</v>
      </c>
      <c r="BH483" s="262">
        <f t="shared" si="59"/>
        <v>15.168300234416483</v>
      </c>
      <c r="BI483" s="262">
        <f t="shared" si="59"/>
        <v>15.177875035118976</v>
      </c>
      <c r="BJ483" s="262">
        <f t="shared" si="59"/>
        <v>15.18744983582147</v>
      </c>
      <c r="BK483" s="262">
        <f t="shared" si="59"/>
        <v>15.197024636523963</v>
      </c>
      <c r="BL483" s="262">
        <f t="shared" si="59"/>
        <v>15.206599437226457</v>
      </c>
      <c r="BM483" s="263">
        <f>AX483*$C$745</f>
        <v>15.216174237928941</v>
      </c>
      <c r="BN483" s="262">
        <f>BM483+($BR$483-$BM$483)/5</f>
        <v>15.225840274150585</v>
      </c>
      <c r="BO483" s="262">
        <f>BN483+($BR$483-$BM$483)/5</f>
        <v>15.235506310372228</v>
      </c>
      <c r="BP483" s="262">
        <f>BO483+($BR$483-$BM$483)/5</f>
        <v>15.245172346593872</v>
      </c>
      <c r="BQ483" s="262">
        <f>BP483+($BR$483-$BM$483)/5</f>
        <v>15.254838382815516</v>
      </c>
      <c r="BR483" s="263">
        <f>BM483*$D$745</f>
        <v>15.264504419037157</v>
      </c>
    </row>
    <row r="484" spans="1:70" x14ac:dyDescent="0.25">
      <c r="A484" s="282" t="s">
        <v>640</v>
      </c>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spans="1:70" x14ac:dyDescent="0.25">
      <c r="A485" s="282" t="s">
        <v>641</v>
      </c>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spans="1:70" x14ac:dyDescent="0.25">
      <c r="A486" s="282" t="s">
        <v>642</v>
      </c>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spans="1:70" ht="13.8" thickBot="1" x14ac:dyDescent="0.3">
      <c r="A487" s="282" t="s">
        <v>643</v>
      </c>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spans="1:70" ht="13.8" thickBot="1" x14ac:dyDescent="0.3">
      <c r="A488" s="282" t="s">
        <v>644</v>
      </c>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c r="AA488" s="264">
        <f>Z658+($AI$488-$Y$658)/10</f>
        <v>13.224797394153365</v>
      </c>
      <c r="AB488" s="264">
        <f t="shared" ref="AB488:AH488" si="60">AA488+($AI$488-$Y$658)/10</f>
        <v>13.589441040570847</v>
      </c>
      <c r="AC488" s="264">
        <f t="shared" si="60"/>
        <v>13.954084686988329</v>
      </c>
      <c r="AD488" s="264">
        <f t="shared" si="60"/>
        <v>14.318728333405812</v>
      </c>
      <c r="AE488" s="264">
        <f t="shared" si="60"/>
        <v>14.683371979823294</v>
      </c>
      <c r="AF488" s="264">
        <f t="shared" si="60"/>
        <v>15.048015626240776</v>
      </c>
      <c r="AG488" s="264">
        <f t="shared" si="60"/>
        <v>15.412659272658258</v>
      </c>
      <c r="AH488" s="264">
        <f t="shared" si="60"/>
        <v>15.777302919075741</v>
      </c>
      <c r="AI488" s="265">
        <f>T658*$E$744</f>
        <v>16.141946565493228</v>
      </c>
      <c r="AJ488" s="264">
        <f>AI488+($AX$488-$AI$488)/15</f>
        <v>16.312798018423909</v>
      </c>
      <c r="AK488" s="264">
        <f t="shared" ref="AK488:AW488" si="61">AJ488+($AX$488-$AI$488)/15</f>
        <v>16.483649471354589</v>
      </c>
      <c r="AL488" s="264">
        <f t="shared" si="61"/>
        <v>16.654500924285269</v>
      </c>
      <c r="AM488" s="264">
        <f t="shared" si="61"/>
        <v>16.82535237721595</v>
      </c>
      <c r="AN488" s="264">
        <f t="shared" si="61"/>
        <v>16.99620383014663</v>
      </c>
      <c r="AO488" s="264">
        <f t="shared" si="61"/>
        <v>17.16705528307731</v>
      </c>
      <c r="AP488" s="264">
        <f t="shared" si="61"/>
        <v>17.337906736007991</v>
      </c>
      <c r="AQ488" s="264">
        <f t="shared" si="61"/>
        <v>17.508758188938671</v>
      </c>
      <c r="AR488" s="264">
        <f t="shared" si="61"/>
        <v>17.679609641869352</v>
      </c>
      <c r="AS488" s="264">
        <f t="shared" si="61"/>
        <v>17.850461094800032</v>
      </c>
      <c r="AT488" s="264">
        <f t="shared" si="61"/>
        <v>18.021312547730712</v>
      </c>
      <c r="AU488" s="264">
        <f t="shared" si="61"/>
        <v>18.192164000661393</v>
      </c>
      <c r="AV488" s="264">
        <f t="shared" si="61"/>
        <v>18.363015453592073</v>
      </c>
      <c r="AW488" s="264">
        <f t="shared" si="61"/>
        <v>18.533866906522753</v>
      </c>
      <c r="AX488" s="265">
        <f>AI488*$B$744</f>
        <v>18.704718359453445</v>
      </c>
      <c r="AY488" s="264">
        <f>AX488+($BM$488-$AX$488)/15</f>
        <v>18.811222625087144</v>
      </c>
      <c r="AZ488" s="264">
        <f t="shared" ref="AZ488:BL488" si="62">AY488+($BM$488-$AX$488)/15</f>
        <v>18.917726890720843</v>
      </c>
      <c r="BA488" s="264">
        <f t="shared" si="62"/>
        <v>19.024231156354542</v>
      </c>
      <c r="BB488" s="264">
        <f t="shared" si="62"/>
        <v>19.130735421988241</v>
      </c>
      <c r="BC488" s="264">
        <f t="shared" si="62"/>
        <v>19.23723968762194</v>
      </c>
      <c r="BD488" s="264">
        <f t="shared" si="62"/>
        <v>19.34374395325564</v>
      </c>
      <c r="BE488" s="264">
        <f t="shared" si="62"/>
        <v>19.450248218889339</v>
      </c>
      <c r="BF488" s="264">
        <f t="shared" si="62"/>
        <v>19.556752484523038</v>
      </c>
      <c r="BG488" s="264">
        <f t="shared" si="62"/>
        <v>19.663256750156737</v>
      </c>
      <c r="BH488" s="264">
        <f t="shared" si="62"/>
        <v>19.769761015790436</v>
      </c>
      <c r="BI488" s="264">
        <f t="shared" si="62"/>
        <v>19.876265281424136</v>
      </c>
      <c r="BJ488" s="264">
        <f t="shared" si="62"/>
        <v>19.982769547057835</v>
      </c>
      <c r="BK488" s="264">
        <f t="shared" si="62"/>
        <v>20.089273812691534</v>
      </c>
      <c r="BL488" s="264">
        <f t="shared" si="62"/>
        <v>20.195778078325233</v>
      </c>
      <c r="BM488" s="265">
        <f>AX488*$C$744</f>
        <v>20.302282343958908</v>
      </c>
      <c r="BN488" s="264">
        <f>BM488+($BR$488-$BM$488)/5</f>
        <v>20.417883104696291</v>
      </c>
      <c r="BO488" s="264">
        <f>BN488+($BR$488-$BM$488)/5</f>
        <v>20.533483865433674</v>
      </c>
      <c r="BP488" s="264">
        <f>BO488+($BR$488-$BM$488)/5</f>
        <v>20.649084626171057</v>
      </c>
      <c r="BQ488" s="264">
        <f>BP488+($BR$488-$BM$488)/5</f>
        <v>20.76468538690844</v>
      </c>
      <c r="BR488" s="265">
        <f>BM488*$D$744</f>
        <v>20.880286147645826</v>
      </c>
    </row>
    <row r="489" spans="1:70" ht="13.8" thickBot="1" x14ac:dyDescent="0.3">
      <c r="A489" s="282" t="s">
        <v>645</v>
      </c>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spans="1:70" ht="13.8" thickBot="1" x14ac:dyDescent="0.3">
      <c r="A490" s="282" t="s">
        <v>646</v>
      </c>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c r="AA490" s="264">
        <f>Z660+($AI$490-$Y$660)/10</f>
        <v>15.4577980437679</v>
      </c>
      <c r="AB490" s="264">
        <f t="shared" ref="AB490:AH490" si="63">AA490+($AI$490-$Y$660)/10</f>
        <v>15.88385635596555</v>
      </c>
      <c r="AC490" s="264">
        <f t="shared" si="63"/>
        <v>16.309914668163202</v>
      </c>
      <c r="AD490" s="264">
        <f t="shared" si="63"/>
        <v>16.735972980360852</v>
      </c>
      <c r="AE490" s="264">
        <f t="shared" si="63"/>
        <v>17.162031292558503</v>
      </c>
      <c r="AF490" s="264">
        <f t="shared" si="63"/>
        <v>17.588089604756153</v>
      </c>
      <c r="AG490" s="264">
        <f t="shared" si="63"/>
        <v>18.014147916953803</v>
      </c>
      <c r="AH490" s="264">
        <f t="shared" si="63"/>
        <v>18.440206229151453</v>
      </c>
      <c r="AI490" s="265">
        <f>T660*$E$744</f>
        <v>18.866264541349103</v>
      </c>
      <c r="AJ490" s="264">
        <f>AI490+($AX$490-$AI$490)/15</f>
        <v>19.065951034869943</v>
      </c>
      <c r="AK490" s="264">
        <f t="shared" ref="AK490:AW490" si="64">AJ490+($AX$490-$AI$490)/15</f>
        <v>19.265637528390783</v>
      </c>
      <c r="AL490" s="264">
        <f t="shared" si="64"/>
        <v>19.465324021911623</v>
      </c>
      <c r="AM490" s="264">
        <f t="shared" si="64"/>
        <v>19.665010515432463</v>
      </c>
      <c r="AN490" s="264">
        <f t="shared" si="64"/>
        <v>19.864697008953303</v>
      </c>
      <c r="AO490" s="264">
        <f t="shared" si="64"/>
        <v>20.064383502474143</v>
      </c>
      <c r="AP490" s="264">
        <f t="shared" si="64"/>
        <v>20.264069995994983</v>
      </c>
      <c r="AQ490" s="264">
        <f t="shared" si="64"/>
        <v>20.463756489515823</v>
      </c>
      <c r="AR490" s="264">
        <f t="shared" si="64"/>
        <v>20.663442983036663</v>
      </c>
      <c r="AS490" s="264">
        <f t="shared" si="64"/>
        <v>20.863129476557503</v>
      </c>
      <c r="AT490" s="264">
        <f t="shared" si="64"/>
        <v>21.062815970078343</v>
      </c>
      <c r="AU490" s="264">
        <f t="shared" si="64"/>
        <v>21.262502463599183</v>
      </c>
      <c r="AV490" s="264">
        <f t="shared" si="64"/>
        <v>21.462188957120024</v>
      </c>
      <c r="AW490" s="264">
        <f t="shared" si="64"/>
        <v>21.661875450640864</v>
      </c>
      <c r="AX490" s="265">
        <f>AI490*$B$744</f>
        <v>21.861561944161682</v>
      </c>
      <c r="AY490" s="264">
        <f>AX490+($BM$490-$AX$490)/15</f>
        <v>21.986041209538687</v>
      </c>
      <c r="AZ490" s="264">
        <f t="shared" ref="AZ490:BL490" si="65">AY490+($BM$490-$AX$490)/15</f>
        <v>22.110520474915692</v>
      </c>
      <c r="BA490" s="264">
        <f t="shared" si="65"/>
        <v>22.234999740292697</v>
      </c>
      <c r="BB490" s="264">
        <f t="shared" si="65"/>
        <v>22.359479005669701</v>
      </c>
      <c r="BC490" s="264">
        <f t="shared" si="65"/>
        <v>22.483958271046706</v>
      </c>
      <c r="BD490" s="264">
        <f t="shared" si="65"/>
        <v>22.608437536423711</v>
      </c>
      <c r="BE490" s="264">
        <f t="shared" si="65"/>
        <v>22.732916801800716</v>
      </c>
      <c r="BF490" s="264">
        <f t="shared" si="65"/>
        <v>22.857396067177721</v>
      </c>
      <c r="BG490" s="264">
        <f t="shared" si="65"/>
        <v>22.981875332554726</v>
      </c>
      <c r="BH490" s="264">
        <f t="shared" si="65"/>
        <v>23.10635459793173</v>
      </c>
      <c r="BI490" s="264">
        <f t="shared" si="65"/>
        <v>23.230833863308735</v>
      </c>
      <c r="BJ490" s="264">
        <f t="shared" si="65"/>
        <v>23.35531312868574</v>
      </c>
      <c r="BK490" s="264">
        <f t="shared" si="65"/>
        <v>23.479792394062745</v>
      </c>
      <c r="BL490" s="264">
        <f t="shared" si="65"/>
        <v>23.60427165943975</v>
      </c>
      <c r="BM490" s="265">
        <f>AX490*$C$744</f>
        <v>23.728750924816747</v>
      </c>
      <c r="BN490" s="264">
        <f>BM490+($BR$490-$BM$490)/5</f>
        <v>23.863861924249427</v>
      </c>
      <c r="BO490" s="264">
        <f>BN490+($BR$490-$BM$490)/5</f>
        <v>23.998972923682107</v>
      </c>
      <c r="BP490" s="264">
        <f>BO490+($BR$490-$BM$490)/5</f>
        <v>24.134083923114787</v>
      </c>
      <c r="BQ490" s="264">
        <f>BP490+($BR$490-$BM$490)/5</f>
        <v>24.269194922547467</v>
      </c>
      <c r="BR490" s="265">
        <f>BM490*$D$744</f>
        <v>24.404305921980139</v>
      </c>
    </row>
    <row r="491" spans="1:70" x14ac:dyDescent="0.25">
      <c r="A491" s="282" t="s">
        <v>648</v>
      </c>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spans="1:70" x14ac:dyDescent="0.25">
      <c r="A492" s="282" t="s">
        <v>905</v>
      </c>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spans="1:70" ht="13.8" thickBot="1" x14ac:dyDescent="0.3">
      <c r="A493" s="282" t="s">
        <v>906</v>
      </c>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spans="1:70" ht="13.8" thickBot="1" x14ac:dyDescent="0.3">
      <c r="A494" s="282" t="s">
        <v>928</v>
      </c>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c r="AA494" s="266">
        <f>Z664+($AI$494-$Y$664)/10</f>
        <v>19.493346965415647</v>
      </c>
      <c r="AB494" s="266">
        <f t="shared" ref="AB494:AH494" si="66">AA494+($AI$494-$Y$664)/10</f>
        <v>19.39274662152437</v>
      </c>
      <c r="AC494" s="266">
        <f t="shared" si="66"/>
        <v>19.292146277633094</v>
      </c>
      <c r="AD494" s="266">
        <f t="shared" si="66"/>
        <v>19.191545933741818</v>
      </c>
      <c r="AE494" s="266">
        <f t="shared" si="66"/>
        <v>19.090945589850541</v>
      </c>
      <c r="AF494" s="266">
        <f t="shared" si="66"/>
        <v>18.990345245959265</v>
      </c>
      <c r="AG494" s="266">
        <f t="shared" si="66"/>
        <v>18.889744902067989</v>
      </c>
      <c r="AH494" s="266">
        <f t="shared" si="66"/>
        <v>18.789144558176712</v>
      </c>
      <c r="AI494" s="267">
        <f>T664*$E$747</f>
        <v>18.68854421428545</v>
      </c>
      <c r="AJ494" s="266">
        <f>AI494+($AX$494-$AI$494)/15</f>
        <v>18.700972398006513</v>
      </c>
      <c r="AK494" s="266">
        <f t="shared" ref="AK494:AW494" si="67">AJ494+($AX$494-$AI$494)/15</f>
        <v>18.713400581727576</v>
      </c>
      <c r="AL494" s="266">
        <f t="shared" si="67"/>
        <v>18.72582876544864</v>
      </c>
      <c r="AM494" s="266">
        <f t="shared" si="67"/>
        <v>18.738256949169703</v>
      </c>
      <c r="AN494" s="266">
        <f t="shared" si="67"/>
        <v>18.750685132890766</v>
      </c>
      <c r="AO494" s="266">
        <f t="shared" si="67"/>
        <v>18.763113316611829</v>
      </c>
      <c r="AP494" s="266">
        <f t="shared" si="67"/>
        <v>18.775541500332892</v>
      </c>
      <c r="AQ494" s="266">
        <f t="shared" si="67"/>
        <v>18.787969684053955</v>
      </c>
      <c r="AR494" s="266">
        <f t="shared" si="67"/>
        <v>18.800397867775018</v>
      </c>
      <c r="AS494" s="266">
        <f t="shared" si="67"/>
        <v>18.812826051496081</v>
      </c>
      <c r="AT494" s="266">
        <f t="shared" si="67"/>
        <v>18.825254235217145</v>
      </c>
      <c r="AU494" s="266">
        <f t="shared" si="67"/>
        <v>18.837682418938208</v>
      </c>
      <c r="AV494" s="266">
        <f t="shared" si="67"/>
        <v>18.850110602659271</v>
      </c>
      <c r="AW494" s="266">
        <f t="shared" si="67"/>
        <v>18.862538786380334</v>
      </c>
      <c r="AX494" s="267">
        <f>AI494*$B$747</f>
        <v>18.874966970101411</v>
      </c>
      <c r="AY494" s="266">
        <f>AX494+($BM$494-$AX$494)/15</f>
        <v>18.881381252955478</v>
      </c>
      <c r="AZ494" s="266">
        <f t="shared" ref="AZ494:BL494" si="68">AY494+($BM$494-$AX$494)/15</f>
        <v>18.887795535809545</v>
      </c>
      <c r="BA494" s="266">
        <f t="shared" si="68"/>
        <v>18.894209818663612</v>
      </c>
      <c r="BB494" s="266">
        <f t="shared" si="68"/>
        <v>18.900624101517678</v>
      </c>
      <c r="BC494" s="266">
        <f t="shared" si="68"/>
        <v>18.907038384371745</v>
      </c>
      <c r="BD494" s="266">
        <f t="shared" si="68"/>
        <v>18.913452667225812</v>
      </c>
      <c r="BE494" s="266">
        <f t="shared" si="68"/>
        <v>18.919866950079879</v>
      </c>
      <c r="BF494" s="266">
        <f t="shared" si="68"/>
        <v>18.926281232933945</v>
      </c>
      <c r="BG494" s="266">
        <f t="shared" si="68"/>
        <v>18.932695515788012</v>
      </c>
      <c r="BH494" s="266">
        <f t="shared" si="68"/>
        <v>18.939109798642079</v>
      </c>
      <c r="BI494" s="266">
        <f t="shared" si="68"/>
        <v>18.945524081496146</v>
      </c>
      <c r="BJ494" s="266">
        <f t="shared" si="68"/>
        <v>18.951938364350212</v>
      </c>
      <c r="BK494" s="266">
        <f t="shared" si="68"/>
        <v>18.958352647204279</v>
      </c>
      <c r="BL494" s="266">
        <f t="shared" si="68"/>
        <v>18.964766930058346</v>
      </c>
      <c r="BM494" s="267">
        <f>AX494*$C$747</f>
        <v>18.971181212912409</v>
      </c>
      <c r="BN494" s="266">
        <f>BM494+($BR$494-$BM$494)/5</f>
        <v>18.97762819226703</v>
      </c>
      <c r="BO494" s="266">
        <f>BN494+($BR$494-$BM$494)/5</f>
        <v>18.984075171621651</v>
      </c>
      <c r="BP494" s="266">
        <f>BO494+($BR$494-$BM$494)/5</f>
        <v>18.990522150976272</v>
      </c>
      <c r="BQ494" s="266">
        <f>BP494+($BR$494-$BM$494)/5</f>
        <v>18.996969130330893</v>
      </c>
      <c r="BR494" s="267">
        <f>BM494*$D$747</f>
        <v>19.003416109685507</v>
      </c>
    </row>
    <row r="495" spans="1:70" x14ac:dyDescent="0.25">
      <c r="A495" s="282" t="s">
        <v>929</v>
      </c>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spans="1:70" x14ac:dyDescent="0.25">
      <c r="A496" s="282" t="s">
        <v>950</v>
      </c>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9" spans="1:70" ht="13.8" thickBot="1" x14ac:dyDescent="0.3"/>
    <row r="500" spans="1:70" x14ac:dyDescent="0.25">
      <c r="A500" s="227" t="s">
        <v>428</v>
      </c>
      <c r="B500" s="228"/>
      <c r="C500" s="228"/>
      <c r="D500" s="229"/>
      <c r="E500" s="228"/>
      <c r="F500" s="228"/>
      <c r="G500" s="228"/>
      <c r="H500" s="228"/>
      <c r="I500" s="228"/>
      <c r="J500" s="228"/>
      <c r="K500" s="228"/>
      <c r="L500" s="228"/>
      <c r="M500" s="228"/>
      <c r="N500" s="228"/>
      <c r="O500" s="228"/>
      <c r="P500" s="228"/>
      <c r="Q500" s="228"/>
      <c r="R500" s="228"/>
      <c r="S500" s="228"/>
      <c r="T500" s="228"/>
      <c r="U500" s="228"/>
      <c r="V500" s="228"/>
      <c r="W500" s="228"/>
      <c r="X500" s="228"/>
      <c r="Y500" s="228"/>
    </row>
    <row r="501" spans="1:70" x14ac:dyDescent="0.25">
      <c r="A501" s="230" t="s">
        <v>429</v>
      </c>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row>
    <row r="502" spans="1:70" x14ac:dyDescent="0.25">
      <c r="A502" s="230" t="s">
        <v>838</v>
      </c>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row>
    <row r="503" spans="1:70" x14ac:dyDescent="0.25">
      <c r="A503" s="230" t="s">
        <v>839</v>
      </c>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row>
    <row r="504" spans="1:70" x14ac:dyDescent="0.25">
      <c r="A504" s="230" t="s">
        <v>430</v>
      </c>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row>
    <row r="505" spans="1:70" ht="13.8" thickBot="1" x14ac:dyDescent="0.3">
      <c r="A505" s="230" t="s">
        <v>431</v>
      </c>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row>
    <row r="506" spans="1:70" ht="13.8" thickBot="1" x14ac:dyDescent="0.3">
      <c r="A506" s="232" t="s">
        <v>432</v>
      </c>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AA506" s="260">
        <f>Z676+($AI$506-$Y$676)/10</f>
        <v>5.5529965108452508</v>
      </c>
      <c r="AB506" s="260">
        <f t="shared" ref="AB506:AH506" si="69">AA506+($AI$506-$Y$676)/10</f>
        <v>5.5809474506703411</v>
      </c>
      <c r="AC506" s="260">
        <f t="shared" si="69"/>
        <v>5.6088983904954315</v>
      </c>
      <c r="AD506" s="260">
        <f t="shared" si="69"/>
        <v>5.6368493303205218</v>
      </c>
      <c r="AE506" s="260">
        <f t="shared" si="69"/>
        <v>5.6648002701456122</v>
      </c>
      <c r="AF506" s="260">
        <f t="shared" si="69"/>
        <v>5.6927512099707025</v>
      </c>
      <c r="AG506" s="260">
        <f t="shared" si="69"/>
        <v>5.7207021497957928</v>
      </c>
      <c r="AH506" s="260">
        <f t="shared" si="69"/>
        <v>5.7486530896208832</v>
      </c>
      <c r="AI506" s="261">
        <f>T676*$E$742</f>
        <v>5.77660402944597</v>
      </c>
      <c r="AJ506" s="260">
        <f>AI506+($AX$506-$AI$506)/15</f>
        <v>5.8419909425225587</v>
      </c>
      <c r="AK506" s="260">
        <f t="shared" ref="AK506:AW506" si="70">AJ506+($AX$506-$AI$506)/15</f>
        <v>5.9073778555991474</v>
      </c>
      <c r="AL506" s="260">
        <f t="shared" si="70"/>
        <v>5.9727647686757361</v>
      </c>
      <c r="AM506" s="260">
        <f t="shared" si="70"/>
        <v>6.0381516817523249</v>
      </c>
      <c r="AN506" s="260">
        <f t="shared" si="70"/>
        <v>6.1035385948289136</v>
      </c>
      <c r="AO506" s="260">
        <f t="shared" si="70"/>
        <v>6.1689255079055023</v>
      </c>
      <c r="AP506" s="260">
        <f t="shared" si="70"/>
        <v>6.234312420982091</v>
      </c>
      <c r="AQ506" s="260">
        <f t="shared" si="70"/>
        <v>6.2996993340586798</v>
      </c>
      <c r="AR506" s="260">
        <f t="shared" si="70"/>
        <v>6.3650862471352685</v>
      </c>
      <c r="AS506" s="260">
        <f t="shared" si="70"/>
        <v>6.4304731602118572</v>
      </c>
      <c r="AT506" s="260">
        <f t="shared" si="70"/>
        <v>6.4958600732884459</v>
      </c>
      <c r="AU506" s="260">
        <f t="shared" si="70"/>
        <v>6.5612469863650347</v>
      </c>
      <c r="AV506" s="260">
        <f t="shared" si="70"/>
        <v>6.6266338994416234</v>
      </c>
      <c r="AW506" s="260">
        <f t="shared" si="70"/>
        <v>6.6920208125182121</v>
      </c>
      <c r="AX506" s="261">
        <f>AI506*$B$742</f>
        <v>6.7574077255948062</v>
      </c>
      <c r="AY506" s="260">
        <f>AX506+($BM$506-$AX$506)/15</f>
        <v>6.8243179096825601</v>
      </c>
      <c r="AZ506" s="260">
        <f t="shared" ref="AZ506:BL506" si="71">AY506+($BM$506-$AX$506)/15</f>
        <v>6.8912280937703141</v>
      </c>
      <c r="BA506" s="260">
        <f t="shared" si="71"/>
        <v>6.958138277858068</v>
      </c>
      <c r="BB506" s="260">
        <f t="shared" si="71"/>
        <v>7.025048461945822</v>
      </c>
      <c r="BC506" s="260">
        <f t="shared" si="71"/>
        <v>7.091958646033576</v>
      </c>
      <c r="BD506" s="260">
        <f t="shared" si="71"/>
        <v>7.1588688301213299</v>
      </c>
      <c r="BE506" s="260">
        <f t="shared" si="71"/>
        <v>7.2257790142090839</v>
      </c>
      <c r="BF506" s="260">
        <f t="shared" si="71"/>
        <v>7.2926891982968378</v>
      </c>
      <c r="BG506" s="260">
        <f t="shared" si="71"/>
        <v>7.3595993823845918</v>
      </c>
      <c r="BH506" s="260">
        <f t="shared" si="71"/>
        <v>7.4265095664723457</v>
      </c>
      <c r="BI506" s="260">
        <f t="shared" si="71"/>
        <v>7.4934197505600997</v>
      </c>
      <c r="BJ506" s="260">
        <f t="shared" si="71"/>
        <v>7.5603299346478536</v>
      </c>
      <c r="BK506" s="260">
        <f t="shared" si="71"/>
        <v>7.6272401187356076</v>
      </c>
      <c r="BL506" s="260">
        <f t="shared" si="71"/>
        <v>7.6941503028233615</v>
      </c>
      <c r="BM506" s="261">
        <f>AX506*$C$742</f>
        <v>7.7610604869111093</v>
      </c>
      <c r="BN506" s="260">
        <f>BM506+($BR$506-$BM$506)/5</f>
        <v>7.8379085930167243</v>
      </c>
      <c r="BO506" s="260">
        <f>BN506+($BR$506-$BM$506)/5</f>
        <v>7.9147566991223393</v>
      </c>
      <c r="BP506" s="260">
        <f>BO506+($BR$506-$BM$506)/5</f>
        <v>7.9916048052279542</v>
      </c>
      <c r="BQ506" s="260">
        <f>BP506+($BR$506-$BM$506)/5</f>
        <v>8.0684529113335692</v>
      </c>
      <c r="BR506" s="261">
        <f>BM506*$D$742</f>
        <v>8.1453010174391842</v>
      </c>
    </row>
    <row r="507" spans="1:70" ht="13.8" thickBot="1" x14ac:dyDescent="0.3">
      <c r="A507" s="230"/>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AA507" s="268">
        <f>Z677+($AI$507-$Y$677)/10</f>
        <v>1.3364941226202385</v>
      </c>
      <c r="AB507" s="268">
        <f t="shared" ref="AB507:AH507" si="72">AA507+($AI$507-$Y$677)/10</f>
        <v>1.3402060190972878</v>
      </c>
      <c r="AC507" s="268">
        <f t="shared" si="72"/>
        <v>1.343917915574337</v>
      </c>
      <c r="AD507" s="268">
        <f t="shared" si="72"/>
        <v>1.3476298120513863</v>
      </c>
      <c r="AE507" s="268">
        <f t="shared" si="72"/>
        <v>1.3513417085284356</v>
      </c>
      <c r="AF507" s="268">
        <f t="shared" si="72"/>
        <v>1.3550536050054849</v>
      </c>
      <c r="AG507" s="268">
        <f t="shared" si="72"/>
        <v>1.3587655014825342</v>
      </c>
      <c r="AH507" s="268">
        <f t="shared" si="72"/>
        <v>1.3624773979595834</v>
      </c>
      <c r="AI507" s="269">
        <f>T677*$E$740</f>
        <v>1.3661892944366323</v>
      </c>
      <c r="AJ507" s="268">
        <f>AI507+($AX$507-$AI$507)/15</f>
        <v>1.3701947313799723</v>
      </c>
      <c r="AK507" s="268">
        <f t="shared" ref="AK507:AW507" si="73">AJ507+($AX$507-$AI$507)/15</f>
        <v>1.3742001683233123</v>
      </c>
      <c r="AL507" s="268">
        <f t="shared" si="73"/>
        <v>1.3782056052666523</v>
      </c>
      <c r="AM507" s="268">
        <f t="shared" si="73"/>
        <v>1.3822110422099922</v>
      </c>
      <c r="AN507" s="268">
        <f t="shared" si="73"/>
        <v>1.3862164791533322</v>
      </c>
      <c r="AO507" s="268">
        <f t="shared" si="73"/>
        <v>1.3902219160966722</v>
      </c>
      <c r="AP507" s="268">
        <f t="shared" si="73"/>
        <v>1.3942273530400122</v>
      </c>
      <c r="AQ507" s="268">
        <f t="shared" si="73"/>
        <v>1.3982327899833522</v>
      </c>
      <c r="AR507" s="268">
        <f t="shared" si="73"/>
        <v>1.4022382269266922</v>
      </c>
      <c r="AS507" s="268">
        <f t="shared" si="73"/>
        <v>1.4062436638700322</v>
      </c>
      <c r="AT507" s="268">
        <f t="shared" si="73"/>
        <v>1.4102491008133722</v>
      </c>
      <c r="AU507" s="268">
        <f t="shared" si="73"/>
        <v>1.4142545377567122</v>
      </c>
      <c r="AV507" s="268">
        <f t="shared" si="73"/>
        <v>1.4182599747000522</v>
      </c>
      <c r="AW507" s="268">
        <f t="shared" si="73"/>
        <v>1.4222654116433922</v>
      </c>
      <c r="AX507" s="269">
        <f>AI507*$B$740</f>
        <v>1.4262708485867317</v>
      </c>
      <c r="AY507" s="268">
        <f>AX507+($BM$507-$AX$507)/15</f>
        <v>1.428975877834666</v>
      </c>
      <c r="AZ507" s="268">
        <f t="shared" ref="AZ507:BL507" si="74">AY507+($BM$507-$AX$507)/15</f>
        <v>1.4316809070826002</v>
      </c>
      <c r="BA507" s="268">
        <f t="shared" si="74"/>
        <v>1.4343859363305345</v>
      </c>
      <c r="BB507" s="268">
        <f t="shared" si="74"/>
        <v>1.4370909655784687</v>
      </c>
      <c r="BC507" s="268">
        <f t="shared" si="74"/>
        <v>1.439795994826403</v>
      </c>
      <c r="BD507" s="268">
        <f t="shared" si="74"/>
        <v>1.4425010240743372</v>
      </c>
      <c r="BE507" s="268">
        <f t="shared" si="74"/>
        <v>1.4452060533222715</v>
      </c>
      <c r="BF507" s="268">
        <f t="shared" si="74"/>
        <v>1.4479110825702057</v>
      </c>
      <c r="BG507" s="268">
        <f t="shared" si="74"/>
        <v>1.45061611181814</v>
      </c>
      <c r="BH507" s="268">
        <f t="shared" si="74"/>
        <v>1.4533211410660742</v>
      </c>
      <c r="BI507" s="268">
        <f t="shared" si="74"/>
        <v>1.4560261703140085</v>
      </c>
      <c r="BJ507" s="268">
        <f t="shared" si="74"/>
        <v>1.4587311995619427</v>
      </c>
      <c r="BK507" s="268">
        <f t="shared" si="74"/>
        <v>1.461436228809877</v>
      </c>
      <c r="BL507" s="268">
        <f t="shared" si="74"/>
        <v>1.4641412580578113</v>
      </c>
      <c r="BM507" s="269">
        <f>AX507*$C$740</f>
        <v>1.4668462873057471</v>
      </c>
      <c r="BN507" s="268">
        <f>BM507+($BR$507-$BM$507)/5</f>
        <v>1.4696282709053681</v>
      </c>
      <c r="BO507" s="268">
        <f>BN507+($BR$507-$BM$507)/5</f>
        <v>1.4724102545049891</v>
      </c>
      <c r="BP507" s="268">
        <f>BO507+($BR$507-$BM$507)/5</f>
        <v>1.4751922381046101</v>
      </c>
      <c r="BQ507" s="268">
        <f>BP507+($BR$507-$BM$507)/5</f>
        <v>1.4779742217042311</v>
      </c>
      <c r="BR507" s="269">
        <f>BM507*$D$740</f>
        <v>1.4807562053038525</v>
      </c>
    </row>
    <row r="508" spans="1:70" x14ac:dyDescent="0.25">
      <c r="A508" s="233" t="s">
        <v>433</v>
      </c>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row>
    <row r="509" spans="1:70" x14ac:dyDescent="0.25">
      <c r="A509" s="233" t="s">
        <v>434</v>
      </c>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row>
    <row r="510" spans="1:70" x14ac:dyDescent="0.25">
      <c r="A510" s="233"/>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row>
    <row r="511" spans="1:70" x14ac:dyDescent="0.25">
      <c r="A511" s="230" t="s">
        <v>426</v>
      </c>
      <c r="B511" s="231" t="s">
        <v>435</v>
      </c>
      <c r="C511" s="231" t="s">
        <v>436</v>
      </c>
      <c r="D511" s="231" t="s">
        <v>437</v>
      </c>
      <c r="E511" s="231" t="s">
        <v>438</v>
      </c>
      <c r="F511" s="231" t="s">
        <v>439</v>
      </c>
      <c r="G511" s="231" t="s">
        <v>440</v>
      </c>
      <c r="H511" s="231" t="s">
        <v>441</v>
      </c>
      <c r="I511" s="231" t="s">
        <v>442</v>
      </c>
      <c r="J511" s="231" t="s">
        <v>443</v>
      </c>
      <c r="K511" s="231" t="s">
        <v>444</v>
      </c>
      <c r="L511" s="231" t="s">
        <v>445</v>
      </c>
      <c r="M511" s="231" t="s">
        <v>446</v>
      </c>
      <c r="N511" s="231" t="s">
        <v>447</v>
      </c>
      <c r="O511" s="231" t="s">
        <v>448</v>
      </c>
      <c r="P511" s="231" t="s">
        <v>449</v>
      </c>
      <c r="Q511" s="231" t="s">
        <v>450</v>
      </c>
      <c r="R511" s="231" t="s">
        <v>451</v>
      </c>
      <c r="S511" s="231" t="s">
        <v>452</v>
      </c>
      <c r="T511" s="231" t="s">
        <v>453</v>
      </c>
      <c r="U511" s="231" t="s">
        <v>454</v>
      </c>
      <c r="V511" s="231" t="s">
        <v>455</v>
      </c>
      <c r="W511" s="231" t="s">
        <v>456</v>
      </c>
      <c r="X511" s="231" t="s">
        <v>457</v>
      </c>
      <c r="Y511" s="231" t="s">
        <v>458</v>
      </c>
      <c r="Z511">
        <v>2026</v>
      </c>
    </row>
    <row r="512" spans="1:70" x14ac:dyDescent="0.25">
      <c r="A512" s="230" t="s">
        <v>426</v>
      </c>
      <c r="B512" s="231" t="s">
        <v>426</v>
      </c>
      <c r="C512" s="231" t="s">
        <v>426</v>
      </c>
      <c r="D512" s="231" t="s">
        <v>426</v>
      </c>
      <c r="E512" s="231" t="s">
        <v>426</v>
      </c>
      <c r="F512" s="231" t="s">
        <v>426</v>
      </c>
      <c r="G512" s="231" t="s">
        <v>426</v>
      </c>
      <c r="H512" s="231" t="s">
        <v>426</v>
      </c>
      <c r="I512" s="231" t="s">
        <v>426</v>
      </c>
      <c r="J512" s="231" t="s">
        <v>426</v>
      </c>
      <c r="K512" s="231" t="s">
        <v>426</v>
      </c>
      <c r="L512" s="231" t="s">
        <v>426</v>
      </c>
      <c r="M512" s="231" t="s">
        <v>426</v>
      </c>
      <c r="N512" s="231" t="s">
        <v>426</v>
      </c>
      <c r="O512" s="231" t="s">
        <v>426</v>
      </c>
      <c r="P512" s="231" t="s">
        <v>426</v>
      </c>
      <c r="Q512" s="231" t="s">
        <v>426</v>
      </c>
      <c r="R512" s="231" t="s">
        <v>426</v>
      </c>
      <c r="S512" s="231" t="s">
        <v>426</v>
      </c>
      <c r="T512" s="231" t="s">
        <v>426</v>
      </c>
      <c r="U512" s="231" t="s">
        <v>426</v>
      </c>
      <c r="V512" s="231" t="s">
        <v>426</v>
      </c>
      <c r="W512" s="231" t="s">
        <v>426</v>
      </c>
      <c r="X512" s="231" t="s">
        <v>426</v>
      </c>
      <c r="Y512" s="231" t="s">
        <v>426</v>
      </c>
    </row>
    <row r="513" spans="1:26" x14ac:dyDescent="0.25">
      <c r="A513" s="230" t="s">
        <v>426</v>
      </c>
      <c r="B513" s="231" t="s">
        <v>426</v>
      </c>
      <c r="C513" s="231" t="s">
        <v>426</v>
      </c>
      <c r="D513" s="231" t="s">
        <v>426</v>
      </c>
      <c r="E513" s="231" t="s">
        <v>426</v>
      </c>
      <c r="F513" s="231" t="s">
        <v>426</v>
      </c>
      <c r="G513" s="231" t="s">
        <v>426</v>
      </c>
      <c r="H513" s="231" t="s">
        <v>426</v>
      </c>
      <c r="I513" s="231" t="s">
        <v>426</v>
      </c>
      <c r="J513" s="231" t="s">
        <v>426</v>
      </c>
      <c r="K513" s="231" t="s">
        <v>426</v>
      </c>
      <c r="L513" s="231" t="s">
        <v>426</v>
      </c>
      <c r="M513" s="231" t="s">
        <v>426</v>
      </c>
      <c r="N513" s="231" t="s">
        <v>426</v>
      </c>
      <c r="O513" s="231" t="s">
        <v>426</v>
      </c>
      <c r="P513" s="231" t="s">
        <v>426</v>
      </c>
      <c r="Q513" s="231" t="s">
        <v>426</v>
      </c>
      <c r="R513" s="231" t="s">
        <v>426</v>
      </c>
      <c r="S513" s="231" t="s">
        <v>426</v>
      </c>
      <c r="T513" s="231" t="s">
        <v>426</v>
      </c>
      <c r="U513" s="231" t="s">
        <v>426</v>
      </c>
      <c r="V513" s="231" t="s">
        <v>426</v>
      </c>
      <c r="W513" s="231" t="s">
        <v>426</v>
      </c>
      <c r="X513" s="231" t="s">
        <v>426</v>
      </c>
      <c r="Y513" s="231" t="s">
        <v>426</v>
      </c>
    </row>
    <row r="514" spans="1:26" x14ac:dyDescent="0.25">
      <c r="A514" s="230" t="s">
        <v>459</v>
      </c>
      <c r="B514" s="234">
        <v>15.0220499038696</v>
      </c>
      <c r="C514" s="234">
        <v>15.811363220214799</v>
      </c>
      <c r="D514" s="234">
        <v>16.4251308441162</v>
      </c>
      <c r="E514" s="234">
        <v>16.464759826660199</v>
      </c>
      <c r="F514" s="234">
        <v>15.680528640747101</v>
      </c>
      <c r="G514" s="234">
        <v>15.0112085342407</v>
      </c>
      <c r="H514" s="234">
        <v>14.5817928314209</v>
      </c>
      <c r="I514" s="234">
        <v>14.458288192749</v>
      </c>
      <c r="J514" s="234">
        <v>14.326377868652299</v>
      </c>
      <c r="K514" s="234">
        <v>14.293612480163601</v>
      </c>
      <c r="L514" s="234">
        <v>14.4205980300903</v>
      </c>
      <c r="M514" s="234">
        <v>14.6031141281128</v>
      </c>
      <c r="N514" s="234">
        <v>14.8352861404419</v>
      </c>
      <c r="O514" s="234">
        <v>14.979790687561</v>
      </c>
      <c r="P514" s="234">
        <v>15.0010738372803</v>
      </c>
      <c r="Q514" s="234">
        <v>15.073490142822299</v>
      </c>
      <c r="R514" s="234">
        <v>15.2468109130859</v>
      </c>
      <c r="S514" s="234">
        <v>15.482013702392599</v>
      </c>
      <c r="T514" s="234">
        <v>15.6422672271729</v>
      </c>
      <c r="U514" s="234">
        <v>15.809124946594199</v>
      </c>
      <c r="V514" s="234">
        <v>15.869408607482899</v>
      </c>
      <c r="W514" s="234">
        <v>15.910493850708001</v>
      </c>
      <c r="X514" s="234">
        <v>16.000511169433601</v>
      </c>
      <c r="Y514" s="234">
        <v>16.127393722534201</v>
      </c>
    </row>
    <row r="515" spans="1:26" x14ac:dyDescent="0.25">
      <c r="A515" s="230" t="s">
        <v>460</v>
      </c>
      <c r="B515" s="234">
        <v>8.3285751342773402</v>
      </c>
      <c r="C515" s="234">
        <v>9.67810153961182</v>
      </c>
      <c r="D515" s="234">
        <v>10.6516561508179</v>
      </c>
      <c r="E515" s="234">
        <v>10.5737972259521</v>
      </c>
      <c r="F515" s="234">
        <v>9.7301187515258807</v>
      </c>
      <c r="G515" s="234">
        <v>9.2126417160034197</v>
      </c>
      <c r="H515" s="234">
        <v>8.7946681976318395</v>
      </c>
      <c r="I515" s="234">
        <v>8.5506849288940394</v>
      </c>
      <c r="J515" s="234">
        <v>8.3542766571044904</v>
      </c>
      <c r="K515" s="234">
        <v>8.2684001922607404</v>
      </c>
      <c r="L515" s="234">
        <v>8.3419942855834996</v>
      </c>
      <c r="M515" s="234">
        <v>8.4596767425537092</v>
      </c>
      <c r="N515" s="234">
        <v>8.6078786849975604</v>
      </c>
      <c r="O515" s="234">
        <v>8.7398357391357404</v>
      </c>
      <c r="P515" s="234">
        <v>8.7483062744140607</v>
      </c>
      <c r="Q515" s="234">
        <v>8.7686567306518608</v>
      </c>
      <c r="R515" s="234">
        <v>8.8867673873901403</v>
      </c>
      <c r="S515" s="234">
        <v>9.0631914138793892</v>
      </c>
      <c r="T515" s="234">
        <v>9.2055320739746094</v>
      </c>
      <c r="U515" s="234">
        <v>9.3421277999877894</v>
      </c>
      <c r="V515" s="234">
        <v>9.4150266647338903</v>
      </c>
      <c r="W515" s="234">
        <v>9.4582109451293892</v>
      </c>
      <c r="X515" s="234">
        <v>9.5390539169311506</v>
      </c>
      <c r="Y515" s="234">
        <v>9.6245632171630895</v>
      </c>
    </row>
    <row r="516" spans="1:26" x14ac:dyDescent="0.25">
      <c r="A516" s="230" t="s">
        <v>461</v>
      </c>
      <c r="B516" s="234">
        <v>10.0436496734619</v>
      </c>
      <c r="C516" s="234">
        <v>11.266843795776399</v>
      </c>
      <c r="D516" s="234">
        <v>13.0600261688232</v>
      </c>
      <c r="E516" s="234">
        <v>12.5262813568115</v>
      </c>
      <c r="F516" s="234">
        <v>11.260459899902299</v>
      </c>
      <c r="G516" s="234">
        <v>10.814398765564</v>
      </c>
      <c r="H516" s="234">
        <v>10.6458578109741</v>
      </c>
      <c r="I516" s="234">
        <v>10.453662872314499</v>
      </c>
      <c r="J516" s="234">
        <v>10.443992614746101</v>
      </c>
      <c r="K516" s="234">
        <v>10.420529365539601</v>
      </c>
      <c r="L516" s="234">
        <v>10.4911556243896</v>
      </c>
      <c r="M516" s="234">
        <v>10.5971431732178</v>
      </c>
      <c r="N516" s="234">
        <v>10.650529861450201</v>
      </c>
      <c r="O516" s="234">
        <v>10.7566242218018</v>
      </c>
      <c r="P516" s="234">
        <v>10.8697347640991</v>
      </c>
      <c r="Q516" s="234">
        <v>10.955939292907701</v>
      </c>
      <c r="R516" s="234">
        <v>11.0780487060547</v>
      </c>
      <c r="S516" s="234">
        <v>11.222780227661101</v>
      </c>
      <c r="T516" s="234">
        <v>11.364427566528301</v>
      </c>
      <c r="U516" s="234">
        <v>11.5109758377075</v>
      </c>
      <c r="V516" s="234">
        <v>11.6184797286987</v>
      </c>
      <c r="W516" s="234">
        <v>11.7467203140259</v>
      </c>
      <c r="X516" s="234">
        <v>11.8437652587891</v>
      </c>
      <c r="Y516" s="234">
        <v>11.9311771392822</v>
      </c>
    </row>
    <row r="517" spans="1:26" x14ac:dyDescent="0.25">
      <c r="A517" s="230" t="s">
        <v>462</v>
      </c>
      <c r="B517" s="234">
        <v>8.3698368072509801</v>
      </c>
      <c r="C517" s="234">
        <v>9.5702075958252006</v>
      </c>
      <c r="D517" s="234">
        <v>10.537187576293899</v>
      </c>
      <c r="E517" s="234">
        <v>10.120927810668899</v>
      </c>
      <c r="F517" s="234">
        <v>9.0704116821289098</v>
      </c>
      <c r="G517" s="234">
        <v>8.6811342239379901</v>
      </c>
      <c r="H517" s="234">
        <v>8.4951152801513707</v>
      </c>
      <c r="I517" s="234">
        <v>8.3145399093627894</v>
      </c>
      <c r="J517" s="234">
        <v>8.2864685058593803</v>
      </c>
      <c r="K517" s="234">
        <v>8.2537784576415998</v>
      </c>
      <c r="L517" s="234">
        <v>8.2966070175170898</v>
      </c>
      <c r="M517" s="234">
        <v>8.3739995956420898</v>
      </c>
      <c r="N517" s="234">
        <v>8.4385089874267596</v>
      </c>
      <c r="O517" s="234">
        <v>8.4884243011474592</v>
      </c>
      <c r="P517" s="234">
        <v>8.5346355438232404</v>
      </c>
      <c r="Q517" s="234">
        <v>8.5863618850708008</v>
      </c>
      <c r="R517" s="234">
        <v>8.7058753967285192</v>
      </c>
      <c r="S517" s="234">
        <v>8.7835302352905291</v>
      </c>
      <c r="T517" s="234">
        <v>8.8462095260620099</v>
      </c>
      <c r="U517" s="234">
        <v>8.9105930328369105</v>
      </c>
      <c r="V517" s="234">
        <v>8.9716310501098597</v>
      </c>
      <c r="W517" s="234">
        <v>9.0270709991455096</v>
      </c>
      <c r="X517" s="234">
        <v>9.0740833282470703</v>
      </c>
      <c r="Y517" s="234">
        <v>9.1169166564941406</v>
      </c>
    </row>
    <row r="518" spans="1:26" x14ac:dyDescent="0.25">
      <c r="A518" s="230" t="s">
        <v>463</v>
      </c>
      <c r="B518" s="234">
        <v>12.976583480835</v>
      </c>
      <c r="C518" s="234">
        <v>14.582922935485801</v>
      </c>
      <c r="D518" s="234">
        <v>17.5701904296875</v>
      </c>
      <c r="E518" s="234">
        <v>17.073207855224599</v>
      </c>
      <c r="F518" s="234">
        <v>15.3619232177734</v>
      </c>
      <c r="G518" s="234">
        <v>14.740796089172401</v>
      </c>
      <c r="H518" s="234">
        <v>14.555371284484901</v>
      </c>
      <c r="I518" s="234">
        <v>14.281338691711399</v>
      </c>
      <c r="J518" s="234">
        <v>14.253823280334499</v>
      </c>
      <c r="K518" s="234">
        <v>14.190848350524901</v>
      </c>
      <c r="L518" s="234">
        <v>14.252662658691399</v>
      </c>
      <c r="M518" s="234">
        <v>14.348473548889199</v>
      </c>
      <c r="N518" s="234">
        <v>14.316626548767101</v>
      </c>
      <c r="O518" s="234">
        <v>14.447472572326699</v>
      </c>
      <c r="P518" s="234">
        <v>14.6025552749634</v>
      </c>
      <c r="Q518" s="234">
        <v>14.6705665588379</v>
      </c>
      <c r="R518" s="234">
        <v>14.712552070617701</v>
      </c>
      <c r="S518" s="234">
        <v>14.8757133483887</v>
      </c>
      <c r="T518" s="234">
        <v>15.056845664978001</v>
      </c>
      <c r="U518" s="234">
        <v>15.2477731704712</v>
      </c>
      <c r="V518" s="234">
        <v>15.3445425033569</v>
      </c>
      <c r="W518" s="234">
        <v>15.4947566986084</v>
      </c>
      <c r="X518" s="234">
        <v>15.580441474914601</v>
      </c>
      <c r="Y518" s="234">
        <v>15.645468711853001</v>
      </c>
    </row>
    <row r="519" spans="1:26" x14ac:dyDescent="0.25">
      <c r="A519" s="230" t="s">
        <v>464</v>
      </c>
      <c r="B519" s="234">
        <v>7.8179483413696298</v>
      </c>
      <c r="C519" s="234">
        <v>9.2187824249267596</v>
      </c>
      <c r="D519" s="234">
        <v>9.9373922348022496</v>
      </c>
      <c r="E519" s="234">
        <v>10.0359506607056</v>
      </c>
      <c r="F519" s="234">
        <v>9.3121318817138707</v>
      </c>
      <c r="G519" s="234">
        <v>8.7750911712646502</v>
      </c>
      <c r="H519" s="234">
        <v>8.2899227142334002</v>
      </c>
      <c r="I519" s="234">
        <v>8.0357856750488299</v>
      </c>
      <c r="J519" s="234">
        <v>7.7935147285461399</v>
      </c>
      <c r="K519" s="234">
        <v>7.6957306861877397</v>
      </c>
      <c r="L519" s="234">
        <v>7.7737927436828604</v>
      </c>
      <c r="M519" s="234">
        <v>7.89709520339966</v>
      </c>
      <c r="N519" s="234">
        <v>8.0722961425781303</v>
      </c>
      <c r="O519" s="234">
        <v>8.21258449554443</v>
      </c>
      <c r="P519" s="234">
        <v>8.1957035064697301</v>
      </c>
      <c r="Q519" s="234">
        <v>8.2030982971191406</v>
      </c>
      <c r="R519" s="234">
        <v>8.3247480392456108</v>
      </c>
      <c r="S519" s="234">
        <v>8.5131444931030291</v>
      </c>
      <c r="T519" s="234">
        <v>8.6595201492309606</v>
      </c>
      <c r="U519" s="234">
        <v>8.7975921630859393</v>
      </c>
      <c r="V519" s="234">
        <v>8.8660669326782209</v>
      </c>
      <c r="W519" s="234">
        <v>8.8930187225341797</v>
      </c>
      <c r="X519" s="234">
        <v>8.9751634597778303</v>
      </c>
      <c r="Y519" s="234">
        <v>9.0651559829711896</v>
      </c>
    </row>
    <row r="520" spans="1:26" x14ac:dyDescent="0.25">
      <c r="A520" s="230" t="s">
        <v>465</v>
      </c>
      <c r="B520" s="234">
        <v>25.222642898559599</v>
      </c>
      <c r="C520" s="234">
        <v>25.415189743041999</v>
      </c>
      <c r="D520" s="234">
        <v>25.1893119812012</v>
      </c>
      <c r="E520" s="234">
        <v>25.147850036621101</v>
      </c>
      <c r="F520" s="234">
        <v>24.3894958496094</v>
      </c>
      <c r="G520" s="234">
        <v>23.460399627685501</v>
      </c>
      <c r="H520" s="234">
        <v>22.990982055664102</v>
      </c>
      <c r="I520" s="234">
        <v>23.018142700195298</v>
      </c>
      <c r="J520" s="234">
        <v>22.960025787353501</v>
      </c>
      <c r="K520" s="234">
        <v>22.974227905273398</v>
      </c>
      <c r="L520" s="234">
        <v>23.1215305328369</v>
      </c>
      <c r="M520" s="234">
        <v>23.312740325927699</v>
      </c>
      <c r="N520" s="234">
        <v>23.5714206695557</v>
      </c>
      <c r="O520" s="234">
        <v>23.632020950317401</v>
      </c>
      <c r="P520" s="234">
        <v>23.589054107666001</v>
      </c>
      <c r="Q520" s="234">
        <v>23.650138854980501</v>
      </c>
      <c r="R520" s="234">
        <v>23.8146667480469</v>
      </c>
      <c r="S520" s="234">
        <v>24.0346794128418</v>
      </c>
      <c r="T520" s="234">
        <v>24.122148513793899</v>
      </c>
      <c r="U520" s="234">
        <v>24.230636596679702</v>
      </c>
      <c r="V520" s="234">
        <v>24.181154251098601</v>
      </c>
      <c r="W520" s="234">
        <v>24.130558013916001</v>
      </c>
      <c r="X520" s="234">
        <v>24.148235321044901</v>
      </c>
      <c r="Y520" s="234">
        <v>24.238166809081999</v>
      </c>
    </row>
    <row r="521" spans="1:26" x14ac:dyDescent="0.25">
      <c r="A521" s="230" t="s">
        <v>426</v>
      </c>
      <c r="B521" s="234" t="s">
        <v>426</v>
      </c>
      <c r="C521" s="234" t="s">
        <v>426</v>
      </c>
      <c r="D521" s="234" t="s">
        <v>426</v>
      </c>
      <c r="E521" s="234" t="s">
        <v>426</v>
      </c>
      <c r="F521" s="234" t="s">
        <v>426</v>
      </c>
      <c r="G521" s="234" t="s">
        <v>426</v>
      </c>
      <c r="H521" s="234" t="s">
        <v>426</v>
      </c>
      <c r="I521" s="234" t="s">
        <v>426</v>
      </c>
      <c r="J521" s="234" t="s">
        <v>426</v>
      </c>
      <c r="K521" s="234" t="s">
        <v>426</v>
      </c>
      <c r="L521" s="234" t="s">
        <v>426</v>
      </c>
      <c r="M521" s="234" t="s">
        <v>426</v>
      </c>
      <c r="N521" s="234" t="s">
        <v>426</v>
      </c>
      <c r="O521" s="234" t="s">
        <v>426</v>
      </c>
      <c r="P521" s="234" t="s">
        <v>426</v>
      </c>
      <c r="Q521" s="234" t="s">
        <v>426</v>
      </c>
      <c r="R521" s="234" t="s">
        <v>426</v>
      </c>
      <c r="S521" s="234" t="s">
        <v>426</v>
      </c>
      <c r="T521" s="234" t="s">
        <v>426</v>
      </c>
      <c r="U521" s="234" t="s">
        <v>426</v>
      </c>
      <c r="V521" s="234" t="s">
        <v>426</v>
      </c>
      <c r="W521" s="234" t="s">
        <v>426</v>
      </c>
      <c r="X521" s="234" t="s">
        <v>426</v>
      </c>
      <c r="Y521" s="234" t="s">
        <v>426</v>
      </c>
    </row>
    <row r="522" spans="1:26" x14ac:dyDescent="0.25">
      <c r="A522" s="230" t="s">
        <v>466</v>
      </c>
      <c r="B522" s="234">
        <v>15.064169883728001</v>
      </c>
      <c r="C522" s="234">
        <v>15.629265785217299</v>
      </c>
      <c r="D522" s="234">
        <v>15.835299491882299</v>
      </c>
      <c r="E522" s="234">
        <v>15.918291091918899</v>
      </c>
      <c r="F522" s="234">
        <v>15.0829524993896</v>
      </c>
      <c r="G522" s="234">
        <v>14.3196773529053</v>
      </c>
      <c r="H522" s="234">
        <v>13.910519599914601</v>
      </c>
      <c r="I522" s="234">
        <v>13.8424997329712</v>
      </c>
      <c r="J522" s="234">
        <v>13.762632369995099</v>
      </c>
      <c r="K522" s="234">
        <v>13.8186712265015</v>
      </c>
      <c r="L522" s="234">
        <v>14.058515548706101</v>
      </c>
      <c r="M522" s="234">
        <v>14.316973686218301</v>
      </c>
      <c r="N522" s="234">
        <v>14.661353111267101</v>
      </c>
      <c r="O522" s="234">
        <v>14.869439125061</v>
      </c>
      <c r="P522" s="234">
        <v>14.9301090240479</v>
      </c>
      <c r="Q522" s="234">
        <v>15.044508934021</v>
      </c>
      <c r="R522" s="234">
        <v>15.2485342025757</v>
      </c>
      <c r="S522" s="234">
        <v>15.517853736877401</v>
      </c>
      <c r="T522" s="234">
        <v>15.7009220123291</v>
      </c>
      <c r="U522" s="234">
        <v>15.889198303222701</v>
      </c>
      <c r="V522" s="234">
        <v>15.933961868286101</v>
      </c>
      <c r="W522" s="234">
        <v>15.975202560424799</v>
      </c>
      <c r="X522" s="234">
        <v>16.0630493164063</v>
      </c>
      <c r="Y522" s="234">
        <v>16.195989608764599</v>
      </c>
    </row>
    <row r="523" spans="1:26" x14ac:dyDescent="0.25">
      <c r="A523" s="230" t="s">
        <v>460</v>
      </c>
      <c r="B523" s="234">
        <v>6.5697088241577104</v>
      </c>
      <c r="C523" s="234">
        <v>7.9157042503356898</v>
      </c>
      <c r="D523" s="234">
        <v>8.3734645843505895</v>
      </c>
      <c r="E523" s="234">
        <v>8.3683490753173793</v>
      </c>
      <c r="F523" s="234">
        <v>7.7444124221801802</v>
      </c>
      <c r="G523" s="234">
        <v>7.3380589485168501</v>
      </c>
      <c r="H523" s="234">
        <v>7.0368156433105504</v>
      </c>
      <c r="I523" s="234">
        <v>6.9020848274231001</v>
      </c>
      <c r="J523" s="234">
        <v>6.8100509643554696</v>
      </c>
      <c r="K523" s="234">
        <v>6.84179735183716</v>
      </c>
      <c r="L523" s="234">
        <v>6.8974781036376998</v>
      </c>
      <c r="M523" s="234">
        <v>6.9808845520019496</v>
      </c>
      <c r="N523" s="234">
        <v>7.1057710647582999</v>
      </c>
      <c r="O523" s="234">
        <v>7.20139837265015</v>
      </c>
      <c r="P523" s="234">
        <v>7.18692874908447</v>
      </c>
      <c r="Q523" s="234">
        <v>7.1932849884033203</v>
      </c>
      <c r="R523" s="234">
        <v>7.2944316864013699</v>
      </c>
      <c r="S523" s="234">
        <v>7.4377117156982404</v>
      </c>
      <c r="T523" s="234">
        <v>7.5399260520935103</v>
      </c>
      <c r="U523" s="234">
        <v>7.6392593383789098</v>
      </c>
      <c r="V523" s="234">
        <v>7.6873850822448704</v>
      </c>
      <c r="W523" s="234">
        <v>7.6958703994751003</v>
      </c>
      <c r="X523" s="234">
        <v>7.7559337615966797</v>
      </c>
      <c r="Y523" s="234">
        <v>7.8220491409301802</v>
      </c>
    </row>
    <row r="524" spans="1:26" x14ac:dyDescent="0.25">
      <c r="A524" s="230" t="s">
        <v>461</v>
      </c>
      <c r="B524" s="234">
        <v>6.9482707977294904</v>
      </c>
      <c r="C524" s="234">
        <v>8.0266513824462908</v>
      </c>
      <c r="D524" s="234">
        <v>8.9197750091552699</v>
      </c>
      <c r="E524" s="234">
        <v>8.6532449722290004</v>
      </c>
      <c r="F524" s="234">
        <v>7.9109911918640101</v>
      </c>
      <c r="G524" s="234">
        <v>7.48618364334106</v>
      </c>
      <c r="H524" s="234">
        <v>7.32971286773682</v>
      </c>
      <c r="I524" s="234">
        <v>7.1282916069030797</v>
      </c>
      <c r="J524" s="234">
        <v>7.1344366073608398</v>
      </c>
      <c r="K524" s="234">
        <v>7.2035880088806197</v>
      </c>
      <c r="L524" s="234">
        <v>7.21549415588379</v>
      </c>
      <c r="M524" s="234">
        <v>7.2433881759643599</v>
      </c>
      <c r="N524" s="234">
        <v>7.2548027038574201</v>
      </c>
      <c r="O524" s="234">
        <v>7.2826437950134304</v>
      </c>
      <c r="P524" s="234">
        <v>7.3254833221435502</v>
      </c>
      <c r="Q524" s="234">
        <v>7.3667011260986301</v>
      </c>
      <c r="R524" s="234">
        <v>7.4382300376892099</v>
      </c>
      <c r="S524" s="234">
        <v>7.5099358558654803</v>
      </c>
      <c r="T524" s="234">
        <v>7.5474686622619602</v>
      </c>
      <c r="U524" s="234">
        <v>7.6315479278564498</v>
      </c>
      <c r="V524" s="234">
        <v>7.69354152679443</v>
      </c>
      <c r="W524" s="234">
        <v>7.7161302566528303</v>
      </c>
      <c r="X524" s="234">
        <v>7.7569241523742702</v>
      </c>
      <c r="Y524" s="234">
        <v>7.8363184928893999</v>
      </c>
    </row>
    <row r="525" spans="1:26" x14ac:dyDescent="0.25">
      <c r="A525" s="230" t="s">
        <v>462</v>
      </c>
      <c r="B525" s="234">
        <v>6.1493649482727104</v>
      </c>
      <c r="C525" s="234">
        <v>7.03082323074341</v>
      </c>
      <c r="D525" s="234">
        <v>7.7272844314575204</v>
      </c>
      <c r="E525" s="234">
        <v>7.4210705757141104</v>
      </c>
      <c r="F525" s="234">
        <v>6.8826036453247097</v>
      </c>
      <c r="G525" s="234">
        <v>6.5409913063049299</v>
      </c>
      <c r="H525" s="234">
        <v>6.4167842864990199</v>
      </c>
      <c r="I525" s="234">
        <v>6.2535924911498997</v>
      </c>
      <c r="J525" s="234">
        <v>6.2965154647827104</v>
      </c>
      <c r="K525" s="234">
        <v>6.4007697105407697</v>
      </c>
      <c r="L525" s="234">
        <v>6.4218788146972701</v>
      </c>
      <c r="M525" s="234">
        <v>6.4483299255371103</v>
      </c>
      <c r="N525" s="234">
        <v>6.4679012298584002</v>
      </c>
      <c r="O525" s="234">
        <v>6.4912290573120099</v>
      </c>
      <c r="P525" s="234">
        <v>6.52826023101807</v>
      </c>
      <c r="Q525" s="234">
        <v>6.5738272666931197</v>
      </c>
      <c r="R525" s="234">
        <v>6.6604804992675799</v>
      </c>
      <c r="S525" s="234">
        <v>6.7330570220947301</v>
      </c>
      <c r="T525" s="234">
        <v>6.75683689117432</v>
      </c>
      <c r="U525" s="234">
        <v>6.8434348106384304</v>
      </c>
      <c r="V525" s="234">
        <v>6.9099073410034197</v>
      </c>
      <c r="W525" s="234">
        <v>6.9186587333679199</v>
      </c>
      <c r="X525" s="234">
        <v>6.9633812904357901</v>
      </c>
      <c r="Y525" s="234">
        <v>7.0585165023803702</v>
      </c>
    </row>
    <row r="526" spans="1:26" x14ac:dyDescent="0.25">
      <c r="A526" s="230" t="s">
        <v>467</v>
      </c>
      <c r="B526" s="234">
        <v>4.2683343887329102</v>
      </c>
      <c r="C526" s="234">
        <v>4.9646224975585902</v>
      </c>
      <c r="D526" s="234">
        <v>5.0606441497802699</v>
      </c>
      <c r="E526" s="234">
        <v>5.3499689102172896</v>
      </c>
      <c r="F526" s="234">
        <v>5.0606269836425799</v>
      </c>
      <c r="G526" s="234">
        <v>4.6454811096191397</v>
      </c>
      <c r="H526" s="234">
        <v>4.44089698791504</v>
      </c>
      <c r="I526" s="234">
        <v>4.3064308166503897</v>
      </c>
      <c r="J526" s="234">
        <v>4.2577414512634304</v>
      </c>
      <c r="K526" s="234">
        <v>4.3118896484375</v>
      </c>
      <c r="L526" s="234">
        <v>4.3638815879821804</v>
      </c>
      <c r="M526" s="234">
        <v>4.4166550636291504</v>
      </c>
      <c r="N526" s="234">
        <v>4.4711151123046902</v>
      </c>
      <c r="O526" s="234">
        <v>4.5238728523254403</v>
      </c>
      <c r="P526" s="234">
        <v>4.5756058692932102</v>
      </c>
      <c r="Q526" s="234">
        <v>4.6275658607482901</v>
      </c>
      <c r="R526" s="234">
        <v>4.6890521049499503</v>
      </c>
      <c r="S526" s="234">
        <v>4.7516570091247603</v>
      </c>
      <c r="T526" s="234">
        <v>4.8052668571472203</v>
      </c>
      <c r="U526" s="234">
        <v>4.8599562644958496</v>
      </c>
      <c r="V526" s="234">
        <v>4.9139251708984402</v>
      </c>
      <c r="W526" s="234">
        <v>4.9674754142761204</v>
      </c>
      <c r="X526" s="234">
        <v>5.0218071937561</v>
      </c>
      <c r="Y526" s="234">
        <v>5.0773591995239302</v>
      </c>
    </row>
    <row r="527" spans="1:26" x14ac:dyDescent="0.25">
      <c r="A527" s="252" t="s">
        <v>464</v>
      </c>
      <c r="B527" s="234">
        <v>6.6170339584350604</v>
      </c>
      <c r="C527" s="234">
        <v>8.0769119262695295</v>
      </c>
      <c r="D527" s="234">
        <v>8.4474086761474592</v>
      </c>
      <c r="E527" s="234">
        <v>8.5042705535888707</v>
      </c>
      <c r="F527" s="234">
        <v>7.8856530189514196</v>
      </c>
      <c r="G527" s="234">
        <v>7.4673976898193404</v>
      </c>
      <c r="H527" s="234">
        <v>7.1177520751953098</v>
      </c>
      <c r="I527" s="234">
        <v>6.9923906326293901</v>
      </c>
      <c r="J527" s="234">
        <v>6.8716683387756303</v>
      </c>
      <c r="K527" s="234">
        <v>6.8934268951415998</v>
      </c>
      <c r="L527" s="234">
        <v>6.9598770141601598</v>
      </c>
      <c r="M527" s="234">
        <v>7.0576272010803196</v>
      </c>
      <c r="N527" s="234">
        <v>7.21203565597534</v>
      </c>
      <c r="O527" s="234">
        <v>7.32529544830322</v>
      </c>
      <c r="P527" s="234">
        <v>7.2944836616516104</v>
      </c>
      <c r="Q527" s="234">
        <v>7.2903637886047399</v>
      </c>
      <c r="R527" s="234">
        <v>7.3995337486267099</v>
      </c>
      <c r="S527" s="234">
        <v>7.56237888336182</v>
      </c>
      <c r="T527" s="234">
        <v>7.6814393997192401</v>
      </c>
      <c r="U527" s="234">
        <v>7.78521823883057</v>
      </c>
      <c r="V527" s="234">
        <v>7.8287162780761701</v>
      </c>
      <c r="W527" s="234">
        <v>7.8313083648681596</v>
      </c>
      <c r="X527" s="234">
        <v>7.8953433036804199</v>
      </c>
      <c r="Y527" s="234">
        <v>7.9576945304870597</v>
      </c>
      <c r="Z527" s="260">
        <f>Y527+($AI$357-$Y$527)/10</f>
        <v>8.0099991534203383</v>
      </c>
    </row>
    <row r="528" spans="1:26" x14ac:dyDescent="0.25">
      <c r="A528" s="253" t="s">
        <v>465</v>
      </c>
      <c r="B528" s="234">
        <v>23.353584289550799</v>
      </c>
      <c r="C528" s="234">
        <v>23.2374382019043</v>
      </c>
      <c r="D528" s="234">
        <v>23.0415229797363</v>
      </c>
      <c r="E528" s="234">
        <v>22.938554763793899</v>
      </c>
      <c r="F528" s="234">
        <v>21.8424968719482</v>
      </c>
      <c r="G528" s="234">
        <v>20.6924953460693</v>
      </c>
      <c r="H528" s="234">
        <v>20.1292018890381</v>
      </c>
      <c r="I528" s="234">
        <v>20.063879013061499</v>
      </c>
      <c r="J528" s="234">
        <v>19.9343872070313</v>
      </c>
      <c r="K528" s="234">
        <v>19.938108444213899</v>
      </c>
      <c r="L528" s="234">
        <v>20.262083053588899</v>
      </c>
      <c r="M528" s="234">
        <v>20.589830398559599</v>
      </c>
      <c r="N528" s="234">
        <v>21.038742065429702</v>
      </c>
      <c r="O528" s="234">
        <v>21.2544975280762</v>
      </c>
      <c r="P528" s="234">
        <v>21.300868988037099</v>
      </c>
      <c r="Q528" s="234">
        <v>21.4323215484619</v>
      </c>
      <c r="R528" s="234">
        <v>21.647081375122099</v>
      </c>
      <c r="S528" s="234">
        <v>21.937980651855501</v>
      </c>
      <c r="T528" s="234">
        <v>22.104045867919901</v>
      </c>
      <c r="U528" s="234">
        <v>22.281753540039102</v>
      </c>
      <c r="V528" s="234">
        <v>22.24875831604</v>
      </c>
      <c r="W528" s="234">
        <v>22.2471523284912</v>
      </c>
      <c r="X528" s="234">
        <v>22.287950515747099</v>
      </c>
      <c r="Y528" s="234">
        <v>22.4030246734619</v>
      </c>
      <c r="Z528" s="262">
        <f>Y528+($AI$358-$Y$528)/10</f>
        <v>22.313820934181763</v>
      </c>
    </row>
    <row r="529" spans="1:70" x14ac:dyDescent="0.25">
      <c r="A529" s="230" t="s">
        <v>426</v>
      </c>
      <c r="B529" s="234" t="s">
        <v>426</v>
      </c>
      <c r="C529" s="234" t="s">
        <v>426</v>
      </c>
      <c r="D529" s="234" t="s">
        <v>426</v>
      </c>
      <c r="E529" s="234" t="s">
        <v>426</v>
      </c>
      <c r="F529" s="234" t="s">
        <v>426</v>
      </c>
      <c r="G529" s="234" t="s">
        <v>426</v>
      </c>
      <c r="H529" s="234" t="s">
        <v>426</v>
      </c>
      <c r="I529" s="234" t="s">
        <v>426</v>
      </c>
      <c r="J529" s="234" t="s">
        <v>426</v>
      </c>
      <c r="K529" s="234" t="s">
        <v>426</v>
      </c>
      <c r="L529" s="234" t="s">
        <v>426</v>
      </c>
      <c r="M529" s="234" t="s">
        <v>426</v>
      </c>
      <c r="N529" s="234" t="s">
        <v>426</v>
      </c>
      <c r="O529" s="234" t="s">
        <v>426</v>
      </c>
      <c r="P529" s="234" t="s">
        <v>426</v>
      </c>
      <c r="Q529" s="234" t="s">
        <v>426</v>
      </c>
      <c r="R529" s="234" t="s">
        <v>426</v>
      </c>
      <c r="S529" s="234" t="s">
        <v>426</v>
      </c>
      <c r="T529" s="234" t="s">
        <v>426</v>
      </c>
      <c r="U529" s="234" t="s">
        <v>426</v>
      </c>
      <c r="V529" s="234" t="s">
        <v>426</v>
      </c>
      <c r="W529" s="234" t="s">
        <v>426</v>
      </c>
      <c r="X529" s="234" t="s">
        <v>426</v>
      </c>
      <c r="Y529" s="234" t="s">
        <v>426</v>
      </c>
    </row>
    <row r="530" spans="1:70" ht="13.8" thickBot="1" x14ac:dyDescent="0.3">
      <c r="A530" s="230" t="s">
        <v>468</v>
      </c>
      <c r="B530" s="234">
        <v>6.3922061920165998</v>
      </c>
      <c r="C530" s="234">
        <v>7.7839651107788104</v>
      </c>
      <c r="D530" s="234">
        <v>8.7301359176635707</v>
      </c>
      <c r="E530" s="234">
        <v>8.5276689529418892</v>
      </c>
      <c r="F530" s="234">
        <v>7.7321057319641104</v>
      </c>
      <c r="G530" s="234">
        <v>7.2916359901428196</v>
      </c>
      <c r="H530" s="234">
        <v>7.0938224792480504</v>
      </c>
      <c r="I530" s="234">
        <v>6.9649901390075701</v>
      </c>
      <c r="J530" s="234">
        <v>6.8520793914794904</v>
      </c>
      <c r="K530" s="234">
        <v>6.8315567970275897</v>
      </c>
      <c r="L530" s="234">
        <v>6.8953166007995597</v>
      </c>
      <c r="M530" s="234">
        <v>6.99013376235962</v>
      </c>
      <c r="N530" s="234">
        <v>7.1103782653808603</v>
      </c>
      <c r="O530" s="234">
        <v>7.2379879951477104</v>
      </c>
      <c r="P530" s="234">
        <v>7.276611328125</v>
      </c>
      <c r="Q530" s="234">
        <v>7.3343372344970703</v>
      </c>
      <c r="R530" s="234">
        <v>7.4634890556335396</v>
      </c>
      <c r="S530" s="234">
        <v>7.6215224266052202</v>
      </c>
      <c r="T530" s="234">
        <v>7.7529444694518999</v>
      </c>
      <c r="U530" s="234">
        <v>7.8803434371948198</v>
      </c>
      <c r="V530" s="234">
        <v>7.9471721649169904</v>
      </c>
      <c r="W530" s="234">
        <v>7.99715328216553</v>
      </c>
      <c r="X530" s="234">
        <v>8.05676174163818</v>
      </c>
      <c r="Y530" s="234">
        <v>8.1260271072387695</v>
      </c>
    </row>
    <row r="531" spans="1:70" ht="13.8" thickBot="1" x14ac:dyDescent="0.3">
      <c r="A531" s="230" t="s">
        <v>469</v>
      </c>
      <c r="B531" s="234">
        <v>4.9298634529113796</v>
      </c>
      <c r="C531" s="234">
        <v>6.4939708709716797</v>
      </c>
      <c r="D531" s="234">
        <v>7.4592456817626998</v>
      </c>
      <c r="E531" s="234">
        <v>7.2321572303771999</v>
      </c>
      <c r="F531" s="234">
        <v>6.3973078727722203</v>
      </c>
      <c r="G531" s="234">
        <v>5.9808039665222203</v>
      </c>
      <c r="H531" s="234">
        <v>5.7940292358398402</v>
      </c>
      <c r="I531" s="234">
        <v>5.64864206314087</v>
      </c>
      <c r="J531" s="234">
        <v>5.54791307449341</v>
      </c>
      <c r="K531" s="234">
        <v>5.5448842048645002</v>
      </c>
      <c r="L531" s="234">
        <v>5.5862631797790501</v>
      </c>
      <c r="M531" s="234">
        <v>5.6484580039978001</v>
      </c>
      <c r="N531" s="234">
        <v>5.7157526016235396</v>
      </c>
      <c r="O531" s="234">
        <v>5.8273496627807599</v>
      </c>
      <c r="P531" s="234">
        <v>5.8644676208496103</v>
      </c>
      <c r="Q531" s="234">
        <v>5.9049983024597203</v>
      </c>
      <c r="R531" s="234">
        <v>6.0105843544006303</v>
      </c>
      <c r="S531" s="234">
        <v>6.1420850753784197</v>
      </c>
      <c r="T531" s="234">
        <v>6.2661328315734899</v>
      </c>
      <c r="U531" s="234">
        <v>6.3902029991149902</v>
      </c>
      <c r="V531" s="234">
        <v>6.4639844894409197</v>
      </c>
      <c r="W531" s="234">
        <v>6.5222811698913601</v>
      </c>
      <c r="X531" s="234">
        <v>6.5781168937683097</v>
      </c>
      <c r="Y531" s="234">
        <v>6.6401424407959002</v>
      </c>
      <c r="AA531" s="272">
        <f>Z701+($AI$531-$Y$701)/10</f>
        <v>1.6707610713595051</v>
      </c>
      <c r="AB531" s="272">
        <f t="shared" ref="AB531:AH531" si="75">AA531+($AI$531-$Y$701)/10</f>
        <v>1.7872284374395671</v>
      </c>
      <c r="AC531" s="272">
        <f t="shared" si="75"/>
        <v>1.903695803519629</v>
      </c>
      <c r="AD531" s="272">
        <f t="shared" si="75"/>
        <v>2.0201631695996909</v>
      </c>
      <c r="AE531" s="272">
        <f t="shared" si="75"/>
        <v>2.1366305356797528</v>
      </c>
      <c r="AF531" s="272">
        <f t="shared" si="75"/>
        <v>2.2530979017598147</v>
      </c>
      <c r="AG531" s="272">
        <f t="shared" si="75"/>
        <v>2.3695652678398766</v>
      </c>
      <c r="AH531" s="272">
        <f t="shared" si="75"/>
        <v>2.4860326339199386</v>
      </c>
      <c r="AI531" s="277">
        <v>2.6025</v>
      </c>
      <c r="AJ531" s="272">
        <f>AI531+($BM$531-$AI$531)/30</f>
        <v>2.6824166666666667</v>
      </c>
      <c r="AK531" s="272">
        <f t="shared" ref="AK531:BR531" si="76">AJ531+($BM$531-$AI$531)/30</f>
        <v>2.7623333333333333</v>
      </c>
      <c r="AL531" s="272">
        <f t="shared" si="76"/>
        <v>2.8422499999999999</v>
      </c>
      <c r="AM531" s="272">
        <f t="shared" si="76"/>
        <v>2.9221666666666666</v>
      </c>
      <c r="AN531" s="272">
        <f t="shared" si="76"/>
        <v>3.0020833333333332</v>
      </c>
      <c r="AO531" s="272">
        <f t="shared" si="76"/>
        <v>3.0819999999999999</v>
      </c>
      <c r="AP531" s="272">
        <f t="shared" si="76"/>
        <v>3.1619166666666665</v>
      </c>
      <c r="AQ531" s="272">
        <f t="shared" si="76"/>
        <v>3.2418333333333331</v>
      </c>
      <c r="AR531" s="272">
        <f t="shared" si="76"/>
        <v>3.3217499999999998</v>
      </c>
      <c r="AS531" s="272">
        <f t="shared" si="76"/>
        <v>3.4016666666666664</v>
      </c>
      <c r="AT531" s="272">
        <f t="shared" si="76"/>
        <v>3.481583333333333</v>
      </c>
      <c r="AU531" s="272">
        <f t="shared" si="76"/>
        <v>3.5614999999999997</v>
      </c>
      <c r="AV531" s="272">
        <f t="shared" si="76"/>
        <v>3.6414166666666663</v>
      </c>
      <c r="AW531" s="272">
        <f t="shared" si="76"/>
        <v>3.7213333333333329</v>
      </c>
      <c r="AX531" s="272">
        <f t="shared" si="76"/>
        <v>3.8012499999999996</v>
      </c>
      <c r="AY531" s="272">
        <f t="shared" si="76"/>
        <v>3.8811666666666662</v>
      </c>
      <c r="AZ531" s="272">
        <f t="shared" si="76"/>
        <v>3.9610833333333328</v>
      </c>
      <c r="BA531" s="272">
        <f t="shared" si="76"/>
        <v>4.0409999999999995</v>
      </c>
      <c r="BB531" s="272">
        <f t="shared" si="76"/>
        <v>4.1209166666666661</v>
      </c>
      <c r="BC531" s="272">
        <f t="shared" si="76"/>
        <v>4.2008333333333328</v>
      </c>
      <c r="BD531" s="272">
        <f t="shared" si="76"/>
        <v>4.2807499999999994</v>
      </c>
      <c r="BE531" s="272">
        <f t="shared" si="76"/>
        <v>4.360666666666666</v>
      </c>
      <c r="BF531" s="272">
        <f t="shared" si="76"/>
        <v>4.4405833333333327</v>
      </c>
      <c r="BG531" s="272">
        <f t="shared" si="76"/>
        <v>4.5204999999999993</v>
      </c>
      <c r="BH531" s="272">
        <f t="shared" si="76"/>
        <v>4.6004166666666659</v>
      </c>
      <c r="BI531" s="272">
        <f t="shared" si="76"/>
        <v>4.6803333333333326</v>
      </c>
      <c r="BJ531" s="272">
        <f t="shared" si="76"/>
        <v>4.7602499999999992</v>
      </c>
      <c r="BK531" s="272">
        <f t="shared" si="76"/>
        <v>4.8401666666666658</v>
      </c>
      <c r="BL531" s="272">
        <f t="shared" si="76"/>
        <v>4.9200833333333325</v>
      </c>
      <c r="BM531" s="275">
        <v>5</v>
      </c>
      <c r="BN531" s="272">
        <f t="shared" si="76"/>
        <v>5.0799166666666666</v>
      </c>
      <c r="BO531" s="272">
        <f t="shared" si="76"/>
        <v>5.1598333333333333</v>
      </c>
      <c r="BP531" s="272">
        <f t="shared" si="76"/>
        <v>5.2397499999999999</v>
      </c>
      <c r="BQ531" s="272">
        <f t="shared" si="76"/>
        <v>5.3196666666666665</v>
      </c>
      <c r="BR531" s="272">
        <f t="shared" si="76"/>
        <v>5.3995833333333332</v>
      </c>
    </row>
    <row r="532" spans="1:70" x14ac:dyDescent="0.25">
      <c r="A532" s="230" t="s">
        <v>461</v>
      </c>
      <c r="B532" s="234">
        <v>6.5291514396667498</v>
      </c>
      <c r="C532" s="234">
        <v>8.2850980758666992</v>
      </c>
      <c r="D532" s="234">
        <v>9.8001232147216797</v>
      </c>
      <c r="E532" s="234">
        <v>9.3072748184204102</v>
      </c>
      <c r="F532" s="234">
        <v>8.1255960464477504</v>
      </c>
      <c r="G532" s="234">
        <v>7.6394152641296396</v>
      </c>
      <c r="H532" s="234">
        <v>7.5353851318359402</v>
      </c>
      <c r="I532" s="234">
        <v>7.29905128479004</v>
      </c>
      <c r="J532" s="234">
        <v>7.2437157630920401</v>
      </c>
      <c r="K532" s="234">
        <v>7.2615475654602104</v>
      </c>
      <c r="L532" s="234">
        <v>7.28952884674072</v>
      </c>
      <c r="M532" s="234">
        <v>7.3323044776916504</v>
      </c>
      <c r="N532" s="234">
        <v>7.3129158020019496</v>
      </c>
      <c r="O532" s="234">
        <v>7.4180650711059597</v>
      </c>
      <c r="P532" s="234">
        <v>7.5101509094238299</v>
      </c>
      <c r="Q532" s="234">
        <v>7.5518846511840803</v>
      </c>
      <c r="R532" s="234">
        <v>7.6326026916503897</v>
      </c>
      <c r="S532" s="234">
        <v>7.7444272041320801</v>
      </c>
      <c r="T532" s="234">
        <v>7.8752341270446804</v>
      </c>
      <c r="U532" s="234">
        <v>8.0334920883178693</v>
      </c>
      <c r="V532" s="234">
        <v>8.1469945907592791</v>
      </c>
      <c r="W532" s="234">
        <v>8.2539978027343803</v>
      </c>
      <c r="X532" s="234">
        <v>8.3047761917114293</v>
      </c>
      <c r="Y532" s="234">
        <v>8.3638219833374006</v>
      </c>
      <c r="AA532" s="275">
        <v>8.7353999999999985</v>
      </c>
      <c r="AB532" s="275">
        <v>8.7353999999999985</v>
      </c>
      <c r="AC532" s="275">
        <v>8.7353999999999985</v>
      </c>
      <c r="AD532" s="275">
        <v>8.7353999999999985</v>
      </c>
      <c r="AE532" s="275">
        <v>8.7353999999999985</v>
      </c>
      <c r="AF532" s="275">
        <v>8.7353999999999985</v>
      </c>
      <c r="AG532" s="275">
        <v>8.7353999999999985</v>
      </c>
      <c r="AH532" s="275">
        <v>8.2799999999999994</v>
      </c>
      <c r="AI532" s="275">
        <v>8.2799999999999994</v>
      </c>
      <c r="AJ532" s="266">
        <f>AI532+($AX$532-$AI$532)/15</f>
        <v>8.2855063337213686</v>
      </c>
      <c r="AK532" s="266">
        <f t="shared" ref="AK532:AW532" si="77">AJ532+($AX$532-$AI$532)/15</f>
        <v>8.2910126674427378</v>
      </c>
      <c r="AL532" s="266">
        <f t="shared" si="77"/>
        <v>8.296519001164107</v>
      </c>
      <c r="AM532" s="266">
        <f t="shared" si="77"/>
        <v>8.3020253348854762</v>
      </c>
      <c r="AN532" s="266">
        <f t="shared" si="77"/>
        <v>8.3075316686068454</v>
      </c>
      <c r="AO532" s="266">
        <f t="shared" si="77"/>
        <v>8.3130380023282147</v>
      </c>
      <c r="AP532" s="266">
        <f t="shared" si="77"/>
        <v>8.3185443360495839</v>
      </c>
      <c r="AQ532" s="266">
        <f t="shared" si="77"/>
        <v>8.3240506697709531</v>
      </c>
      <c r="AR532" s="266">
        <f t="shared" si="77"/>
        <v>8.3295570034923223</v>
      </c>
      <c r="AS532" s="266">
        <f t="shared" si="77"/>
        <v>8.3350633372136915</v>
      </c>
      <c r="AT532" s="266">
        <f t="shared" si="77"/>
        <v>8.3405696709350607</v>
      </c>
      <c r="AU532" s="266">
        <f t="shared" si="77"/>
        <v>8.34607600465643</v>
      </c>
      <c r="AV532" s="266">
        <f t="shared" si="77"/>
        <v>8.3515823383777992</v>
      </c>
      <c r="AW532" s="266">
        <f t="shared" si="77"/>
        <v>8.3570886720991684</v>
      </c>
      <c r="AX532" s="271">
        <f>AI532*$B$747</f>
        <v>8.3625950058205305</v>
      </c>
      <c r="AY532" s="266">
        <f>AX532+($BM$532-$AX$532)/15</f>
        <v>8.3654368677345836</v>
      </c>
      <c r="AZ532" s="266">
        <f t="shared" ref="AZ532:BL532" si="78">AY532+($BM$532-$AX$532)/15</f>
        <v>8.3682787296486367</v>
      </c>
      <c r="BA532" s="266">
        <f t="shared" si="78"/>
        <v>8.3711205915626898</v>
      </c>
      <c r="BB532" s="266">
        <f t="shared" si="78"/>
        <v>8.373962453476743</v>
      </c>
      <c r="BC532" s="266">
        <f t="shared" si="78"/>
        <v>8.3768043153907961</v>
      </c>
      <c r="BD532" s="266">
        <f t="shared" si="78"/>
        <v>8.3796461773048492</v>
      </c>
      <c r="BE532" s="266">
        <f t="shared" si="78"/>
        <v>8.3824880392189023</v>
      </c>
      <c r="BF532" s="266">
        <f t="shared" si="78"/>
        <v>8.3853299011329554</v>
      </c>
      <c r="BG532" s="266">
        <f t="shared" si="78"/>
        <v>8.3881717630470085</v>
      </c>
      <c r="BH532" s="266">
        <f t="shared" si="78"/>
        <v>8.3910136249610616</v>
      </c>
      <c r="BI532" s="266">
        <f t="shared" si="78"/>
        <v>8.3938554868751147</v>
      </c>
      <c r="BJ532" s="266">
        <f t="shared" si="78"/>
        <v>8.3966973487891678</v>
      </c>
      <c r="BK532" s="266">
        <f t="shared" si="78"/>
        <v>8.399539210703221</v>
      </c>
      <c r="BL532" s="266">
        <f t="shared" si="78"/>
        <v>8.4023810726172741</v>
      </c>
      <c r="BM532" s="271">
        <f>AX532*$C$747</f>
        <v>8.4052229345313236</v>
      </c>
      <c r="BN532" s="266">
        <f>BM532+($BR$532-$BM$532)/5</f>
        <v>8.4080792827007791</v>
      </c>
      <c r="BO532" s="266">
        <f>BN532+($BR$532-$BM$532)/5</f>
        <v>8.4109356308702345</v>
      </c>
      <c r="BP532" s="266">
        <f>BO532+($BR$532-$BM$532)/5</f>
        <v>8.41379197903969</v>
      </c>
      <c r="BQ532" s="266">
        <f>BP532+($BR$532-$BM$532)/5</f>
        <v>8.4166483272091455</v>
      </c>
      <c r="BR532" s="271">
        <f>BM532*$D$747</f>
        <v>8.4195046753785974</v>
      </c>
    </row>
    <row r="533" spans="1:70" x14ac:dyDescent="0.25">
      <c r="A533" s="230" t="s">
        <v>462</v>
      </c>
      <c r="B533" s="234">
        <v>6.3323707580566397</v>
      </c>
      <c r="C533" s="234">
        <v>7.2384452819824201</v>
      </c>
      <c r="D533" s="234">
        <v>7.96527099609375</v>
      </c>
      <c r="E533" s="234">
        <v>7.6527137756347701</v>
      </c>
      <c r="F533" s="234">
        <v>7.15256595611572</v>
      </c>
      <c r="G533" s="234">
        <v>6.8207654953002903</v>
      </c>
      <c r="H533" s="234">
        <v>6.8779778480529803</v>
      </c>
      <c r="I533" s="234">
        <v>6.7174663543701199</v>
      </c>
      <c r="J533" s="234">
        <v>6.78255271911621</v>
      </c>
      <c r="K533" s="234">
        <v>7.1339807510376003</v>
      </c>
      <c r="L533" s="234">
        <v>7.1601362228393599</v>
      </c>
      <c r="M533" s="234">
        <v>7.1876134872436497</v>
      </c>
      <c r="N533" s="234">
        <v>7.1760501861572301</v>
      </c>
      <c r="O533" s="234">
        <v>7.19400835037231</v>
      </c>
      <c r="P533" s="234">
        <v>7.2192950248718297</v>
      </c>
      <c r="Q533" s="234">
        <v>7.2771706581115696</v>
      </c>
      <c r="R533" s="234">
        <v>7.32332468032837</v>
      </c>
      <c r="S533" s="234">
        <v>7.37906789779663</v>
      </c>
      <c r="T533" s="234">
        <v>7.3721222877502397</v>
      </c>
      <c r="U533" s="234">
        <v>7.4461221694946298</v>
      </c>
      <c r="V533" s="234">
        <v>7.5145907402038601</v>
      </c>
      <c r="W533" s="234">
        <v>7.4954967498779297</v>
      </c>
      <c r="X533" s="234">
        <v>7.5633401870727504</v>
      </c>
      <c r="Y533" s="234">
        <v>7.7325506210327104</v>
      </c>
      <c r="AA533" s="276">
        <v>4.78</v>
      </c>
      <c r="AB533" s="276">
        <v>4.78</v>
      </c>
      <c r="AC533" s="276">
        <v>4.78</v>
      </c>
      <c r="AD533" s="276">
        <v>4.78</v>
      </c>
      <c r="AE533" s="276">
        <v>4.78</v>
      </c>
      <c r="AF533" s="276">
        <v>4.78</v>
      </c>
      <c r="AG533" s="276">
        <v>4.78</v>
      </c>
      <c r="AH533" s="276">
        <v>4.78</v>
      </c>
      <c r="AI533" s="276">
        <v>4.78</v>
      </c>
      <c r="AJ533" s="276">
        <v>4.78</v>
      </c>
      <c r="AK533" s="276">
        <v>4.78</v>
      </c>
      <c r="AL533" s="276">
        <v>4.78</v>
      </c>
      <c r="AM533" s="276">
        <v>4.78</v>
      </c>
      <c r="AN533" s="276">
        <v>4.78</v>
      </c>
      <c r="AO533" s="276">
        <v>4.78</v>
      </c>
      <c r="AP533" s="276">
        <v>4.78</v>
      </c>
      <c r="AQ533" s="276">
        <v>4.78</v>
      </c>
      <c r="AR533" s="276">
        <v>4.78</v>
      </c>
      <c r="AS533" s="276">
        <v>4.78</v>
      </c>
      <c r="AT533" s="276">
        <v>4.78</v>
      </c>
      <c r="AU533" s="276">
        <v>4.78</v>
      </c>
      <c r="AV533" s="276">
        <v>4.78</v>
      </c>
      <c r="AW533" s="276">
        <v>4.78</v>
      </c>
      <c r="AX533" s="276">
        <v>4.78</v>
      </c>
      <c r="AY533" s="276">
        <v>4.78</v>
      </c>
      <c r="AZ533" s="276">
        <v>4.78</v>
      </c>
      <c r="BA533" s="276">
        <v>4.78</v>
      </c>
      <c r="BB533" s="276">
        <v>4.78</v>
      </c>
      <c r="BC533" s="276">
        <v>4.78</v>
      </c>
      <c r="BD533" s="276">
        <v>4.78</v>
      </c>
      <c r="BE533" s="276">
        <v>4.78</v>
      </c>
      <c r="BF533" s="276">
        <v>4.78</v>
      </c>
      <c r="BG533" s="276">
        <v>4.78</v>
      </c>
      <c r="BH533" s="276">
        <v>4.78</v>
      </c>
      <c r="BI533" s="276">
        <v>4.78</v>
      </c>
      <c r="BJ533" s="276">
        <v>4.78</v>
      </c>
      <c r="BK533" s="276">
        <v>4.78</v>
      </c>
      <c r="BL533" s="276">
        <v>4.78</v>
      </c>
      <c r="BM533" s="276">
        <v>4.78</v>
      </c>
      <c r="BN533" s="276">
        <v>4.78</v>
      </c>
      <c r="BO533" s="276">
        <v>4.78</v>
      </c>
      <c r="BP533" s="276">
        <v>4.78</v>
      </c>
      <c r="BQ533" s="276">
        <v>4.78</v>
      </c>
      <c r="BR533" s="276">
        <v>4.78</v>
      </c>
    </row>
    <row r="534" spans="1:70" x14ac:dyDescent="0.25">
      <c r="A534" s="230" t="s">
        <v>463</v>
      </c>
      <c r="B534" s="234">
        <v>8.4833917617797905</v>
      </c>
      <c r="C534" s="234">
        <v>12.566796302795399</v>
      </c>
      <c r="D534" s="234">
        <v>15.1470994949341</v>
      </c>
      <c r="E534" s="234">
        <v>13.2375335693359</v>
      </c>
      <c r="F534" s="234">
        <v>11.1595468521118</v>
      </c>
      <c r="G534" s="234">
        <v>10.509430885314901</v>
      </c>
      <c r="H534" s="234">
        <v>10.3245944976807</v>
      </c>
      <c r="I534" s="234">
        <v>10.044970512390099</v>
      </c>
      <c r="J534" s="234">
        <v>10.0157480239868</v>
      </c>
      <c r="K534" s="234">
        <v>9.9449577331543004</v>
      </c>
      <c r="L534" s="234">
        <v>10.002993583679199</v>
      </c>
      <c r="M534" s="234">
        <v>10.097089767456101</v>
      </c>
      <c r="N534" s="234">
        <v>10.020875930786101</v>
      </c>
      <c r="O534" s="234">
        <v>10.2241611480713</v>
      </c>
      <c r="P534" s="234">
        <v>10.3367824554443</v>
      </c>
      <c r="Q534" s="234">
        <v>10.319104194641101</v>
      </c>
      <c r="R534" s="234">
        <v>10.409514427185099</v>
      </c>
      <c r="S534" s="234">
        <v>10.552604675293001</v>
      </c>
      <c r="T534" s="234">
        <v>10.737306594848601</v>
      </c>
      <c r="U534" s="234">
        <v>10.9299325942993</v>
      </c>
      <c r="V534" s="234">
        <v>11.0452260971069</v>
      </c>
      <c r="W534" s="234">
        <v>11.198148727416999</v>
      </c>
      <c r="X534" s="234">
        <v>11.303442955017101</v>
      </c>
      <c r="Y534" s="234">
        <v>11.352322578430201</v>
      </c>
      <c r="AA534" s="275" t="e">
        <f t="shared" ref="AA534:AG534" si="79">AA533*GJ_p_MMBtu</f>
        <v>#NAME?</v>
      </c>
      <c r="AB534" s="275" t="e">
        <f t="shared" si="79"/>
        <v>#NAME?</v>
      </c>
      <c r="AC534" s="275" t="e">
        <f t="shared" si="79"/>
        <v>#NAME?</v>
      </c>
      <c r="AD534" s="275" t="e">
        <f t="shared" si="79"/>
        <v>#NAME?</v>
      </c>
      <c r="AE534" s="275" t="e">
        <f t="shared" si="79"/>
        <v>#NAME?</v>
      </c>
      <c r="AF534" s="275" t="e">
        <f t="shared" si="79"/>
        <v>#NAME?</v>
      </c>
      <c r="AG534" s="275" t="e">
        <f t="shared" si="79"/>
        <v>#NAME?</v>
      </c>
      <c r="AH534" s="275" t="e">
        <f t="shared" ref="AH534:BM534" si="80">AH533*GJ_p_MMBtu</f>
        <v>#NAME?</v>
      </c>
      <c r="AI534" s="275" t="e">
        <f t="shared" si="80"/>
        <v>#NAME?</v>
      </c>
      <c r="AJ534" s="275" t="e">
        <f t="shared" si="80"/>
        <v>#NAME?</v>
      </c>
      <c r="AK534" s="275" t="e">
        <f t="shared" si="80"/>
        <v>#NAME?</v>
      </c>
      <c r="AL534" s="275" t="e">
        <f t="shared" si="80"/>
        <v>#NAME?</v>
      </c>
      <c r="AM534" s="275" t="e">
        <f t="shared" si="80"/>
        <v>#NAME?</v>
      </c>
      <c r="AN534" s="275" t="e">
        <f t="shared" si="80"/>
        <v>#NAME?</v>
      </c>
      <c r="AO534" s="275" t="e">
        <f t="shared" si="80"/>
        <v>#NAME?</v>
      </c>
      <c r="AP534" s="275" t="e">
        <f t="shared" si="80"/>
        <v>#NAME?</v>
      </c>
      <c r="AQ534" s="275" t="e">
        <f t="shared" si="80"/>
        <v>#NAME?</v>
      </c>
      <c r="AR534" s="275" t="e">
        <f t="shared" si="80"/>
        <v>#NAME?</v>
      </c>
      <c r="AS534" s="275" t="e">
        <f t="shared" si="80"/>
        <v>#NAME?</v>
      </c>
      <c r="AT534" s="275" t="e">
        <f t="shared" si="80"/>
        <v>#NAME?</v>
      </c>
      <c r="AU534" s="275" t="e">
        <f t="shared" si="80"/>
        <v>#NAME?</v>
      </c>
      <c r="AV534" s="275" t="e">
        <f t="shared" si="80"/>
        <v>#NAME?</v>
      </c>
      <c r="AW534" s="275" t="e">
        <f t="shared" si="80"/>
        <v>#NAME?</v>
      </c>
      <c r="AX534" s="275" t="e">
        <f t="shared" si="80"/>
        <v>#NAME?</v>
      </c>
      <c r="AY534" s="275" t="e">
        <f t="shared" si="80"/>
        <v>#NAME?</v>
      </c>
      <c r="AZ534" s="275" t="e">
        <f t="shared" si="80"/>
        <v>#NAME?</v>
      </c>
      <c r="BA534" s="275" t="e">
        <f t="shared" si="80"/>
        <v>#NAME?</v>
      </c>
      <c r="BB534" s="275" t="e">
        <f t="shared" si="80"/>
        <v>#NAME?</v>
      </c>
      <c r="BC534" s="275" t="e">
        <f t="shared" si="80"/>
        <v>#NAME?</v>
      </c>
      <c r="BD534" s="275" t="e">
        <f t="shared" si="80"/>
        <v>#NAME?</v>
      </c>
      <c r="BE534" s="275" t="e">
        <f t="shared" si="80"/>
        <v>#NAME?</v>
      </c>
      <c r="BF534" s="275" t="e">
        <f t="shared" si="80"/>
        <v>#NAME?</v>
      </c>
      <c r="BG534" s="275" t="e">
        <f t="shared" si="80"/>
        <v>#NAME?</v>
      </c>
      <c r="BH534" s="275" t="e">
        <f t="shared" si="80"/>
        <v>#NAME?</v>
      </c>
      <c r="BI534" s="275" t="e">
        <f t="shared" si="80"/>
        <v>#NAME?</v>
      </c>
      <c r="BJ534" s="275" t="e">
        <f t="shared" si="80"/>
        <v>#NAME?</v>
      </c>
      <c r="BK534" s="275" t="e">
        <f t="shared" si="80"/>
        <v>#NAME?</v>
      </c>
      <c r="BL534" s="275" t="e">
        <f t="shared" si="80"/>
        <v>#NAME?</v>
      </c>
      <c r="BM534" s="275" t="e">
        <f t="shared" si="80"/>
        <v>#NAME?</v>
      </c>
      <c r="BN534" s="275" t="e">
        <f>BN533*GJ_p_MMBtu</f>
        <v>#NAME?</v>
      </c>
      <c r="BO534" s="275" t="e">
        <f>BO533*GJ_p_MMBtu</f>
        <v>#NAME?</v>
      </c>
      <c r="BP534" s="275" t="e">
        <f>BP533*GJ_p_MMBtu</f>
        <v>#NAME?</v>
      </c>
      <c r="BQ534" s="275" t="e">
        <f>BQ533*GJ_p_MMBtu</f>
        <v>#NAME?</v>
      </c>
      <c r="BR534" s="275" t="e">
        <f>BR533*GJ_p_MMBtu</f>
        <v>#NAME?</v>
      </c>
    </row>
    <row r="535" spans="1:70" ht="51" customHeight="1" x14ac:dyDescent="0.25">
      <c r="A535" s="230" t="s">
        <v>467</v>
      </c>
      <c r="B535" s="234">
        <v>3.9384419918060298</v>
      </c>
      <c r="C535" s="234">
        <v>4.5867881774902299</v>
      </c>
      <c r="D535" s="234">
        <v>4.6800308227539098</v>
      </c>
      <c r="E535" s="234">
        <v>4.9388971328735396</v>
      </c>
      <c r="F535" s="234">
        <v>4.6724338531494096</v>
      </c>
      <c r="G535" s="234">
        <v>4.2573971748352104</v>
      </c>
      <c r="H535" s="234">
        <v>4.0660681724548304</v>
      </c>
      <c r="I535" s="234">
        <v>3.9201312065124498</v>
      </c>
      <c r="J535" s="234">
        <v>3.8699574470520002</v>
      </c>
      <c r="K535" s="234">
        <v>3.9242179393768302</v>
      </c>
      <c r="L535" s="234">
        <v>3.9701111316680899</v>
      </c>
      <c r="M535" s="234">
        <v>4.0123748779296902</v>
      </c>
      <c r="N535" s="234">
        <v>4.03127193450928</v>
      </c>
      <c r="O535" s="234">
        <v>4.0987625122070304</v>
      </c>
      <c r="P535" s="234">
        <v>4.1393604278564498</v>
      </c>
      <c r="Q535" s="234">
        <v>4.1877317428588903</v>
      </c>
      <c r="R535" s="234">
        <v>4.2278647422790501</v>
      </c>
      <c r="S535" s="234">
        <v>4.2813539505004901</v>
      </c>
      <c r="T535" s="234">
        <v>4.3376803398132298</v>
      </c>
      <c r="U535" s="234">
        <v>4.4096555709838903</v>
      </c>
      <c r="V535" s="234">
        <v>4.4638853073120099</v>
      </c>
      <c r="W535" s="234">
        <v>4.5156707763671902</v>
      </c>
      <c r="X535" s="234">
        <v>4.5648870468139604</v>
      </c>
      <c r="Y535" s="234">
        <v>4.6165790557861301</v>
      </c>
      <c r="AA535" s="234"/>
      <c r="AB535" s="234"/>
      <c r="AC535" s="234"/>
      <c r="AD535" s="234"/>
      <c r="AE535" s="234"/>
      <c r="AF535" s="234"/>
      <c r="AG535" s="234"/>
      <c r="AH535" s="234"/>
    </row>
    <row r="536" spans="1:70" x14ac:dyDescent="0.25">
      <c r="A536" s="252" t="s">
        <v>470</v>
      </c>
      <c r="B536" s="234">
        <v>3.88655662536621</v>
      </c>
      <c r="C536" s="234">
        <v>5.55936574935913</v>
      </c>
      <c r="D536" s="234">
        <v>6.0491561889648402</v>
      </c>
      <c r="E536" s="234">
        <v>6.0767245292663601</v>
      </c>
      <c r="F536" s="234">
        <v>5.4288315773010298</v>
      </c>
      <c r="G536" s="234">
        <v>4.9784579277038601</v>
      </c>
      <c r="H536" s="234">
        <v>4.6095819473266602</v>
      </c>
      <c r="I536" s="234">
        <v>4.5152282714843803</v>
      </c>
      <c r="J536" s="234">
        <v>4.3734540939331099</v>
      </c>
      <c r="K536" s="234">
        <v>4.3719940185546902</v>
      </c>
      <c r="L536" s="234">
        <v>4.4435229301452601</v>
      </c>
      <c r="M536" s="234">
        <v>4.5411396026611301</v>
      </c>
      <c r="N536" s="234">
        <v>4.7005810737609899</v>
      </c>
      <c r="O536" s="234">
        <v>4.81768798828125</v>
      </c>
      <c r="P536" s="234">
        <v>4.7900476455688503</v>
      </c>
      <c r="Q536" s="234">
        <v>4.8231658935546902</v>
      </c>
      <c r="R536" s="234">
        <v>4.9558763504028303</v>
      </c>
      <c r="S536" s="234">
        <v>5.1147346496581996</v>
      </c>
      <c r="T536" s="234">
        <v>5.2329874038696298</v>
      </c>
      <c r="U536" s="234">
        <v>5.3250308036804199</v>
      </c>
      <c r="V536" s="234">
        <v>5.3559622764587402</v>
      </c>
      <c r="W536" s="234">
        <v>5.3499736785888699</v>
      </c>
      <c r="X536" s="234">
        <v>5.4079699516296396</v>
      </c>
      <c r="Y536" s="234">
        <v>5.4724006652831996</v>
      </c>
      <c r="Z536" s="260">
        <f>Y536+($AI$366-$Y$536)/10</f>
        <v>5.502911815190215</v>
      </c>
    </row>
    <row r="537" spans="1:70" x14ac:dyDescent="0.25">
      <c r="A537" s="230" t="s">
        <v>471</v>
      </c>
      <c r="B537" s="234">
        <v>1.88388228416443</v>
      </c>
      <c r="C537" s="234">
        <v>1.8499996662139899</v>
      </c>
      <c r="D537" s="234">
        <v>1.9631321430206301</v>
      </c>
      <c r="E537" s="234">
        <v>1.9065624475479099</v>
      </c>
      <c r="F537" s="234">
        <v>1.8876701593398999</v>
      </c>
      <c r="G537" s="234">
        <v>1.8568421602249101</v>
      </c>
      <c r="H537" s="234">
        <v>1.8503668308258101</v>
      </c>
      <c r="I537" s="234">
        <v>1.8461718559265099</v>
      </c>
      <c r="J537" s="234">
        <v>1.81827020645142</v>
      </c>
      <c r="K537" s="234">
        <v>1.79229772090912</v>
      </c>
      <c r="L537" s="234">
        <v>1.7775920629501301</v>
      </c>
      <c r="M537" s="234">
        <v>1.7720992565155</v>
      </c>
      <c r="N537" s="234">
        <v>1.7673192024230999</v>
      </c>
      <c r="O537" s="234">
        <v>1.76388168334961</v>
      </c>
      <c r="P537" s="234">
        <v>1.7582092285156301</v>
      </c>
      <c r="Q537" s="234">
        <v>1.7531107664108301</v>
      </c>
      <c r="R537" s="234">
        <v>1.7537478208541899</v>
      </c>
      <c r="S537" s="234">
        <v>1.7550060749053999</v>
      </c>
      <c r="T537" s="234">
        <v>1.75110328197479</v>
      </c>
      <c r="U537" s="234">
        <v>1.741095662117</v>
      </c>
      <c r="V537" s="234">
        <v>1.72283828258514</v>
      </c>
      <c r="W537" s="234">
        <v>1.7066173553466799</v>
      </c>
      <c r="X537" s="234">
        <v>1.6973831653595</v>
      </c>
      <c r="Y537" s="234">
        <v>1.68216860294342</v>
      </c>
    </row>
    <row r="538" spans="1:70" x14ac:dyDescent="0.25">
      <c r="A538" s="230" t="s">
        <v>472</v>
      </c>
      <c r="B538" s="234">
        <v>1.5976041555404701</v>
      </c>
      <c r="C538" s="234">
        <v>1.5543407201767001</v>
      </c>
      <c r="D538" s="234">
        <v>1.5665656328201301</v>
      </c>
      <c r="E538" s="234">
        <v>1.6037170886993399</v>
      </c>
      <c r="F538" s="234">
        <v>1.59409379959106</v>
      </c>
      <c r="G538" s="234">
        <v>1.5766631364822401</v>
      </c>
      <c r="H538" s="234">
        <v>1.5775339603424099</v>
      </c>
      <c r="I538" s="234">
        <v>1.5708864927291899</v>
      </c>
      <c r="J538" s="234">
        <v>1.5649564266204801</v>
      </c>
      <c r="K538" s="234">
        <v>1.56413578987122</v>
      </c>
      <c r="L538" s="234">
        <v>1.5547889471054099</v>
      </c>
      <c r="M538" s="234">
        <v>1.54732978343964</v>
      </c>
      <c r="N538" s="234">
        <v>1.54787278175354</v>
      </c>
      <c r="O538" s="234">
        <v>1.5495419502258301</v>
      </c>
      <c r="P538" s="234">
        <v>1.5494637489318801</v>
      </c>
      <c r="Q538" s="234">
        <v>1.5568271875381501</v>
      </c>
      <c r="R538" s="234">
        <v>1.55967605113983</v>
      </c>
      <c r="S538" s="234">
        <v>1.5613601207733201</v>
      </c>
      <c r="T538" s="234">
        <v>1.5625598430633501</v>
      </c>
      <c r="U538" s="234">
        <v>1.5681461095809901</v>
      </c>
      <c r="V538" s="234">
        <v>1.5708984136581401</v>
      </c>
      <c r="W538" s="234">
        <v>1.6035954952239999</v>
      </c>
      <c r="X538" s="234">
        <v>1.60524129867554</v>
      </c>
      <c r="Y538" s="234">
        <v>1.6024739742279099</v>
      </c>
    </row>
    <row r="539" spans="1:70" x14ac:dyDescent="0.25">
      <c r="A539" s="253" t="s">
        <v>465</v>
      </c>
      <c r="B539" s="234">
        <v>14.734835624694799</v>
      </c>
      <c r="C539" s="234">
        <v>15.0261535644531</v>
      </c>
      <c r="D539" s="234">
        <v>15.7151737213135</v>
      </c>
      <c r="E539" s="234">
        <v>15.5977983474731</v>
      </c>
      <c r="F539" s="234">
        <v>15.0554456710815</v>
      </c>
      <c r="G539" s="234">
        <v>14.415571212768601</v>
      </c>
      <c r="H539" s="234">
        <v>14.123340606689499</v>
      </c>
      <c r="I539" s="234">
        <v>14.033378601074199</v>
      </c>
      <c r="J539" s="234">
        <v>13.8423414230347</v>
      </c>
      <c r="K539" s="234">
        <v>13.6992740631104</v>
      </c>
      <c r="L539" s="234">
        <v>13.8484916687012</v>
      </c>
      <c r="M539" s="234">
        <v>14.089280128479</v>
      </c>
      <c r="N539" s="234">
        <v>14.438159942626999</v>
      </c>
      <c r="O539" s="234">
        <v>14.622407913208001</v>
      </c>
      <c r="P539" s="234">
        <v>14.680962562561</v>
      </c>
      <c r="Q539" s="234">
        <v>14.817166328430201</v>
      </c>
      <c r="R539" s="234">
        <v>15.035754203796399</v>
      </c>
      <c r="S539" s="234">
        <v>15.3131446838379</v>
      </c>
      <c r="T539" s="234">
        <v>15.467190742492701</v>
      </c>
      <c r="U539" s="234">
        <v>15.608844757080099</v>
      </c>
      <c r="V539" s="234">
        <v>15.623446464538601</v>
      </c>
      <c r="W539" s="234">
        <v>15.6070909500122</v>
      </c>
      <c r="X539" s="234">
        <v>15.6627254486084</v>
      </c>
      <c r="Y539" s="234">
        <v>15.7515544891357</v>
      </c>
      <c r="Z539" s="262">
        <f>Y539+($AI$369-$Y$539)/10</f>
        <v>15.681619149325263</v>
      </c>
    </row>
    <row r="540" spans="1:70" x14ac:dyDescent="0.25">
      <c r="A540" s="230" t="s">
        <v>426</v>
      </c>
      <c r="B540" s="234" t="s">
        <v>426</v>
      </c>
      <c r="C540" s="234" t="s">
        <v>426</v>
      </c>
      <c r="D540" s="234" t="s">
        <v>426</v>
      </c>
      <c r="E540" s="234" t="s">
        <v>426</v>
      </c>
      <c r="F540" s="234" t="s">
        <v>426</v>
      </c>
      <c r="G540" s="234" t="s">
        <v>426</v>
      </c>
      <c r="H540" s="234" t="s">
        <v>426</v>
      </c>
      <c r="I540" s="234" t="s">
        <v>426</v>
      </c>
      <c r="J540" s="234" t="s">
        <v>426</v>
      </c>
      <c r="K540" s="234" t="s">
        <v>426</v>
      </c>
      <c r="L540" s="234" t="s">
        <v>426</v>
      </c>
      <c r="M540" s="234" t="s">
        <v>426</v>
      </c>
      <c r="N540" s="234" t="s">
        <v>426</v>
      </c>
      <c r="O540" s="234" t="s">
        <v>426</v>
      </c>
      <c r="P540" s="234" t="s">
        <v>426</v>
      </c>
      <c r="Q540" s="234" t="s">
        <v>426</v>
      </c>
      <c r="R540" s="234" t="s">
        <v>426</v>
      </c>
      <c r="S540" s="234" t="s">
        <v>426</v>
      </c>
      <c r="T540" s="234" t="s">
        <v>426</v>
      </c>
      <c r="U540" s="234" t="s">
        <v>426</v>
      </c>
      <c r="V540" s="234" t="s">
        <v>426</v>
      </c>
      <c r="W540" s="234" t="s">
        <v>426</v>
      </c>
      <c r="X540" s="234" t="s">
        <v>426</v>
      </c>
      <c r="Y540" s="234" t="s">
        <v>426</v>
      </c>
    </row>
    <row r="541" spans="1:70" x14ac:dyDescent="0.25">
      <c r="A541" s="230" t="s">
        <v>473</v>
      </c>
      <c r="B541" s="234">
        <v>10.068477630615201</v>
      </c>
      <c r="C541" s="234">
        <v>11.4567165374756</v>
      </c>
      <c r="D541" s="234">
        <v>12.984972000122101</v>
      </c>
      <c r="E541" s="234">
        <v>12.646059036254901</v>
      </c>
      <c r="F541" s="234">
        <v>12.0215864181519</v>
      </c>
      <c r="G541" s="234">
        <v>11.451254844665501</v>
      </c>
      <c r="H541" s="234">
        <v>11.2903280258179</v>
      </c>
      <c r="I541" s="234">
        <v>11.054517745971699</v>
      </c>
      <c r="J541" s="234">
        <v>10.953487396240201</v>
      </c>
      <c r="K541" s="234">
        <v>10.9616088867188</v>
      </c>
      <c r="L541" s="234">
        <v>10.9120273590088</v>
      </c>
      <c r="M541" s="234">
        <v>10.9370317459106</v>
      </c>
      <c r="N541" s="234">
        <v>10.932166099548301</v>
      </c>
      <c r="O541" s="234">
        <v>10.949841499328601</v>
      </c>
      <c r="P541" s="234">
        <v>10.9948740005493</v>
      </c>
      <c r="Q541" s="234">
        <v>11.046938896179199</v>
      </c>
      <c r="R541" s="234">
        <v>11.074780464172401</v>
      </c>
      <c r="S541" s="234">
        <v>11.117128372192401</v>
      </c>
      <c r="T541" s="234">
        <v>11.155697822570801</v>
      </c>
      <c r="U541" s="234">
        <v>11.209436416626</v>
      </c>
      <c r="V541" s="234">
        <v>11.2737817764282</v>
      </c>
      <c r="W541" s="234">
        <v>11.3331050872803</v>
      </c>
      <c r="X541" s="234">
        <v>11.350456237793001</v>
      </c>
      <c r="Y541" s="234">
        <v>11.462995529174799</v>
      </c>
    </row>
    <row r="542" spans="1:70" x14ac:dyDescent="0.25">
      <c r="A542" s="230" t="s">
        <v>469</v>
      </c>
      <c r="B542" s="234">
        <v>10.0396184921265</v>
      </c>
      <c r="C542" s="234">
        <v>11.4297380447388</v>
      </c>
      <c r="D542" s="234">
        <v>12.961000442504901</v>
      </c>
      <c r="E542" s="234">
        <v>12.6219329833984</v>
      </c>
      <c r="F542" s="234">
        <v>11.9984340667725</v>
      </c>
      <c r="G542" s="234">
        <v>11.4290685653687</v>
      </c>
      <c r="H542" s="234">
        <v>11.2685947418213</v>
      </c>
      <c r="I542" s="234">
        <v>11.0320892333984</v>
      </c>
      <c r="J542" s="234">
        <v>10.930870056152299</v>
      </c>
      <c r="K542" s="234">
        <v>10.938961982727101</v>
      </c>
      <c r="L542" s="234">
        <v>10.8886499404907</v>
      </c>
      <c r="M542" s="234">
        <v>10.913072586059601</v>
      </c>
      <c r="N542" s="234">
        <v>10.9073333740234</v>
      </c>
      <c r="O542" s="234">
        <v>10.9247722625732</v>
      </c>
      <c r="P542" s="234">
        <v>10.969937324523899</v>
      </c>
      <c r="Q542" s="234">
        <v>11.021965980529799</v>
      </c>
      <c r="R542" s="234">
        <v>11.049379348754901</v>
      </c>
      <c r="S542" s="234">
        <v>11.0911350250244</v>
      </c>
      <c r="T542" s="234">
        <v>11.129392623901399</v>
      </c>
      <c r="U542" s="234">
        <v>11.182910919189499</v>
      </c>
      <c r="V542" s="234">
        <v>11.247509956359901</v>
      </c>
      <c r="W542" s="234">
        <v>11.307147026061999</v>
      </c>
      <c r="X542" s="234">
        <v>11.324338912963899</v>
      </c>
      <c r="Y542" s="234">
        <v>11.436959266662599</v>
      </c>
    </row>
    <row r="543" spans="1:70" x14ac:dyDescent="0.25">
      <c r="A543" s="230" t="s">
        <v>461</v>
      </c>
      <c r="B543" s="234">
        <v>10.0409812927246</v>
      </c>
      <c r="C543" s="234">
        <v>11.431476593017599</v>
      </c>
      <c r="D543" s="234">
        <v>12.9638833999634</v>
      </c>
      <c r="E543" s="234">
        <v>12.6248769760132</v>
      </c>
      <c r="F543" s="234">
        <v>12.0015964508057</v>
      </c>
      <c r="G543" s="234">
        <v>11.432228088378899</v>
      </c>
      <c r="H543" s="234">
        <v>11.2722625732422</v>
      </c>
      <c r="I543" s="234">
        <v>11.0358724594116</v>
      </c>
      <c r="J543" s="234">
        <v>10.934929847717299</v>
      </c>
      <c r="K543" s="234">
        <v>10.9432172775269</v>
      </c>
      <c r="L543" s="234">
        <v>10.892875671386699</v>
      </c>
      <c r="M543" s="234">
        <v>10.9173030853271</v>
      </c>
      <c r="N543" s="234">
        <v>10.911340713501</v>
      </c>
      <c r="O543" s="234">
        <v>10.928663253784199</v>
      </c>
      <c r="P543" s="234">
        <v>10.9740562438965</v>
      </c>
      <c r="Q543" s="234">
        <v>11.026309967041</v>
      </c>
      <c r="R543" s="234">
        <v>11.0536193847656</v>
      </c>
      <c r="S543" s="234">
        <v>11.0952548980713</v>
      </c>
      <c r="T543" s="234">
        <v>11.1333513259888</v>
      </c>
      <c r="U543" s="234">
        <v>11.1867895126343</v>
      </c>
      <c r="V543" s="234">
        <v>11.251508712768601</v>
      </c>
      <c r="W543" s="234">
        <v>11.3113117218018</v>
      </c>
      <c r="X543" s="234">
        <v>11.328408241271999</v>
      </c>
      <c r="Y543" s="234">
        <v>11.4412240982056</v>
      </c>
    </row>
    <row r="544" spans="1:70" x14ac:dyDescent="0.25">
      <c r="A544" s="257" t="s">
        <v>474</v>
      </c>
      <c r="B544" s="234">
        <v>9.5535230636596697</v>
      </c>
      <c r="C544" s="234">
        <v>10.9202365875244</v>
      </c>
      <c r="D544" s="234">
        <v>12.0208587646484</v>
      </c>
      <c r="E544" s="234">
        <v>11.5461339950562</v>
      </c>
      <c r="F544" s="234">
        <v>11.286841392517101</v>
      </c>
      <c r="G544" s="234">
        <v>11.003821372985801</v>
      </c>
      <c r="H544" s="234">
        <v>10.8476676940918</v>
      </c>
      <c r="I544" s="234">
        <v>10.675346374511699</v>
      </c>
      <c r="J544" s="234">
        <v>10.7599039077759</v>
      </c>
      <c r="K544" s="234">
        <v>10.8244476318359</v>
      </c>
      <c r="L544" s="234">
        <v>10.807107925415</v>
      </c>
      <c r="M544" s="234">
        <v>10.788902282714799</v>
      </c>
      <c r="N544" s="234">
        <v>10.7359352111816</v>
      </c>
      <c r="O544" s="234">
        <v>10.7108716964722</v>
      </c>
      <c r="P544" s="234">
        <v>10.6978845596313</v>
      </c>
      <c r="Q544" s="234">
        <v>10.720422744751</v>
      </c>
      <c r="R544" s="234">
        <v>10.715018272399901</v>
      </c>
      <c r="S544" s="234">
        <v>10.7237329483032</v>
      </c>
      <c r="T544" s="234">
        <v>10.658562660217299</v>
      </c>
      <c r="U544" s="234">
        <v>10.6896152496338</v>
      </c>
      <c r="V544" s="234">
        <v>10.7133436203003</v>
      </c>
      <c r="W544" s="234">
        <v>10.6396188735962</v>
      </c>
      <c r="X544" s="234">
        <v>10.6814889907837</v>
      </c>
      <c r="Y544" s="234">
        <v>10.8466644287109</v>
      </c>
      <c r="Z544" s="264">
        <f>Y544+($AI$374-$Y$544)/10</f>
        <v>11.215393895691953</v>
      </c>
    </row>
    <row r="545" spans="1:26" x14ac:dyDescent="0.25">
      <c r="A545" s="230" t="s">
        <v>475</v>
      </c>
      <c r="B545" s="234">
        <v>6.0538434982299796</v>
      </c>
      <c r="C545" s="234">
        <v>6.4578518867492702</v>
      </c>
      <c r="D545" s="234">
        <v>8.1168746948242205</v>
      </c>
      <c r="E545" s="234">
        <v>7.6875572204589799</v>
      </c>
      <c r="F545" s="234">
        <v>7.0150871276855504</v>
      </c>
      <c r="G545" s="234">
        <v>6.5790328979492196</v>
      </c>
      <c r="H545" s="234">
        <v>6.5712537765502903</v>
      </c>
      <c r="I545" s="234">
        <v>6.42602443695068</v>
      </c>
      <c r="J545" s="234">
        <v>6.2476048469543501</v>
      </c>
      <c r="K545" s="234">
        <v>6.2184038162231401</v>
      </c>
      <c r="L545" s="234">
        <v>6.2436552047729501</v>
      </c>
      <c r="M545" s="234">
        <v>6.2858424186706499</v>
      </c>
      <c r="N545" s="234">
        <v>6.2737250328064</v>
      </c>
      <c r="O545" s="234">
        <v>6.2926135063171396</v>
      </c>
      <c r="P545" s="234">
        <v>6.3336305618286097</v>
      </c>
      <c r="Q545" s="234">
        <v>6.3623290061950701</v>
      </c>
      <c r="R545" s="234">
        <v>6.4419050216674796</v>
      </c>
      <c r="S545" s="234">
        <v>6.5377755165100098</v>
      </c>
      <c r="T545" s="234">
        <v>6.5789065361022896</v>
      </c>
      <c r="U545" s="234">
        <v>6.7034192085266104</v>
      </c>
      <c r="V545" s="234">
        <v>6.8036813735961896</v>
      </c>
      <c r="W545" s="234">
        <v>6.8691210746765101</v>
      </c>
      <c r="X545" s="234">
        <v>6.8930430412292498</v>
      </c>
      <c r="Y545" s="234">
        <v>6.9258189201354998</v>
      </c>
    </row>
    <row r="546" spans="1:26" x14ac:dyDescent="0.25">
      <c r="A546" s="257" t="s">
        <v>476</v>
      </c>
      <c r="B546" s="234">
        <v>11.3207235336304</v>
      </c>
      <c r="C546" s="234">
        <v>12.9284992218018</v>
      </c>
      <c r="D546" s="234">
        <v>14.6530704498291</v>
      </c>
      <c r="E546" s="234">
        <v>14.346965789794901</v>
      </c>
      <c r="F546" s="234">
        <v>13.634911537170399</v>
      </c>
      <c r="G546" s="234">
        <v>12.9354457855225</v>
      </c>
      <c r="H546" s="234">
        <v>12.7248182296753</v>
      </c>
      <c r="I546" s="234">
        <v>12.444727897644</v>
      </c>
      <c r="J546" s="234">
        <v>12.3216390609741</v>
      </c>
      <c r="K546" s="234">
        <v>12.333900451660201</v>
      </c>
      <c r="L546" s="234">
        <v>12.228641510009799</v>
      </c>
      <c r="M546" s="234">
        <v>12.2244319915771</v>
      </c>
      <c r="N546" s="234">
        <v>12.232741355896</v>
      </c>
      <c r="O546" s="234">
        <v>12.2594261169434</v>
      </c>
      <c r="P546" s="234">
        <v>12.3207359313965</v>
      </c>
      <c r="Q546" s="234">
        <v>12.3872022628784</v>
      </c>
      <c r="R546" s="234">
        <v>12.4125566482544</v>
      </c>
      <c r="S546" s="234">
        <v>12.451280593872101</v>
      </c>
      <c r="T546" s="234">
        <v>12.520702362060501</v>
      </c>
      <c r="U546" s="234">
        <v>12.5581102371216</v>
      </c>
      <c r="V546" s="234">
        <v>12.622034072876</v>
      </c>
      <c r="W546" s="234">
        <v>12.7203483581543</v>
      </c>
      <c r="X546" s="234">
        <v>12.7153625488281</v>
      </c>
      <c r="Y546" s="234">
        <v>12.8139133453369</v>
      </c>
      <c r="Z546" s="264">
        <f>Y546+($AI$376-$Y$546)/10</f>
        <v>13.239838295522954</v>
      </c>
    </row>
    <row r="547" spans="1:26" x14ac:dyDescent="0.25">
      <c r="A547" s="230" t="s">
        <v>467</v>
      </c>
      <c r="B547" s="234">
        <v>3.83150410652161</v>
      </c>
      <c r="C547" s="234">
        <v>4.4939312934875497</v>
      </c>
      <c r="D547" s="234">
        <v>4.5839381217956499</v>
      </c>
      <c r="E547" s="234">
        <v>4.8374905586242702</v>
      </c>
      <c r="F547" s="234">
        <v>4.5451078414917001</v>
      </c>
      <c r="G547" s="234">
        <v>4.1204147338867196</v>
      </c>
      <c r="H547" s="234">
        <v>3.9213058948516801</v>
      </c>
      <c r="I547" s="234">
        <v>3.7859048843383798</v>
      </c>
      <c r="J547" s="234">
        <v>3.7380118370056201</v>
      </c>
      <c r="K547" s="234">
        <v>3.79148626327515</v>
      </c>
      <c r="L547" s="234">
        <v>3.8454215526580802</v>
      </c>
      <c r="M547" s="234">
        <v>3.8996179103851301</v>
      </c>
      <c r="N547" s="234">
        <v>3.9557838439941402</v>
      </c>
      <c r="O547" s="234">
        <v>4.0096635818481401</v>
      </c>
      <c r="P547" s="234">
        <v>4.0587000846862802</v>
      </c>
      <c r="Q547" s="234">
        <v>4.1115031242370597</v>
      </c>
      <c r="R547" s="234">
        <v>4.1679596900939897</v>
      </c>
      <c r="S547" s="234">
        <v>4.2270021438598597</v>
      </c>
      <c r="T547" s="234">
        <v>4.2823433876037598</v>
      </c>
      <c r="U547" s="234">
        <v>4.3368558883667001</v>
      </c>
      <c r="V547" s="234">
        <v>4.3924484252929696</v>
      </c>
      <c r="W547" s="234">
        <v>4.4465680122375497</v>
      </c>
      <c r="X547" s="234">
        <v>4.5027370452880904</v>
      </c>
      <c r="Y547" s="234">
        <v>4.5619544982910201</v>
      </c>
    </row>
    <row r="548" spans="1:26" x14ac:dyDescent="0.25">
      <c r="A548" s="230" t="s">
        <v>477</v>
      </c>
      <c r="B548" s="234">
        <v>15.146578788757299</v>
      </c>
      <c r="C548" s="234">
        <v>16.654964447021499</v>
      </c>
      <c r="D548" s="234">
        <v>20.603065490722699</v>
      </c>
      <c r="E548" s="234">
        <v>20.419296264648398</v>
      </c>
      <c r="F548" s="234">
        <v>16.382719039916999</v>
      </c>
      <c r="G548" s="234">
        <v>15.8189392089844</v>
      </c>
      <c r="H548" s="234">
        <v>15.6014108657837</v>
      </c>
      <c r="I548" s="234">
        <v>15.311073303222701</v>
      </c>
      <c r="J548" s="234">
        <v>15.2448682785034</v>
      </c>
      <c r="K548" s="234">
        <v>15.179443359375</v>
      </c>
      <c r="L548" s="234">
        <v>15.2014074325562</v>
      </c>
      <c r="M548" s="234">
        <v>15.2481698989868</v>
      </c>
      <c r="N548" s="234">
        <v>15.181710243225099</v>
      </c>
      <c r="O548" s="234">
        <v>15.278540611267101</v>
      </c>
      <c r="P548" s="234">
        <v>15.3825387954712</v>
      </c>
      <c r="Q548" s="234">
        <v>15.370577812194799</v>
      </c>
      <c r="R548" s="234">
        <v>15.3893880844116</v>
      </c>
      <c r="S548" s="234">
        <v>15.510032653808601</v>
      </c>
      <c r="T548" s="234">
        <v>15.6597127914429</v>
      </c>
      <c r="U548" s="234">
        <v>15.774450302124</v>
      </c>
      <c r="V548" s="234">
        <v>15.847083091735801</v>
      </c>
      <c r="W548" s="234">
        <v>16.037206649780298</v>
      </c>
      <c r="X548" s="234">
        <v>16.107362747192401</v>
      </c>
      <c r="Y548" s="234">
        <v>16.244932174682599</v>
      </c>
    </row>
    <row r="549" spans="1:26" x14ac:dyDescent="0.25">
      <c r="A549" s="230" t="s">
        <v>478</v>
      </c>
      <c r="B549" s="234">
        <v>7.2317700386047399</v>
      </c>
      <c r="C549" s="234">
        <v>9.0444478988647496</v>
      </c>
      <c r="D549" s="234">
        <v>9.7142534255981392</v>
      </c>
      <c r="E549" s="234">
        <v>9.7951860427856392</v>
      </c>
      <c r="F549" s="234">
        <v>9.2951183319091797</v>
      </c>
      <c r="G549" s="234">
        <v>8.9833269119262695</v>
      </c>
      <c r="H549" s="234">
        <v>8.7195968627929705</v>
      </c>
      <c r="I549" s="234">
        <v>8.6326360702514595</v>
      </c>
      <c r="J549" s="234">
        <v>8.5613536834716797</v>
      </c>
      <c r="K549" s="234">
        <v>8.6190090179443395</v>
      </c>
      <c r="L549" s="234">
        <v>8.7080965042114293</v>
      </c>
      <c r="M549" s="234">
        <v>8.8271207809448207</v>
      </c>
      <c r="N549" s="234">
        <v>8.9910020828247106</v>
      </c>
      <c r="O549" s="234">
        <v>9.1132879257202095</v>
      </c>
      <c r="P549" s="234">
        <v>9.1042909622192401</v>
      </c>
      <c r="Q549" s="234">
        <v>9.1039905548095703</v>
      </c>
      <c r="R549" s="234">
        <v>9.2009325027465803</v>
      </c>
      <c r="S549" s="234">
        <v>9.3432521820068395</v>
      </c>
      <c r="T549" s="234">
        <v>9.4465293884277308</v>
      </c>
      <c r="U549" s="234">
        <v>9.5402717590331996</v>
      </c>
      <c r="V549" s="234">
        <v>9.5791873931884801</v>
      </c>
      <c r="W549" s="234">
        <v>9.5845136642456108</v>
      </c>
      <c r="X549" s="234">
        <v>9.6436891555786097</v>
      </c>
      <c r="Y549" s="234">
        <v>9.694091796875</v>
      </c>
    </row>
    <row r="550" spans="1:26" x14ac:dyDescent="0.25">
      <c r="A550" s="259" t="s">
        <v>483</v>
      </c>
      <c r="B550" s="234">
        <v>14.6543264389038</v>
      </c>
      <c r="C550" s="234">
        <v>16.232709884643601</v>
      </c>
      <c r="D550" s="234">
        <v>19.6646022796631</v>
      </c>
      <c r="E550" s="234">
        <v>19.5902194976807</v>
      </c>
      <c r="F550" s="234">
        <v>19.473403930664102</v>
      </c>
      <c r="G550" s="234">
        <v>18.312351226806602</v>
      </c>
      <c r="H550" s="234">
        <v>18.154972076416001</v>
      </c>
      <c r="I550" s="234">
        <v>17.744245529174801</v>
      </c>
      <c r="J550" s="234">
        <v>17.108533859252901</v>
      </c>
      <c r="K550" s="234">
        <v>16.985416412353501</v>
      </c>
      <c r="L550" s="234">
        <v>16.891477584838899</v>
      </c>
      <c r="M550" s="234">
        <v>17.106473922729499</v>
      </c>
      <c r="N550" s="234">
        <v>17.298709869384801</v>
      </c>
      <c r="O550" s="234">
        <v>17.370653152465799</v>
      </c>
      <c r="P550" s="234">
        <v>17.404756546020501</v>
      </c>
      <c r="Q550" s="234">
        <v>17.4316711425781</v>
      </c>
      <c r="R550" s="234">
        <v>17.495216369628899</v>
      </c>
      <c r="S550" s="234">
        <v>17.111986160278299</v>
      </c>
      <c r="T550" s="234">
        <v>17.221326828002901</v>
      </c>
      <c r="U550" s="234">
        <v>17.6731853485107</v>
      </c>
      <c r="V550" s="234">
        <v>17.676996231079102</v>
      </c>
      <c r="W550" s="234">
        <v>17.866504669189499</v>
      </c>
      <c r="X550" s="234">
        <v>17.993064880371101</v>
      </c>
      <c r="Y550" s="234">
        <v>18.128524780273398</v>
      </c>
      <c r="Z550" s="266">
        <f>Y550+($AI$380-$Y$550)/10</f>
        <v>18.036478922002154</v>
      </c>
    </row>
    <row r="551" spans="1:26" x14ac:dyDescent="0.25">
      <c r="A551" s="230" t="s">
        <v>465</v>
      </c>
      <c r="B551" s="234">
        <v>20.034517288208001</v>
      </c>
      <c r="C551" s="234">
        <v>20.636144638061499</v>
      </c>
      <c r="D551" s="234">
        <v>21.1998176574707</v>
      </c>
      <c r="E551" s="234">
        <v>20.923387527465799</v>
      </c>
      <c r="F551" s="234">
        <v>19.967187881469702</v>
      </c>
      <c r="G551" s="234">
        <v>19.089002609252901</v>
      </c>
      <c r="H551" s="234">
        <v>18.799640655517599</v>
      </c>
      <c r="I551" s="234">
        <v>18.828804016113299</v>
      </c>
      <c r="J551" s="234">
        <v>18.807792663574201</v>
      </c>
      <c r="K551" s="234">
        <v>18.831340789794901</v>
      </c>
      <c r="L551" s="234">
        <v>19.0241508483887</v>
      </c>
      <c r="M551" s="234">
        <v>19.232509613037099</v>
      </c>
      <c r="N551" s="234">
        <v>19.521226882934599</v>
      </c>
      <c r="O551" s="234">
        <v>19.590469360351602</v>
      </c>
      <c r="P551" s="234">
        <v>19.544775009155298</v>
      </c>
      <c r="Q551" s="234">
        <v>19.5792236328125</v>
      </c>
      <c r="R551" s="234">
        <v>19.706111907958999</v>
      </c>
      <c r="S551" s="234">
        <v>19.899772644043001</v>
      </c>
      <c r="T551" s="234">
        <v>19.988050460815401</v>
      </c>
      <c r="U551" s="234">
        <v>20.054973602294901</v>
      </c>
      <c r="V551" s="234">
        <v>19.979206085205099</v>
      </c>
      <c r="W551" s="234">
        <v>19.890190124511701</v>
      </c>
      <c r="X551" s="234">
        <v>19.9172687530518</v>
      </c>
      <c r="Y551" s="234">
        <v>19.9590148925781</v>
      </c>
    </row>
    <row r="552" spans="1:26" x14ac:dyDescent="0.25">
      <c r="A552" s="230" t="s">
        <v>426</v>
      </c>
      <c r="B552" s="234" t="s">
        <v>426</v>
      </c>
      <c r="C552" s="234" t="s">
        <v>426</v>
      </c>
      <c r="D552" s="234" t="s">
        <v>426</v>
      </c>
      <c r="E552" s="234" t="s">
        <v>426</v>
      </c>
      <c r="F552" s="234" t="s">
        <v>426</v>
      </c>
      <c r="G552" s="234" t="s">
        <v>426</v>
      </c>
      <c r="H552" s="234" t="s">
        <v>426</v>
      </c>
      <c r="I552" s="234" t="s">
        <v>426</v>
      </c>
      <c r="J552" s="234" t="s">
        <v>426</v>
      </c>
      <c r="K552" s="234" t="s">
        <v>426</v>
      </c>
      <c r="L552" s="234" t="s">
        <v>426</v>
      </c>
      <c r="M552" s="234" t="s">
        <v>426</v>
      </c>
      <c r="N552" s="234" t="s">
        <v>426</v>
      </c>
      <c r="O552" s="234" t="s">
        <v>426</v>
      </c>
      <c r="P552" s="234" t="s">
        <v>426</v>
      </c>
      <c r="Q552" s="234" t="s">
        <v>426</v>
      </c>
      <c r="R552" s="234" t="s">
        <v>426</v>
      </c>
      <c r="S552" s="234" t="s">
        <v>426</v>
      </c>
      <c r="T552" s="234" t="s">
        <v>426</v>
      </c>
      <c r="U552" s="234" t="s">
        <v>426</v>
      </c>
      <c r="V552" s="234" t="s">
        <v>426</v>
      </c>
      <c r="W552" s="234" t="s">
        <v>426</v>
      </c>
      <c r="X552" s="234" t="s">
        <v>426</v>
      </c>
      <c r="Y552" s="234" t="s">
        <v>426</v>
      </c>
    </row>
    <row r="553" spans="1:26" x14ac:dyDescent="0.25">
      <c r="A553" s="230" t="s">
        <v>484</v>
      </c>
      <c r="B553" s="234">
        <v>10.2607097625732</v>
      </c>
      <c r="C553" s="234">
        <v>11.4965677261353</v>
      </c>
      <c r="D553" s="234">
        <v>12.498481750488301</v>
      </c>
      <c r="E553" s="234">
        <v>12.3126974105835</v>
      </c>
      <c r="F553" s="234">
        <v>11.5857706069946</v>
      </c>
      <c r="G553" s="234">
        <v>11.0374755859375</v>
      </c>
      <c r="H553" s="234">
        <v>10.8027191162109</v>
      </c>
      <c r="I553" s="234">
        <v>10.6485815048218</v>
      </c>
      <c r="J553" s="234">
        <v>10.5555610656738</v>
      </c>
      <c r="K553" s="234">
        <v>10.564617156982401</v>
      </c>
      <c r="L553" s="234">
        <v>10.6249675750732</v>
      </c>
      <c r="M553" s="234">
        <v>10.7333173751831</v>
      </c>
      <c r="N553" s="234">
        <v>10.851320266723601</v>
      </c>
      <c r="O553" s="234">
        <v>10.9544372558594</v>
      </c>
      <c r="P553" s="234">
        <v>11.0046529769897</v>
      </c>
      <c r="Q553" s="234">
        <v>11.070010185241699</v>
      </c>
      <c r="R553" s="234">
        <v>11.175311088561999</v>
      </c>
      <c r="S553" s="234">
        <v>11.313448905944799</v>
      </c>
      <c r="T553" s="234">
        <v>11.4217777252197</v>
      </c>
      <c r="U553" s="234">
        <v>11.534593582153301</v>
      </c>
      <c r="V553" s="234">
        <v>11.6029949188232</v>
      </c>
      <c r="W553" s="234">
        <v>11.660957336425801</v>
      </c>
      <c r="X553" s="234">
        <v>11.7183265686035</v>
      </c>
      <c r="Y553" s="234">
        <v>11.827390670776399</v>
      </c>
    </row>
    <row r="554" spans="1:26" x14ac:dyDescent="0.25">
      <c r="A554" s="230" t="s">
        <v>469</v>
      </c>
      <c r="B554" s="234">
        <v>7.8488264083862296</v>
      </c>
      <c r="C554" s="234">
        <v>9.3171482086181605</v>
      </c>
      <c r="D554" s="234">
        <v>10.5270042419434</v>
      </c>
      <c r="E554" s="234">
        <v>10.2914838790894</v>
      </c>
      <c r="F554" s="234">
        <v>9.5772314071655291</v>
      </c>
      <c r="G554" s="234">
        <v>9.0944671630859393</v>
      </c>
      <c r="H554" s="234">
        <v>8.8957033157348597</v>
      </c>
      <c r="I554" s="234">
        <v>8.7092790603637695</v>
      </c>
      <c r="J554" s="234">
        <v>8.6138839721679705</v>
      </c>
      <c r="K554" s="234">
        <v>8.6225843429565394</v>
      </c>
      <c r="L554" s="234">
        <v>8.6363019943237305</v>
      </c>
      <c r="M554" s="234">
        <v>8.7009534835815394</v>
      </c>
      <c r="N554" s="234">
        <v>8.7555856704711896</v>
      </c>
      <c r="O554" s="234">
        <v>8.8331260681152308</v>
      </c>
      <c r="P554" s="234">
        <v>8.8750228881835902</v>
      </c>
      <c r="Q554" s="234">
        <v>8.9212465286254901</v>
      </c>
      <c r="R554" s="234">
        <v>8.9933633804321307</v>
      </c>
      <c r="S554" s="234">
        <v>9.0904560089111293</v>
      </c>
      <c r="T554" s="234">
        <v>9.1763067245483398</v>
      </c>
      <c r="U554" s="234">
        <v>9.2688179016113299</v>
      </c>
      <c r="V554" s="234">
        <v>9.3425512313842791</v>
      </c>
      <c r="W554" s="234">
        <v>9.4030828475952095</v>
      </c>
      <c r="X554" s="234">
        <v>9.4481410980224592</v>
      </c>
      <c r="Y554" s="234">
        <v>9.5455484390258807</v>
      </c>
    </row>
    <row r="555" spans="1:26" x14ac:dyDescent="0.25">
      <c r="A555" s="230" t="s">
        <v>465</v>
      </c>
      <c r="B555" s="234">
        <v>21.599882125854499</v>
      </c>
      <c r="C555" s="234">
        <v>21.735733032226602</v>
      </c>
      <c r="D555" s="234">
        <v>21.728578567504901</v>
      </c>
      <c r="E555" s="234">
        <v>21.659519195556602</v>
      </c>
      <c r="F555" s="234">
        <v>20.859115600585898</v>
      </c>
      <c r="G555" s="234">
        <v>19.947565078735401</v>
      </c>
      <c r="H555" s="234">
        <v>19.5044040679932</v>
      </c>
      <c r="I555" s="234">
        <v>19.468164443969702</v>
      </c>
      <c r="J555" s="234">
        <v>19.363897323608398</v>
      </c>
      <c r="K555" s="234">
        <v>19.340778350830099</v>
      </c>
      <c r="L555" s="234">
        <v>19.565423965454102</v>
      </c>
      <c r="M555" s="234">
        <v>19.829431533813501</v>
      </c>
      <c r="N555" s="234">
        <v>20.184032440185501</v>
      </c>
      <c r="O555" s="234">
        <v>20.348131179809599</v>
      </c>
      <c r="P555" s="234">
        <v>20.384618759155298</v>
      </c>
      <c r="Q555" s="234">
        <v>20.4941310882568</v>
      </c>
      <c r="R555" s="234">
        <v>20.6934413909912</v>
      </c>
      <c r="S555" s="234">
        <v>20.961088180541999</v>
      </c>
      <c r="T555" s="234">
        <v>21.1064147949219</v>
      </c>
      <c r="U555" s="234">
        <v>21.2582683563232</v>
      </c>
      <c r="V555" s="234">
        <v>21.2429523468018</v>
      </c>
      <c r="W555" s="234">
        <v>21.2300205230713</v>
      </c>
      <c r="X555" s="234">
        <v>21.277418136596701</v>
      </c>
      <c r="Y555" s="234">
        <v>21.3841457366943</v>
      </c>
    </row>
    <row r="556" spans="1:26" x14ac:dyDescent="0.25">
      <c r="A556" s="230" t="s">
        <v>426</v>
      </c>
      <c r="B556" s="234" t="s">
        <v>426</v>
      </c>
      <c r="C556" s="234" t="s">
        <v>426</v>
      </c>
      <c r="D556" s="234" t="s">
        <v>426</v>
      </c>
      <c r="E556" s="234" t="s">
        <v>426</v>
      </c>
      <c r="F556" s="234" t="s">
        <v>426</v>
      </c>
      <c r="G556" s="234" t="s">
        <v>426</v>
      </c>
      <c r="H556" s="234" t="s">
        <v>426</v>
      </c>
      <c r="I556" s="234" t="s">
        <v>426</v>
      </c>
      <c r="J556" s="234" t="s">
        <v>426</v>
      </c>
      <c r="K556" s="234" t="s">
        <v>426</v>
      </c>
      <c r="L556" s="234" t="s">
        <v>426</v>
      </c>
      <c r="M556" s="234" t="s">
        <v>426</v>
      </c>
      <c r="N556" s="234" t="s">
        <v>426</v>
      </c>
      <c r="O556" s="234" t="s">
        <v>426</v>
      </c>
      <c r="P556" s="234" t="s">
        <v>426</v>
      </c>
      <c r="Q556" s="234" t="s">
        <v>426</v>
      </c>
      <c r="R556" s="234" t="s">
        <v>426</v>
      </c>
      <c r="S556" s="234" t="s">
        <v>426</v>
      </c>
      <c r="T556" s="234" t="s">
        <v>426</v>
      </c>
      <c r="U556" s="234" t="s">
        <v>426</v>
      </c>
      <c r="V556" s="234" t="s">
        <v>426</v>
      </c>
      <c r="W556" s="234" t="s">
        <v>426</v>
      </c>
      <c r="X556" s="234" t="s">
        <v>426</v>
      </c>
      <c r="Y556" s="234" t="s">
        <v>426</v>
      </c>
    </row>
    <row r="557" spans="1:26" x14ac:dyDescent="0.25">
      <c r="A557" s="230" t="s">
        <v>485</v>
      </c>
      <c r="B557" s="234" t="s">
        <v>426</v>
      </c>
      <c r="C557" s="234" t="s">
        <v>426</v>
      </c>
      <c r="D557" s="234" t="s">
        <v>426</v>
      </c>
      <c r="E557" s="234" t="s">
        <v>426</v>
      </c>
      <c r="F557" s="234" t="s">
        <v>426</v>
      </c>
      <c r="G557" s="234" t="s">
        <v>426</v>
      </c>
      <c r="H557" s="234" t="s">
        <v>426</v>
      </c>
      <c r="I557" s="234" t="s">
        <v>426</v>
      </c>
      <c r="J557" s="234" t="s">
        <v>426</v>
      </c>
      <c r="K557" s="234" t="s">
        <v>426</v>
      </c>
      <c r="L557" s="234" t="s">
        <v>426</v>
      </c>
      <c r="M557" s="234" t="s">
        <v>426</v>
      </c>
      <c r="N557" s="234" t="s">
        <v>426</v>
      </c>
      <c r="O557" s="234" t="s">
        <v>426</v>
      </c>
      <c r="P557" s="234" t="s">
        <v>426</v>
      </c>
      <c r="Q557" s="234" t="s">
        <v>426</v>
      </c>
      <c r="R557" s="234" t="s">
        <v>426</v>
      </c>
      <c r="S557" s="234" t="s">
        <v>426</v>
      </c>
      <c r="T557" s="234" t="s">
        <v>426</v>
      </c>
      <c r="U557" s="234" t="s">
        <v>426</v>
      </c>
      <c r="V557" s="234" t="s">
        <v>426</v>
      </c>
      <c r="W557" s="234" t="s">
        <v>426</v>
      </c>
      <c r="X557" s="234" t="s">
        <v>426</v>
      </c>
      <c r="Y557" s="234" t="s">
        <v>426</v>
      </c>
    </row>
    <row r="558" spans="1:26" x14ac:dyDescent="0.25">
      <c r="A558" s="230" t="s">
        <v>486</v>
      </c>
      <c r="B558" s="234">
        <v>1.8996955156326301</v>
      </c>
      <c r="C558" s="234">
        <v>2.2409727573394802</v>
      </c>
      <c r="D558" s="234">
        <v>2.4238619804382302</v>
      </c>
      <c r="E558" s="234">
        <v>2.3792355060577401</v>
      </c>
      <c r="F558" s="234">
        <v>2.2243471145629901</v>
      </c>
      <c r="G558" s="234">
        <v>2.11745405197144</v>
      </c>
      <c r="H558" s="234">
        <v>2.0720956325531001</v>
      </c>
      <c r="I558" s="234">
        <v>2.06648945808411</v>
      </c>
      <c r="J558" s="234">
        <v>2.0576293468475302</v>
      </c>
      <c r="K558" s="234">
        <v>2.0898380279540998</v>
      </c>
      <c r="L558" s="234">
        <v>2.13185787200928</v>
      </c>
      <c r="M558" s="234">
        <v>2.1827101707458501</v>
      </c>
      <c r="N558" s="234">
        <v>2.2442750930786102</v>
      </c>
      <c r="O558" s="234">
        <v>2.2846662998199498</v>
      </c>
      <c r="P558" s="234">
        <v>2.2886507511138898</v>
      </c>
      <c r="Q558" s="234">
        <v>2.31255102157593</v>
      </c>
      <c r="R558" s="234">
        <v>2.3658699989318799</v>
      </c>
      <c r="S558" s="234">
        <v>2.41897773742676</v>
      </c>
      <c r="T558" s="234">
        <v>2.4451649188995401</v>
      </c>
      <c r="U558" s="234">
        <v>2.4616906642913801</v>
      </c>
      <c r="V558" s="234">
        <v>2.4596512317657502</v>
      </c>
      <c r="W558" s="234">
        <v>2.4499151706695601</v>
      </c>
      <c r="X558" s="234">
        <v>2.46315670013428</v>
      </c>
      <c r="Y558" s="234">
        <v>2.4591720104217498</v>
      </c>
    </row>
    <row r="559" spans="1:26" x14ac:dyDescent="0.25">
      <c r="A559" s="230" t="s">
        <v>488</v>
      </c>
      <c r="B559" s="234">
        <v>4.3748912811279297</v>
      </c>
      <c r="C559" s="234">
        <v>5.2786889076232901</v>
      </c>
      <c r="D559" s="234">
        <v>5.9517397880554199</v>
      </c>
      <c r="E559" s="234">
        <v>5.8145914077758798</v>
      </c>
      <c r="F559" s="234">
        <v>5.36482858657837</v>
      </c>
      <c r="G559" s="234">
        <v>4.9555935859680202</v>
      </c>
      <c r="H559" s="234">
        <v>4.76583051681519</v>
      </c>
      <c r="I559" s="234">
        <v>4.6106519699096697</v>
      </c>
      <c r="J559" s="234">
        <v>4.5544371604919398</v>
      </c>
      <c r="K559" s="234">
        <v>4.5760931968689</v>
      </c>
      <c r="L559" s="234">
        <v>4.6005949974060103</v>
      </c>
      <c r="M559" s="234">
        <v>4.65545606613159</v>
      </c>
      <c r="N559" s="234">
        <v>4.7050404548645002</v>
      </c>
      <c r="O559" s="234">
        <v>4.76641750335693</v>
      </c>
      <c r="P559" s="234">
        <v>4.8219771385192898</v>
      </c>
      <c r="Q559" s="234">
        <v>4.8744759559631303</v>
      </c>
      <c r="R559" s="234">
        <v>4.9555630683898899</v>
      </c>
      <c r="S559" s="234">
        <v>5.0235657691955602</v>
      </c>
      <c r="T559" s="234">
        <v>5.0990805625915501</v>
      </c>
      <c r="U559" s="234">
        <v>5.1768889427185103</v>
      </c>
      <c r="V559" s="234">
        <v>5.2447147369384801</v>
      </c>
      <c r="W559" s="234">
        <v>5.3197603225707999</v>
      </c>
      <c r="X559" s="234">
        <v>5.3696103096008301</v>
      </c>
      <c r="Y559" s="234">
        <v>5.4173326492309597</v>
      </c>
    </row>
    <row r="560" spans="1:26" x14ac:dyDescent="0.25">
      <c r="A560" s="230" t="s">
        <v>462</v>
      </c>
      <c r="B560" s="234">
        <v>5.6938004493713397</v>
      </c>
      <c r="C560" s="234">
        <v>6.4773354530334499</v>
      </c>
      <c r="D560" s="234">
        <v>7.1750502586364702</v>
      </c>
      <c r="E560" s="234">
        <v>6.8899459838867196</v>
      </c>
      <c r="F560" s="234">
        <v>6.2672758102417001</v>
      </c>
      <c r="G560" s="234">
        <v>5.8609590530395499</v>
      </c>
      <c r="H560" s="234">
        <v>5.6430783271789604</v>
      </c>
      <c r="I560" s="234">
        <v>5.4534807205200204</v>
      </c>
      <c r="J560" s="234">
        <v>5.3617582321167001</v>
      </c>
      <c r="K560" s="234">
        <v>5.3288640975952104</v>
      </c>
      <c r="L560" s="234">
        <v>5.3712139129638699</v>
      </c>
      <c r="M560" s="234">
        <v>5.41644287109375</v>
      </c>
      <c r="N560" s="234">
        <v>5.4747476577758798</v>
      </c>
      <c r="O560" s="234">
        <v>5.5268063545227104</v>
      </c>
      <c r="P560" s="234">
        <v>5.5894103050231898</v>
      </c>
      <c r="Q560" s="234">
        <v>5.6297807693481401</v>
      </c>
      <c r="R560" s="234">
        <v>5.7926478385925302</v>
      </c>
      <c r="S560" s="234">
        <v>5.9167857170104998</v>
      </c>
      <c r="T560" s="234">
        <v>6.0082931518554696</v>
      </c>
      <c r="U560" s="234">
        <v>6.11431789398193</v>
      </c>
      <c r="V560" s="234">
        <v>6.21482229232788</v>
      </c>
      <c r="W560" s="234">
        <v>6.2930455207824698</v>
      </c>
      <c r="X560" s="234">
        <v>6.3174986839294398</v>
      </c>
      <c r="Y560" s="234">
        <v>6.3298768997192401</v>
      </c>
    </row>
    <row r="561" spans="1:26" x14ac:dyDescent="0.25">
      <c r="A561" s="230" t="s">
        <v>467</v>
      </c>
      <c r="B561" s="234">
        <v>3.9850425720214799</v>
      </c>
      <c r="C561" s="234">
        <v>4.7911210060119602</v>
      </c>
      <c r="D561" s="234">
        <v>5.5054435729980504</v>
      </c>
      <c r="E561" s="234">
        <v>5.3836607933044398</v>
      </c>
      <c r="F561" s="234">
        <v>4.9928164482116699</v>
      </c>
      <c r="G561" s="234">
        <v>4.5735058784484899</v>
      </c>
      <c r="H561" s="234">
        <v>4.37508344650269</v>
      </c>
      <c r="I561" s="234">
        <v>4.2357888221740696</v>
      </c>
      <c r="J561" s="234">
        <v>4.1871180534362802</v>
      </c>
      <c r="K561" s="234">
        <v>4.2367839813232404</v>
      </c>
      <c r="L561" s="234">
        <v>4.2823972702026403</v>
      </c>
      <c r="M561" s="234">
        <v>4.3351020812988299</v>
      </c>
      <c r="N561" s="234">
        <v>4.38077735900879</v>
      </c>
      <c r="O561" s="234">
        <v>4.4392328262329102</v>
      </c>
      <c r="P561" s="234">
        <v>4.4927945137023899</v>
      </c>
      <c r="Q561" s="234">
        <v>4.5466628074645996</v>
      </c>
      <c r="R561" s="234">
        <v>4.5988087654113796</v>
      </c>
      <c r="S561" s="234">
        <v>4.6550941467285201</v>
      </c>
      <c r="T561" s="234">
        <v>4.7130184173584002</v>
      </c>
      <c r="U561" s="234">
        <v>4.7694864273071298</v>
      </c>
      <c r="V561" s="234">
        <v>4.8261427879333496</v>
      </c>
      <c r="W561" s="234">
        <v>4.8835220336914098</v>
      </c>
      <c r="X561" s="234">
        <v>4.9410810470581099</v>
      </c>
      <c r="Y561" s="234">
        <v>5.0030183792114302</v>
      </c>
    </row>
    <row r="562" spans="1:26" x14ac:dyDescent="0.25">
      <c r="A562" s="252" t="s">
        <v>464</v>
      </c>
      <c r="B562" s="234">
        <v>3.6857740879058798</v>
      </c>
      <c r="C562" s="234">
        <v>5.4593739509582502</v>
      </c>
      <c r="D562" s="234">
        <v>5.9836626052856401</v>
      </c>
      <c r="E562" s="234">
        <v>5.9217834472656303</v>
      </c>
      <c r="F562" s="234">
        <v>5.2677536010742196</v>
      </c>
      <c r="G562" s="234">
        <v>4.83196926116943</v>
      </c>
      <c r="H562" s="234">
        <v>4.4959845542907697</v>
      </c>
      <c r="I562" s="234">
        <v>4.3869647979736301</v>
      </c>
      <c r="J562" s="234">
        <v>4.2738447189331099</v>
      </c>
      <c r="K562" s="234">
        <v>4.3073697090148899</v>
      </c>
      <c r="L562" s="234">
        <v>4.4138617515564</v>
      </c>
      <c r="M562" s="234">
        <v>4.5377993583679199</v>
      </c>
      <c r="N562" s="234">
        <v>4.6997785568237296</v>
      </c>
      <c r="O562" s="234">
        <v>4.8059244155883798</v>
      </c>
      <c r="P562" s="234">
        <v>4.7723231315612802</v>
      </c>
      <c r="Q562" s="234">
        <v>4.7962751388549796</v>
      </c>
      <c r="R562" s="234">
        <v>4.93237209320068</v>
      </c>
      <c r="S562" s="234">
        <v>5.0951194763183603</v>
      </c>
      <c r="T562" s="234">
        <v>5.2029786109924299</v>
      </c>
      <c r="U562" s="234">
        <v>5.2939982414245597</v>
      </c>
      <c r="V562" s="234">
        <v>5.3285460472106898</v>
      </c>
      <c r="W562" s="234">
        <v>5.3187093734741202</v>
      </c>
      <c r="X562" s="234">
        <v>5.3844461441040004</v>
      </c>
      <c r="Y562" s="234">
        <v>5.4420223236084002</v>
      </c>
      <c r="Z562" s="260">
        <f>Y562+($AI$392-$Y$562)/10</f>
        <v>5.4722581683132612</v>
      </c>
    </row>
    <row r="563" spans="1:26" x14ac:dyDescent="0.25">
      <c r="A563" s="255" t="s">
        <v>472</v>
      </c>
      <c r="B563" s="234">
        <v>1.2699717283248899</v>
      </c>
      <c r="C563" s="234">
        <v>1.27919089794159</v>
      </c>
      <c r="D563" s="234">
        <v>1.2833664417266799</v>
      </c>
      <c r="E563" s="234">
        <v>1.28942894935608</v>
      </c>
      <c r="F563" s="234">
        <v>1.29215919971466</v>
      </c>
      <c r="G563" s="234">
        <v>1.28011155128479</v>
      </c>
      <c r="H563" s="234">
        <v>1.2771430015564</v>
      </c>
      <c r="I563" s="234">
        <v>1.2664887905120801</v>
      </c>
      <c r="J563" s="234">
        <v>1.2516112327575699</v>
      </c>
      <c r="K563" s="234">
        <v>1.2440552711486801</v>
      </c>
      <c r="L563" s="234">
        <v>1.2386393547058101</v>
      </c>
      <c r="M563" s="234">
        <v>1.23525643348694</v>
      </c>
      <c r="N563" s="234">
        <v>1.23468470573425</v>
      </c>
      <c r="O563" s="234">
        <v>1.2341449260711701</v>
      </c>
      <c r="P563" s="234">
        <v>1.23174548149109</v>
      </c>
      <c r="Q563" s="234">
        <v>1.2347780466079701</v>
      </c>
      <c r="R563" s="234">
        <v>1.23870933055878</v>
      </c>
      <c r="S563" s="234">
        <v>1.2427853345871001</v>
      </c>
      <c r="T563" s="234">
        <v>1.24646520614624</v>
      </c>
      <c r="U563" s="234">
        <v>1.2552444934845</v>
      </c>
      <c r="V563" s="234">
        <v>1.26424860954285</v>
      </c>
      <c r="W563" s="234">
        <v>1.2944931983947801</v>
      </c>
      <c r="X563" s="234">
        <v>1.3030458688736</v>
      </c>
      <c r="Y563" s="234">
        <v>1.30599772930145</v>
      </c>
      <c r="Z563" s="268">
        <f>Y563+($AI$393-$Y$563)/10</f>
        <v>1.3088234854404943</v>
      </c>
    </row>
    <row r="564" spans="1:26" x14ac:dyDescent="0.25">
      <c r="A564" s="230" t="s">
        <v>426</v>
      </c>
      <c r="B564" s="234" t="s">
        <v>426</v>
      </c>
      <c r="C564" s="234" t="s">
        <v>426</v>
      </c>
      <c r="D564" s="234" t="s">
        <v>426</v>
      </c>
      <c r="E564" s="234" t="s">
        <v>426</v>
      </c>
      <c r="F564" s="234" t="s">
        <v>426</v>
      </c>
      <c r="G564" s="234" t="s">
        <v>426</v>
      </c>
      <c r="H564" s="234" t="s">
        <v>426</v>
      </c>
      <c r="I564" s="234" t="s">
        <v>426</v>
      </c>
      <c r="J564" s="234" t="s">
        <v>426</v>
      </c>
      <c r="K564" s="234" t="s">
        <v>426</v>
      </c>
      <c r="L564" s="234" t="s">
        <v>426</v>
      </c>
      <c r="M564" s="234" t="s">
        <v>426</v>
      </c>
      <c r="N564" s="234" t="s">
        <v>426</v>
      </c>
      <c r="O564" s="234" t="s">
        <v>426</v>
      </c>
      <c r="P564" s="234" t="s">
        <v>426</v>
      </c>
      <c r="Q564" s="234" t="s">
        <v>426</v>
      </c>
      <c r="R564" s="234" t="s">
        <v>426</v>
      </c>
      <c r="S564" s="234" t="s">
        <v>426</v>
      </c>
      <c r="T564" s="234" t="s">
        <v>426</v>
      </c>
      <c r="U564" s="234" t="s">
        <v>426</v>
      </c>
      <c r="V564" s="234" t="s">
        <v>426</v>
      </c>
      <c r="W564" s="234" t="s">
        <v>426</v>
      </c>
      <c r="X564" s="234" t="s">
        <v>426</v>
      </c>
      <c r="Y564" s="234" t="s">
        <v>426</v>
      </c>
    </row>
    <row r="565" spans="1:26" x14ac:dyDescent="0.25">
      <c r="A565" s="230" t="s">
        <v>489</v>
      </c>
      <c r="B565" s="234" t="s">
        <v>426</v>
      </c>
      <c r="C565" s="234" t="s">
        <v>426</v>
      </c>
      <c r="D565" s="234" t="s">
        <v>426</v>
      </c>
      <c r="E565" s="234" t="s">
        <v>426</v>
      </c>
      <c r="F565" s="234" t="s">
        <v>426</v>
      </c>
      <c r="G565" s="234" t="s">
        <v>426</v>
      </c>
      <c r="H565" s="234" t="s">
        <v>426</v>
      </c>
      <c r="I565" s="234" t="s">
        <v>426</v>
      </c>
      <c r="J565" s="234" t="s">
        <v>426</v>
      </c>
      <c r="K565" s="234" t="s">
        <v>426</v>
      </c>
      <c r="L565" s="234" t="s">
        <v>426</v>
      </c>
      <c r="M565" s="234" t="s">
        <v>426</v>
      </c>
      <c r="N565" s="234" t="s">
        <v>426</v>
      </c>
      <c r="O565" s="234" t="s">
        <v>426</v>
      </c>
      <c r="P565" s="234" t="s">
        <v>426</v>
      </c>
      <c r="Q565" s="234" t="s">
        <v>426</v>
      </c>
      <c r="R565" s="234" t="s">
        <v>426</v>
      </c>
      <c r="S565" s="234" t="s">
        <v>426</v>
      </c>
      <c r="T565" s="234" t="s">
        <v>426</v>
      </c>
      <c r="U565" s="234" t="s">
        <v>426</v>
      </c>
      <c r="V565" s="234" t="s">
        <v>426</v>
      </c>
      <c r="W565" s="234" t="s">
        <v>426</v>
      </c>
      <c r="X565" s="234" t="s">
        <v>426</v>
      </c>
      <c r="Y565" s="234" t="s">
        <v>426</v>
      </c>
    </row>
    <row r="566" spans="1:26" x14ac:dyDescent="0.25">
      <c r="A566" s="230" t="s">
        <v>490</v>
      </c>
      <c r="B566" s="234">
        <v>9.0916013717651403</v>
      </c>
      <c r="C566" s="234">
        <v>10.5092258453369</v>
      </c>
      <c r="D566" s="234">
        <v>12.005053520202599</v>
      </c>
      <c r="E566" s="234">
        <v>11.630154609680201</v>
      </c>
      <c r="F566" s="234">
        <v>10.867414474487299</v>
      </c>
      <c r="G566" s="234">
        <v>10.341483116149901</v>
      </c>
      <c r="H566" s="234">
        <v>10.206826210021999</v>
      </c>
      <c r="I566" s="234">
        <v>9.9809312820434606</v>
      </c>
      <c r="J566" s="234">
        <v>9.9117403030395508</v>
      </c>
      <c r="K566" s="234">
        <v>9.9329805374145508</v>
      </c>
      <c r="L566" s="234">
        <v>9.9184780120849592</v>
      </c>
      <c r="M566" s="234">
        <v>9.9575662612915004</v>
      </c>
      <c r="N566" s="234">
        <v>9.9538516998290998</v>
      </c>
      <c r="O566" s="234">
        <v>10.000968933105501</v>
      </c>
      <c r="P566" s="234">
        <v>10.066521644592299</v>
      </c>
      <c r="Q566" s="234">
        <v>10.122728347778301</v>
      </c>
      <c r="R566" s="234">
        <v>10.166119575500501</v>
      </c>
      <c r="S566" s="234">
        <v>10.2242088317871</v>
      </c>
      <c r="T566" s="234">
        <v>10.2887620925903</v>
      </c>
      <c r="U566" s="234">
        <v>10.370365142822299</v>
      </c>
      <c r="V566" s="234">
        <v>10.451409339904799</v>
      </c>
      <c r="W566" s="234">
        <v>10.528607368469199</v>
      </c>
      <c r="X566" s="234">
        <v>10.560112953186</v>
      </c>
      <c r="Y566" s="234">
        <v>10.6600894927979</v>
      </c>
    </row>
    <row r="567" spans="1:26" x14ac:dyDescent="0.25">
      <c r="A567" s="230" t="s">
        <v>491</v>
      </c>
      <c r="B567" s="234">
        <v>8.7129955291747994</v>
      </c>
      <c r="C567" s="234">
        <v>9.89868068695068</v>
      </c>
      <c r="D567" s="234">
        <v>10.9323616027832</v>
      </c>
      <c r="E567" s="234">
        <v>10.516496658325201</v>
      </c>
      <c r="F567" s="234">
        <v>10.0722150802612</v>
      </c>
      <c r="G567" s="234">
        <v>9.7644062042236293</v>
      </c>
      <c r="H567" s="234">
        <v>9.6708259582519496</v>
      </c>
      <c r="I567" s="234">
        <v>9.5059432983398402</v>
      </c>
      <c r="J567" s="234">
        <v>9.5328626632690394</v>
      </c>
      <c r="K567" s="234">
        <v>9.6073579788208008</v>
      </c>
      <c r="L567" s="234">
        <v>9.6717586517334002</v>
      </c>
      <c r="M567" s="234">
        <v>9.7472448348999006</v>
      </c>
      <c r="N567" s="234">
        <v>9.7227439880371094</v>
      </c>
      <c r="O567" s="234">
        <v>9.7185726165771502</v>
      </c>
      <c r="P567" s="234">
        <v>9.7264575958252006</v>
      </c>
      <c r="Q567" s="234">
        <v>9.7659683227539098</v>
      </c>
      <c r="R567" s="234">
        <v>9.7933034896850604</v>
      </c>
      <c r="S567" s="234">
        <v>9.8243274688720703</v>
      </c>
      <c r="T567" s="234">
        <v>9.7878532409668004</v>
      </c>
      <c r="U567" s="234">
        <v>9.8349857330322301</v>
      </c>
      <c r="V567" s="234">
        <v>9.8761272430419904</v>
      </c>
      <c r="W567" s="234">
        <v>9.8313732147216797</v>
      </c>
      <c r="X567" s="234">
        <v>9.8799133300781303</v>
      </c>
      <c r="Y567" s="234">
        <v>10.0311069488525</v>
      </c>
    </row>
    <row r="568" spans="1:26" x14ac:dyDescent="0.25">
      <c r="A568" s="230" t="s">
        <v>492</v>
      </c>
      <c r="B568" s="234">
        <v>6.0538434982299796</v>
      </c>
      <c r="C568" s="234">
        <v>6.4578518867492702</v>
      </c>
      <c r="D568" s="234">
        <v>8.1168746948242205</v>
      </c>
      <c r="E568" s="234">
        <v>7.6875572204589799</v>
      </c>
      <c r="F568" s="234">
        <v>7.0150871276855504</v>
      </c>
      <c r="G568" s="234">
        <v>6.5790328979492196</v>
      </c>
      <c r="H568" s="234">
        <v>6.5712537765502903</v>
      </c>
      <c r="I568" s="234">
        <v>6.42602443695068</v>
      </c>
      <c r="J568" s="234">
        <v>6.2476048469543501</v>
      </c>
      <c r="K568" s="234">
        <v>6.2184038162231401</v>
      </c>
      <c r="L568" s="234">
        <v>6.2436552047729501</v>
      </c>
      <c r="M568" s="234">
        <v>6.2858424186706499</v>
      </c>
      <c r="N568" s="234">
        <v>6.2737250328064</v>
      </c>
      <c r="O568" s="234">
        <v>6.2926135063171396</v>
      </c>
      <c r="P568" s="234">
        <v>6.3336305618286097</v>
      </c>
      <c r="Q568" s="234">
        <v>6.3623290061950701</v>
      </c>
      <c r="R568" s="234">
        <v>6.4419050216674796</v>
      </c>
      <c r="S568" s="234">
        <v>6.5377755165100098</v>
      </c>
      <c r="T568" s="234">
        <v>6.5789065361022896</v>
      </c>
      <c r="U568" s="234">
        <v>6.7034192085266104</v>
      </c>
      <c r="V568" s="234">
        <v>6.8036813735961896</v>
      </c>
      <c r="W568" s="234">
        <v>6.8691210746765101</v>
      </c>
      <c r="X568" s="234">
        <v>6.8930430412292498</v>
      </c>
      <c r="Y568" s="234">
        <v>6.9258189201354998</v>
      </c>
    </row>
    <row r="569" spans="1:26" x14ac:dyDescent="0.25">
      <c r="A569" s="230" t="s">
        <v>493</v>
      </c>
      <c r="B569" s="234">
        <v>9.5166797637939506</v>
      </c>
      <c r="C569" s="234">
        <v>13.0396432876587</v>
      </c>
      <c r="D569" s="234">
        <v>15.6858806610107</v>
      </c>
      <c r="E569" s="234">
        <v>14.0742273330688</v>
      </c>
      <c r="F569" s="234">
        <v>12.086350440979</v>
      </c>
      <c r="G569" s="234">
        <v>11.4653730392456</v>
      </c>
      <c r="H569" s="234">
        <v>11.285403251647899</v>
      </c>
      <c r="I569" s="234">
        <v>11.0092105865479</v>
      </c>
      <c r="J569" s="234">
        <v>10.989564895629901</v>
      </c>
      <c r="K569" s="234">
        <v>10.925596237182599</v>
      </c>
      <c r="L569" s="234">
        <v>10.987684249877899</v>
      </c>
      <c r="M569" s="234">
        <v>11.0838632583618</v>
      </c>
      <c r="N569" s="234">
        <v>11.0187425613403</v>
      </c>
      <c r="O569" s="234">
        <v>11.2084665298462</v>
      </c>
      <c r="P569" s="234">
        <v>11.3385829925537</v>
      </c>
      <c r="Q569" s="234">
        <v>11.336560249328601</v>
      </c>
      <c r="R569" s="234">
        <v>11.412732124328601</v>
      </c>
      <c r="S569" s="234">
        <v>11.5561437606812</v>
      </c>
      <c r="T569" s="234">
        <v>11.7385349273682</v>
      </c>
      <c r="U569" s="234">
        <v>11.9240121841431</v>
      </c>
      <c r="V569" s="234">
        <v>12.033415794372599</v>
      </c>
      <c r="W569" s="234">
        <v>12.184607505798301</v>
      </c>
      <c r="X569" s="234">
        <v>12.2847499847412</v>
      </c>
      <c r="Y569" s="234">
        <v>12.335958480835</v>
      </c>
    </row>
    <row r="570" spans="1:26" x14ac:dyDescent="0.25">
      <c r="A570" s="230" t="s">
        <v>494</v>
      </c>
      <c r="B570" s="234">
        <v>11.3185987472534</v>
      </c>
      <c r="C570" s="234">
        <v>12.9258327484131</v>
      </c>
      <c r="D570" s="234">
        <v>14.650143623352101</v>
      </c>
      <c r="E570" s="234">
        <v>14.3442440032959</v>
      </c>
      <c r="F570" s="234">
        <v>13.623025894165</v>
      </c>
      <c r="G570" s="234">
        <v>12.923449516296399</v>
      </c>
      <c r="H570" s="234">
        <v>12.7128458023071</v>
      </c>
      <c r="I570" s="234">
        <v>12.432819366455099</v>
      </c>
      <c r="J570" s="234">
        <v>12.310016632080099</v>
      </c>
      <c r="K570" s="234">
        <v>12.3222455978394</v>
      </c>
      <c r="L570" s="234">
        <v>12.2171115875244</v>
      </c>
      <c r="M570" s="234">
        <v>12.2130832672119</v>
      </c>
      <c r="N570" s="234">
        <v>12.22132396698</v>
      </c>
      <c r="O570" s="234">
        <v>12.248191833496101</v>
      </c>
      <c r="P570" s="234">
        <v>12.309587478637701</v>
      </c>
      <c r="Q570" s="234">
        <v>12.376181602478001</v>
      </c>
      <c r="R570" s="234">
        <v>12.4016332626343</v>
      </c>
      <c r="S570" s="234">
        <v>12.440443038940399</v>
      </c>
      <c r="T570" s="234">
        <v>12.509931564331101</v>
      </c>
      <c r="U570" s="234">
        <v>12.547391891479499</v>
      </c>
      <c r="V570" s="234">
        <v>12.611403465271</v>
      </c>
      <c r="W570" s="234">
        <v>12.7098541259766</v>
      </c>
      <c r="X570" s="234">
        <v>12.7049369812012</v>
      </c>
      <c r="Y570" s="234">
        <v>12.8036108016968</v>
      </c>
    </row>
    <row r="571" spans="1:26" x14ac:dyDescent="0.25">
      <c r="A571" s="230" t="s">
        <v>495</v>
      </c>
      <c r="B571" s="234">
        <v>3.9308724403381299</v>
      </c>
      <c r="C571" s="234">
        <v>4.6628575325012198</v>
      </c>
      <c r="D571" s="234">
        <v>5.07232666015625</v>
      </c>
      <c r="E571" s="234">
        <v>5.1433629989623997</v>
      </c>
      <c r="F571" s="234">
        <v>4.8060836791992196</v>
      </c>
      <c r="G571" s="234">
        <v>4.3862032890319798</v>
      </c>
      <c r="H571" s="234">
        <v>4.1832194328308097</v>
      </c>
      <c r="I571" s="234">
        <v>4.0440359115600604</v>
      </c>
      <c r="J571" s="234">
        <v>3.9943466186523402</v>
      </c>
      <c r="K571" s="234">
        <v>4.04720115661621</v>
      </c>
      <c r="L571" s="234">
        <v>4.0966601371765101</v>
      </c>
      <c r="M571" s="234">
        <v>4.1477751731872603</v>
      </c>
      <c r="N571" s="234">
        <v>4.19142723083496</v>
      </c>
      <c r="O571" s="234">
        <v>4.2503523826599103</v>
      </c>
      <c r="P571" s="234">
        <v>4.3018612861633301</v>
      </c>
      <c r="Q571" s="234">
        <v>4.3527650833129901</v>
      </c>
      <c r="R571" s="234">
        <v>4.4055538177490199</v>
      </c>
      <c r="S571" s="234">
        <v>4.4662823677062997</v>
      </c>
      <c r="T571" s="234">
        <v>4.5225110054016104</v>
      </c>
      <c r="U571" s="234">
        <v>4.5828208923339799</v>
      </c>
      <c r="V571" s="234">
        <v>4.6386957168579102</v>
      </c>
      <c r="W571" s="234">
        <v>4.6918659210205096</v>
      </c>
      <c r="X571" s="234">
        <v>4.7469024658203098</v>
      </c>
      <c r="Y571" s="234">
        <v>4.8068332672119096</v>
      </c>
    </row>
    <row r="572" spans="1:26" x14ac:dyDescent="0.25">
      <c r="A572" s="230" t="s">
        <v>496</v>
      </c>
      <c r="B572" s="234">
        <v>5.1461992263793901</v>
      </c>
      <c r="C572" s="234">
        <v>6.8558807373046902</v>
      </c>
      <c r="D572" s="234">
        <v>7.3508329391479501</v>
      </c>
      <c r="E572" s="234">
        <v>7.3838677406311</v>
      </c>
      <c r="F572" s="234">
        <v>6.7167663574218803</v>
      </c>
      <c r="G572" s="234">
        <v>6.2544136047363299</v>
      </c>
      <c r="H572" s="234">
        <v>5.8490047454834002</v>
      </c>
      <c r="I572" s="234">
        <v>5.6922402381896999</v>
      </c>
      <c r="J572" s="234">
        <v>5.5182204246520996</v>
      </c>
      <c r="K572" s="234">
        <v>5.4887638092040998</v>
      </c>
      <c r="L572" s="234">
        <v>5.5592789649963397</v>
      </c>
      <c r="M572" s="234">
        <v>5.6574964523315403</v>
      </c>
      <c r="N572" s="234">
        <v>5.8102455139160201</v>
      </c>
      <c r="O572" s="234">
        <v>5.9230461120605504</v>
      </c>
      <c r="P572" s="234">
        <v>5.8875889778137198</v>
      </c>
      <c r="Q572" s="234">
        <v>5.8938632011413601</v>
      </c>
      <c r="R572" s="234">
        <v>6.0147280693054199</v>
      </c>
      <c r="S572" s="234">
        <v>6.1772904396057102</v>
      </c>
      <c r="T572" s="234">
        <v>6.2973737716674796</v>
      </c>
      <c r="U572" s="234">
        <v>6.40012407302856</v>
      </c>
      <c r="V572" s="234">
        <v>6.4435343742370597</v>
      </c>
      <c r="W572" s="234">
        <v>6.4505195617675799</v>
      </c>
      <c r="X572" s="234">
        <v>6.5169725418090803</v>
      </c>
      <c r="Y572" s="234">
        <v>6.5874438285827601</v>
      </c>
    </row>
    <row r="573" spans="1:26" x14ac:dyDescent="0.25">
      <c r="A573" s="230" t="s">
        <v>497</v>
      </c>
      <c r="B573" s="234">
        <v>1.2938040494918801</v>
      </c>
      <c r="C573" s="234">
        <v>1.29924309253693</v>
      </c>
      <c r="D573" s="234">
        <v>1.30395972728729</v>
      </c>
      <c r="E573" s="234">
        <v>1.3117660284042401</v>
      </c>
      <c r="F573" s="234">
        <v>1.3130011558532699</v>
      </c>
      <c r="G573" s="234">
        <v>1.3001606464386</v>
      </c>
      <c r="H573" s="234">
        <v>1.2972036600112899</v>
      </c>
      <c r="I573" s="234">
        <v>1.28666663169861</v>
      </c>
      <c r="J573" s="234">
        <v>1.2722240686416599</v>
      </c>
      <c r="K573" s="234">
        <v>1.2649568319320701</v>
      </c>
      <c r="L573" s="234">
        <v>1.25909507274628</v>
      </c>
      <c r="M573" s="234">
        <v>1.25531446933746</v>
      </c>
      <c r="N573" s="234">
        <v>1.25464415550232</v>
      </c>
      <c r="O573" s="234">
        <v>1.25405156612396</v>
      </c>
      <c r="P573" s="234">
        <v>1.2516055107116699</v>
      </c>
      <c r="Q573" s="234">
        <v>1.25465047359467</v>
      </c>
      <c r="R573" s="234">
        <v>1.2582825422287001</v>
      </c>
      <c r="S573" s="234">
        <v>1.2619441747665401</v>
      </c>
      <c r="T573" s="234">
        <v>1.26514172554016</v>
      </c>
      <c r="U573" s="234">
        <v>1.27338314056396</v>
      </c>
      <c r="V573" s="234">
        <v>1.2817230224609399</v>
      </c>
      <c r="W573" s="234">
        <v>1.31160092353821</v>
      </c>
      <c r="X573" s="234">
        <v>1.3194112777710001</v>
      </c>
      <c r="Y573" s="234">
        <v>1.3217089176178001</v>
      </c>
    </row>
    <row r="574" spans="1:26" x14ac:dyDescent="0.25">
      <c r="A574" s="230" t="s">
        <v>498</v>
      </c>
      <c r="B574" s="234">
        <v>14.6543264389038</v>
      </c>
      <c r="C574" s="234">
        <v>16.232709884643601</v>
      </c>
      <c r="D574" s="234">
        <v>19.6646022796631</v>
      </c>
      <c r="E574" s="234">
        <v>19.5902194976807</v>
      </c>
      <c r="F574" s="234">
        <v>19.473403930664102</v>
      </c>
      <c r="G574" s="234">
        <v>18.312351226806602</v>
      </c>
      <c r="H574" s="234">
        <v>18.154972076416001</v>
      </c>
      <c r="I574" s="234">
        <v>17.744245529174801</v>
      </c>
      <c r="J574" s="234">
        <v>17.108533859252901</v>
      </c>
      <c r="K574" s="234">
        <v>16.985416412353501</v>
      </c>
      <c r="L574" s="234">
        <v>16.891477584838899</v>
      </c>
      <c r="M574" s="234">
        <v>17.106473922729499</v>
      </c>
      <c r="N574" s="234">
        <v>17.298709869384801</v>
      </c>
      <c r="O574" s="234">
        <v>17.370653152465799</v>
      </c>
      <c r="P574" s="234">
        <v>17.404756546020501</v>
      </c>
      <c r="Q574" s="234">
        <v>17.4316711425781</v>
      </c>
      <c r="R574" s="234">
        <v>17.495216369628899</v>
      </c>
      <c r="S574" s="234">
        <v>17.111986160278299</v>
      </c>
      <c r="T574" s="234">
        <v>17.221326828002901</v>
      </c>
      <c r="U574" s="234">
        <v>17.6731853485107</v>
      </c>
      <c r="V574" s="234">
        <v>17.676996231079102</v>
      </c>
      <c r="W574" s="234">
        <v>17.866504669189499</v>
      </c>
      <c r="X574" s="234">
        <v>17.993064880371101</v>
      </c>
      <c r="Y574" s="234">
        <v>18.128524780273398</v>
      </c>
    </row>
    <row r="575" spans="1:26" x14ac:dyDescent="0.25">
      <c r="A575" s="230" t="s">
        <v>465</v>
      </c>
      <c r="B575" s="234">
        <v>21.599882125854499</v>
      </c>
      <c r="C575" s="234">
        <v>21.735733032226602</v>
      </c>
      <c r="D575" s="234">
        <v>21.728578567504901</v>
      </c>
      <c r="E575" s="234">
        <v>21.659519195556602</v>
      </c>
      <c r="F575" s="234">
        <v>20.859115600585898</v>
      </c>
      <c r="G575" s="234">
        <v>19.947565078735401</v>
      </c>
      <c r="H575" s="234">
        <v>19.5044040679932</v>
      </c>
      <c r="I575" s="234">
        <v>19.468164443969702</v>
      </c>
      <c r="J575" s="234">
        <v>19.363897323608398</v>
      </c>
      <c r="K575" s="234">
        <v>19.340778350830099</v>
      </c>
      <c r="L575" s="234">
        <v>19.565423965454102</v>
      </c>
      <c r="M575" s="234">
        <v>19.829431533813501</v>
      </c>
      <c r="N575" s="234">
        <v>20.184032440185501</v>
      </c>
      <c r="O575" s="234">
        <v>20.348131179809599</v>
      </c>
      <c r="P575" s="234">
        <v>20.384618759155298</v>
      </c>
      <c r="Q575" s="234">
        <v>20.4941310882568</v>
      </c>
      <c r="R575" s="234">
        <v>20.6934413909912</v>
      </c>
      <c r="S575" s="234">
        <v>20.961088180541999</v>
      </c>
      <c r="T575" s="234">
        <v>21.1064147949219</v>
      </c>
      <c r="U575" s="234">
        <v>21.2582683563232</v>
      </c>
      <c r="V575" s="234">
        <v>21.2429523468018</v>
      </c>
      <c r="W575" s="234">
        <v>21.2300205230713</v>
      </c>
      <c r="X575" s="234">
        <v>21.277418136596701</v>
      </c>
      <c r="Y575" s="234">
        <v>21.3841457366943</v>
      </c>
    </row>
    <row r="576" spans="1:26" x14ac:dyDescent="0.25">
      <c r="A576" s="230" t="s">
        <v>426</v>
      </c>
      <c r="B576" s="234" t="s">
        <v>426</v>
      </c>
      <c r="C576" s="234" t="s">
        <v>426</v>
      </c>
      <c r="D576" s="234" t="s">
        <v>426</v>
      </c>
      <c r="E576" s="234" t="s">
        <v>426</v>
      </c>
      <c r="F576" s="234" t="s">
        <v>426</v>
      </c>
      <c r="G576" s="234" t="s">
        <v>426</v>
      </c>
      <c r="H576" s="234" t="s">
        <v>426</v>
      </c>
      <c r="I576" s="234" t="s">
        <v>426</v>
      </c>
      <c r="J576" s="234" t="s">
        <v>426</v>
      </c>
      <c r="K576" s="234" t="s">
        <v>426</v>
      </c>
      <c r="L576" s="234" t="s">
        <v>426</v>
      </c>
      <c r="M576" s="234" t="s">
        <v>426</v>
      </c>
      <c r="N576" s="234" t="s">
        <v>426</v>
      </c>
      <c r="O576" s="234" t="s">
        <v>426</v>
      </c>
      <c r="P576" s="234" t="s">
        <v>426</v>
      </c>
      <c r="Q576" s="234" t="s">
        <v>426</v>
      </c>
      <c r="R576" s="234" t="s">
        <v>426</v>
      </c>
      <c r="S576" s="234" t="s">
        <v>426</v>
      </c>
      <c r="T576" s="234" t="s">
        <v>426</v>
      </c>
      <c r="U576" s="234" t="s">
        <v>426</v>
      </c>
      <c r="V576" s="234" t="s">
        <v>426</v>
      </c>
      <c r="W576" s="234" t="s">
        <v>426</v>
      </c>
      <c r="X576" s="234" t="s">
        <v>426</v>
      </c>
      <c r="Y576" s="234" t="s">
        <v>426</v>
      </c>
    </row>
    <row r="577" spans="1:25" x14ac:dyDescent="0.25">
      <c r="A577" s="230" t="s">
        <v>499</v>
      </c>
      <c r="B577" s="234" t="s">
        <v>426</v>
      </c>
      <c r="C577" s="234" t="s">
        <v>426</v>
      </c>
      <c r="D577" s="234" t="s">
        <v>426</v>
      </c>
      <c r="E577" s="234" t="s">
        <v>426</v>
      </c>
      <c r="F577" s="234" t="s">
        <v>426</v>
      </c>
      <c r="G577" s="234" t="s">
        <v>426</v>
      </c>
      <c r="H577" s="234" t="s">
        <v>426</v>
      </c>
      <c r="I577" s="234" t="s">
        <v>426</v>
      </c>
      <c r="J577" s="234" t="s">
        <v>426</v>
      </c>
      <c r="K577" s="234" t="s">
        <v>426</v>
      </c>
      <c r="L577" s="234" t="s">
        <v>426</v>
      </c>
      <c r="M577" s="234" t="s">
        <v>426</v>
      </c>
      <c r="N577" s="234" t="s">
        <v>426</v>
      </c>
      <c r="O577" s="234" t="s">
        <v>426</v>
      </c>
      <c r="P577" s="234" t="s">
        <v>426</v>
      </c>
      <c r="Q577" s="234" t="s">
        <v>426</v>
      </c>
      <c r="R577" s="234" t="s">
        <v>426</v>
      </c>
      <c r="S577" s="234" t="s">
        <v>426</v>
      </c>
      <c r="T577" s="234" t="s">
        <v>426</v>
      </c>
      <c r="U577" s="234" t="s">
        <v>426</v>
      </c>
      <c r="V577" s="234" t="s">
        <v>426</v>
      </c>
      <c r="W577" s="234" t="s">
        <v>426</v>
      </c>
      <c r="X577" s="234" t="s">
        <v>426</v>
      </c>
      <c r="Y577" s="234" t="s">
        <v>426</v>
      </c>
    </row>
    <row r="578" spans="1:25" x14ac:dyDescent="0.25">
      <c r="A578" s="230" t="s">
        <v>500</v>
      </c>
      <c r="B578" s="234" t="s">
        <v>426</v>
      </c>
      <c r="C578" s="234" t="s">
        <v>426</v>
      </c>
      <c r="D578" s="234" t="s">
        <v>426</v>
      </c>
      <c r="E578" s="234" t="s">
        <v>426</v>
      </c>
      <c r="F578" s="234" t="s">
        <v>426</v>
      </c>
      <c r="G578" s="234" t="s">
        <v>426</v>
      </c>
      <c r="H578" s="234" t="s">
        <v>426</v>
      </c>
      <c r="I578" s="234" t="s">
        <v>426</v>
      </c>
      <c r="J578" s="234" t="s">
        <v>426</v>
      </c>
      <c r="K578" s="234" t="s">
        <v>426</v>
      </c>
      <c r="L578" s="234" t="s">
        <v>426</v>
      </c>
      <c r="M578" s="234" t="s">
        <v>426</v>
      </c>
      <c r="N578" s="234" t="s">
        <v>426</v>
      </c>
      <c r="O578" s="234" t="s">
        <v>426</v>
      </c>
      <c r="P578" s="234" t="s">
        <v>426</v>
      </c>
      <c r="Q578" s="234" t="s">
        <v>426</v>
      </c>
      <c r="R578" s="234" t="s">
        <v>426</v>
      </c>
      <c r="S578" s="234" t="s">
        <v>426</v>
      </c>
      <c r="T578" s="234" t="s">
        <v>426</v>
      </c>
      <c r="U578" s="234" t="s">
        <v>426</v>
      </c>
      <c r="V578" s="234" t="s">
        <v>426</v>
      </c>
      <c r="W578" s="234" t="s">
        <v>426</v>
      </c>
      <c r="X578" s="234" t="s">
        <v>426</v>
      </c>
      <c r="Y578" s="234" t="s">
        <v>426</v>
      </c>
    </row>
    <row r="579" spans="1:25" x14ac:dyDescent="0.25">
      <c r="A579" s="230" t="s">
        <v>459</v>
      </c>
      <c r="B579" s="234">
        <v>163.90481567382801</v>
      </c>
      <c r="C579" s="234">
        <v>177.16523742675801</v>
      </c>
      <c r="D579" s="234">
        <v>181.72630310058599</v>
      </c>
      <c r="E579" s="234">
        <v>185.23806762695301</v>
      </c>
      <c r="F579" s="234">
        <v>178.77069091796901</v>
      </c>
      <c r="G579" s="234">
        <v>174.57431030273401</v>
      </c>
      <c r="H579" s="234">
        <v>173.49729919433599</v>
      </c>
      <c r="I579" s="234">
        <v>174.68045043945301</v>
      </c>
      <c r="J579" s="234">
        <v>175.87545776367199</v>
      </c>
      <c r="K579" s="234">
        <v>177.93170166015599</v>
      </c>
      <c r="L579" s="234">
        <v>181.97520446777301</v>
      </c>
      <c r="M579" s="234">
        <v>185.45910644531301</v>
      </c>
      <c r="N579" s="234">
        <v>189.89924621582</v>
      </c>
      <c r="O579" s="234">
        <v>193.20950317382801</v>
      </c>
      <c r="P579" s="234">
        <v>195.50482177734401</v>
      </c>
      <c r="Q579" s="234">
        <v>197.60719299316401</v>
      </c>
      <c r="R579" s="234">
        <v>201.40017700195301</v>
      </c>
      <c r="S579" s="234">
        <v>205.80612182617199</v>
      </c>
      <c r="T579" s="234">
        <v>209.76078796386699</v>
      </c>
      <c r="U579" s="234">
        <v>212.75457763671901</v>
      </c>
      <c r="V579" s="234">
        <v>215.110427856445</v>
      </c>
      <c r="W579" s="234">
        <v>217.42091369628901</v>
      </c>
      <c r="X579" s="234">
        <v>220.97119140625</v>
      </c>
      <c r="Y579" s="234">
        <v>223.85739135742199</v>
      </c>
    </row>
    <row r="580" spans="1:25" x14ac:dyDescent="0.25">
      <c r="A580" s="230" t="s">
        <v>466</v>
      </c>
      <c r="B580" s="234">
        <v>122.690147399902</v>
      </c>
      <c r="C580" s="234">
        <v>128.153732299805</v>
      </c>
      <c r="D580" s="234">
        <v>130.48348999023401</v>
      </c>
      <c r="E580" s="234">
        <v>132.28971862793</v>
      </c>
      <c r="F580" s="234">
        <v>128.48481750488301</v>
      </c>
      <c r="G580" s="234">
        <v>125.5166015625</v>
      </c>
      <c r="H580" s="234">
        <v>125.36106109619099</v>
      </c>
      <c r="I580" s="234">
        <v>127.820442199707</v>
      </c>
      <c r="J580" s="234">
        <v>129.92327880859401</v>
      </c>
      <c r="K580" s="234">
        <v>133.10743713378901</v>
      </c>
      <c r="L580" s="234">
        <v>137.92835998535199</v>
      </c>
      <c r="M580" s="234">
        <v>142.925369262695</v>
      </c>
      <c r="N580" s="234">
        <v>148.816970825195</v>
      </c>
      <c r="O580" s="234">
        <v>153.52194213867199</v>
      </c>
      <c r="P580" s="234">
        <v>157.03869628906301</v>
      </c>
      <c r="Q580" s="234">
        <v>161.345138549805</v>
      </c>
      <c r="R580" s="234">
        <v>166.52362060546901</v>
      </c>
      <c r="S580" s="234">
        <v>172.33033752441401</v>
      </c>
      <c r="T580" s="234">
        <v>177.27947998046901</v>
      </c>
      <c r="U580" s="234">
        <v>182.50421142578099</v>
      </c>
      <c r="V580" s="234">
        <v>186.391357421875</v>
      </c>
      <c r="W580" s="234">
        <v>190.50810241699199</v>
      </c>
      <c r="X580" s="234">
        <v>195.38455200195301</v>
      </c>
      <c r="Y580" s="234">
        <v>200.92575073242199</v>
      </c>
    </row>
    <row r="581" spans="1:25" x14ac:dyDescent="0.25">
      <c r="A581" s="230" t="s">
        <v>501</v>
      </c>
      <c r="B581" s="234">
        <v>124.39901733398401</v>
      </c>
      <c r="C581" s="234">
        <v>147.11244201660199</v>
      </c>
      <c r="D581" s="234">
        <v>168.10716247558599</v>
      </c>
      <c r="E581" s="234">
        <v>167.31402587890599</v>
      </c>
      <c r="F581" s="234">
        <v>151.68084716796901</v>
      </c>
      <c r="G581" s="234">
        <v>143.54243469238301</v>
      </c>
      <c r="H581" s="234">
        <v>141.56742858886699</v>
      </c>
      <c r="I581" s="234">
        <v>140.77819824218801</v>
      </c>
      <c r="J581" s="234">
        <v>139.57333374023401</v>
      </c>
      <c r="K581" s="234">
        <v>140.39901733398401</v>
      </c>
      <c r="L581" s="234">
        <v>142.75350952148401</v>
      </c>
      <c r="M581" s="234">
        <v>145.42568969726599</v>
      </c>
      <c r="N581" s="234">
        <v>149.20526123046901</v>
      </c>
      <c r="O581" s="234">
        <v>152.35485839843801</v>
      </c>
      <c r="P581" s="234">
        <v>153.50325012207</v>
      </c>
      <c r="Q581" s="234">
        <v>156.35830688476599</v>
      </c>
      <c r="R581" s="234">
        <v>160.767654418945</v>
      </c>
      <c r="S581" s="234">
        <v>165.76315307617199</v>
      </c>
      <c r="T581" s="234">
        <v>169.931716918945</v>
      </c>
      <c r="U581" s="234">
        <v>173.961990356445</v>
      </c>
      <c r="V581" s="234">
        <v>176.65931701660199</v>
      </c>
      <c r="W581" s="234">
        <v>179.21453857421901</v>
      </c>
      <c r="X581" s="234">
        <v>182.00726318359401</v>
      </c>
      <c r="Y581" s="234">
        <v>184.95687866210901</v>
      </c>
    </row>
    <row r="582" spans="1:25" x14ac:dyDescent="0.25">
      <c r="A582" s="230" t="s">
        <v>473</v>
      </c>
      <c r="B582" s="234">
        <v>263.72879028320301</v>
      </c>
      <c r="C582" s="234">
        <v>302.59255981445301</v>
      </c>
      <c r="D582" s="234">
        <v>352.23770141601602</v>
      </c>
      <c r="E582" s="234">
        <v>351.05020141601602</v>
      </c>
      <c r="F582" s="234">
        <v>340.83407592773398</v>
      </c>
      <c r="G582" s="234">
        <v>332.5693359375</v>
      </c>
      <c r="H582" s="234">
        <v>335.96701049804699</v>
      </c>
      <c r="I582" s="234">
        <v>336.85531616210898</v>
      </c>
      <c r="J582" s="234">
        <v>341.13198852539102</v>
      </c>
      <c r="K582" s="234">
        <v>348.16427612304699</v>
      </c>
      <c r="L582" s="234">
        <v>352.90618896484398</v>
      </c>
      <c r="M582" s="234">
        <v>359.69818115234398</v>
      </c>
      <c r="N582" s="234">
        <v>365.95080566406301</v>
      </c>
      <c r="O582" s="234">
        <v>372.46246337890602</v>
      </c>
      <c r="P582" s="234">
        <v>379.283447265625</v>
      </c>
      <c r="Q582" s="234">
        <v>387.02755737304699</v>
      </c>
      <c r="R582" s="234">
        <v>393.88119506835898</v>
      </c>
      <c r="S582" s="234">
        <v>401.07183837890602</v>
      </c>
      <c r="T582" s="234">
        <v>407.83190917968801</v>
      </c>
      <c r="U582" s="234">
        <v>415.10699462890602</v>
      </c>
      <c r="V582" s="234">
        <v>423.06927490234398</v>
      </c>
      <c r="W582" s="234">
        <v>431.36416625976602</v>
      </c>
      <c r="X582" s="234">
        <v>438.52017211914102</v>
      </c>
      <c r="Y582" s="234">
        <v>449.30920410156301</v>
      </c>
    </row>
    <row r="583" spans="1:25" x14ac:dyDescent="0.25">
      <c r="A583" s="230" t="s">
        <v>502</v>
      </c>
      <c r="B583" s="234">
        <v>674.72277832031295</v>
      </c>
      <c r="C583" s="234">
        <v>755.02398681640602</v>
      </c>
      <c r="D583" s="234">
        <v>832.5546875</v>
      </c>
      <c r="E583" s="234">
        <v>835.89202880859398</v>
      </c>
      <c r="F583" s="234">
        <v>799.77044677734398</v>
      </c>
      <c r="G583" s="234">
        <v>776.20269775390602</v>
      </c>
      <c r="H583" s="234">
        <v>776.392822265625</v>
      </c>
      <c r="I583" s="234">
        <v>780.13439941406295</v>
      </c>
      <c r="J583" s="234">
        <v>786.50402832031295</v>
      </c>
      <c r="K583" s="234">
        <v>799.60241699218795</v>
      </c>
      <c r="L583" s="234">
        <v>815.563232421875</v>
      </c>
      <c r="M583" s="234">
        <v>833.50836181640602</v>
      </c>
      <c r="N583" s="234">
        <v>853.872314453125</v>
      </c>
      <c r="O583" s="234">
        <v>871.54876708984398</v>
      </c>
      <c r="P583" s="234">
        <v>885.33020019531295</v>
      </c>
      <c r="Q583" s="234">
        <v>902.33819580078102</v>
      </c>
      <c r="R583" s="234">
        <v>922.57263183593795</v>
      </c>
      <c r="S583" s="234">
        <v>944.971435546875</v>
      </c>
      <c r="T583" s="234">
        <v>964.80389404296898</v>
      </c>
      <c r="U583" s="234">
        <v>984.32775878906295</v>
      </c>
      <c r="V583" s="234">
        <v>1001.23034667969</v>
      </c>
      <c r="W583" s="234">
        <v>1018.50769042969</v>
      </c>
      <c r="X583" s="234">
        <v>1036.88317871094</v>
      </c>
      <c r="Y583" s="234">
        <v>1059.04919433594</v>
      </c>
    </row>
    <row r="584" spans="1:25" x14ac:dyDescent="0.25">
      <c r="A584" s="230" t="s">
        <v>503</v>
      </c>
      <c r="B584" s="234">
        <v>1.1704622767865699E-2</v>
      </c>
      <c r="C584" s="234">
        <v>1.72001253813505E-2</v>
      </c>
      <c r="D584" s="234">
        <v>2.0739471539855E-2</v>
      </c>
      <c r="E584" s="234">
        <v>2.2893460467457799E-2</v>
      </c>
      <c r="F584" s="234">
        <v>2.3359816521406201E-2</v>
      </c>
      <c r="G584" s="234">
        <v>2.56899110972881E-2</v>
      </c>
      <c r="H584" s="234">
        <v>2.8361881151795401E-2</v>
      </c>
      <c r="I584" s="234">
        <v>3.0972529202699699E-2</v>
      </c>
      <c r="J584" s="234">
        <v>3.4895084798336001E-2</v>
      </c>
      <c r="K584" s="234">
        <v>3.86636592447758E-2</v>
      </c>
      <c r="L584" s="234">
        <v>4.1480015963315998E-2</v>
      </c>
      <c r="M584" s="234">
        <v>4.3943785130977603E-2</v>
      </c>
      <c r="N584" s="234">
        <v>4.6801801770925501E-2</v>
      </c>
      <c r="O584" s="234">
        <v>4.9450792372226701E-2</v>
      </c>
      <c r="P584" s="234">
        <v>5.3890265524387401E-2</v>
      </c>
      <c r="Q584" s="234">
        <v>5.8303136378526701E-2</v>
      </c>
      <c r="R584" s="234">
        <v>6.2215700745582601E-2</v>
      </c>
      <c r="S584" s="234">
        <v>6.0202639549970599E-2</v>
      </c>
      <c r="T584" s="234">
        <v>6.6687978804111495E-2</v>
      </c>
      <c r="U584" s="234">
        <v>6.8060472607612596E-2</v>
      </c>
      <c r="V584" s="234">
        <v>7.0131160318851499E-2</v>
      </c>
      <c r="W584" s="234">
        <v>7.4032962322235094E-2</v>
      </c>
      <c r="X584" s="234">
        <v>7.6179362833499895E-2</v>
      </c>
      <c r="Y584" s="234">
        <v>7.9960107803344699E-2</v>
      </c>
    </row>
    <row r="585" spans="1:25" x14ac:dyDescent="0.25">
      <c r="A585" s="230" t="s">
        <v>504</v>
      </c>
      <c r="B585" s="234">
        <v>674.73449707031295</v>
      </c>
      <c r="C585" s="234">
        <v>755.04119873046898</v>
      </c>
      <c r="D585" s="234">
        <v>832.575439453125</v>
      </c>
      <c r="E585" s="234">
        <v>835.91491699218795</v>
      </c>
      <c r="F585" s="234">
        <v>799.79382324218795</v>
      </c>
      <c r="G585" s="234">
        <v>776.22839355468795</v>
      </c>
      <c r="H585" s="234">
        <v>776.42120361328102</v>
      </c>
      <c r="I585" s="234">
        <v>780.16534423828102</v>
      </c>
      <c r="J585" s="234">
        <v>786.53894042968795</v>
      </c>
      <c r="K585" s="234">
        <v>799.64105224609398</v>
      </c>
      <c r="L585" s="234">
        <v>815.604736328125</v>
      </c>
      <c r="M585" s="234">
        <v>833.55230712890602</v>
      </c>
      <c r="N585" s="234">
        <v>853.91912841796898</v>
      </c>
      <c r="O585" s="234">
        <v>871.59820556640602</v>
      </c>
      <c r="P585" s="234">
        <v>885.38409423828102</v>
      </c>
      <c r="Q585" s="234">
        <v>902.396484375</v>
      </c>
      <c r="R585" s="234">
        <v>922.63482666015602</v>
      </c>
      <c r="S585" s="234">
        <v>945.03161621093795</v>
      </c>
      <c r="T585" s="234">
        <v>964.87060546875</v>
      </c>
      <c r="U585" s="234">
        <v>984.39581298828102</v>
      </c>
      <c r="V585" s="234">
        <v>1001.30047607422</v>
      </c>
      <c r="W585" s="234">
        <v>1018.58172607422</v>
      </c>
      <c r="X585" s="234">
        <v>1036.95935058594</v>
      </c>
      <c r="Y585" s="234">
        <v>1059.12915039063</v>
      </c>
    </row>
    <row r="586" spans="1:25" x14ac:dyDescent="0.25">
      <c r="A586" s="270" t="s">
        <v>1054</v>
      </c>
      <c r="B586" s="234" t="s">
        <v>578</v>
      </c>
      <c r="C586" s="234"/>
      <c r="D586" s="234"/>
      <c r="E586" s="234"/>
      <c r="F586" s="234"/>
      <c r="G586" s="234"/>
      <c r="H586" s="234"/>
      <c r="I586" s="234"/>
      <c r="J586" s="234"/>
      <c r="K586" s="234"/>
      <c r="L586" s="234"/>
      <c r="M586" s="234"/>
      <c r="N586" s="234"/>
      <c r="O586" s="234"/>
      <c r="P586" s="234"/>
      <c r="Q586" s="234"/>
      <c r="R586" s="234"/>
      <c r="S586" s="234"/>
      <c r="T586" s="234"/>
      <c r="U586" s="234"/>
      <c r="V586" s="234"/>
      <c r="W586" s="234"/>
      <c r="X586" s="234"/>
      <c r="Y586" s="234"/>
    </row>
    <row r="587" spans="1:25" x14ac:dyDescent="0.25">
      <c r="A587" s="259" t="s">
        <v>308</v>
      </c>
      <c r="B587" s="234" t="s">
        <v>578</v>
      </c>
      <c r="C587" s="234"/>
      <c r="D587" s="234"/>
      <c r="E587" s="234"/>
      <c r="F587" s="234"/>
      <c r="G587" s="234"/>
      <c r="H587" s="234"/>
      <c r="I587" s="234"/>
      <c r="J587" s="234"/>
      <c r="K587" s="234"/>
      <c r="L587" s="234"/>
      <c r="M587" s="234"/>
      <c r="N587" s="234"/>
      <c r="O587" s="234"/>
      <c r="P587" s="234"/>
      <c r="Q587" s="234"/>
      <c r="R587" s="234"/>
      <c r="S587" s="234"/>
      <c r="T587" s="234"/>
      <c r="U587" s="234"/>
      <c r="V587" s="234"/>
      <c r="W587" s="234"/>
      <c r="X587" s="234"/>
      <c r="Y587" s="234"/>
    </row>
    <row r="588" spans="1:25" x14ac:dyDescent="0.25">
      <c r="A588" s="230" t="s">
        <v>426</v>
      </c>
      <c r="B588" s="234" t="s">
        <v>426</v>
      </c>
      <c r="C588" s="234" t="s">
        <v>426</v>
      </c>
      <c r="D588" s="234" t="s">
        <v>426</v>
      </c>
      <c r="E588" s="234" t="s">
        <v>426</v>
      </c>
      <c r="F588" s="234" t="s">
        <v>426</v>
      </c>
      <c r="G588" s="234" t="s">
        <v>426</v>
      </c>
      <c r="H588" s="234" t="s">
        <v>426</v>
      </c>
      <c r="I588" s="234" t="s">
        <v>426</v>
      </c>
      <c r="J588" s="234" t="s">
        <v>426</v>
      </c>
      <c r="K588" s="234" t="s">
        <v>426</v>
      </c>
      <c r="L588" s="234" t="s">
        <v>426</v>
      </c>
      <c r="M588" s="234" t="s">
        <v>426</v>
      </c>
      <c r="N588" s="234" t="s">
        <v>426</v>
      </c>
      <c r="O588" s="234" t="s">
        <v>426</v>
      </c>
      <c r="P588" s="234" t="s">
        <v>426</v>
      </c>
      <c r="Q588" s="234" t="s">
        <v>426</v>
      </c>
      <c r="R588" s="234" t="s">
        <v>426</v>
      </c>
      <c r="S588" s="234" t="s">
        <v>426</v>
      </c>
      <c r="T588" s="234" t="s">
        <v>426</v>
      </c>
      <c r="U588" s="234" t="s">
        <v>426</v>
      </c>
      <c r="V588" s="234" t="s">
        <v>426</v>
      </c>
      <c r="W588" s="234" t="s">
        <v>426</v>
      </c>
      <c r="X588" s="234" t="s">
        <v>426</v>
      </c>
      <c r="Y588" s="234" t="s">
        <v>426</v>
      </c>
    </row>
    <row r="589" spans="1:25" x14ac:dyDescent="0.25">
      <c r="A589" s="230" t="s">
        <v>505</v>
      </c>
      <c r="B589" s="234"/>
      <c r="C589" s="234"/>
      <c r="D589" s="234"/>
      <c r="E589" s="234"/>
      <c r="F589" s="234"/>
      <c r="G589" s="234"/>
      <c r="H589" s="234"/>
      <c r="I589" s="234"/>
      <c r="J589" s="234"/>
      <c r="K589" s="234"/>
      <c r="L589" s="234"/>
      <c r="M589" s="234"/>
      <c r="N589" s="234"/>
      <c r="O589" s="234"/>
      <c r="P589" s="234"/>
      <c r="Q589" s="234"/>
      <c r="R589" s="234"/>
      <c r="S589" s="234"/>
      <c r="T589" s="234"/>
      <c r="U589" s="234"/>
      <c r="V589" s="234"/>
      <c r="W589" s="234"/>
      <c r="X589" s="234"/>
      <c r="Y589" s="234"/>
    </row>
    <row r="590" spans="1:25" x14ac:dyDescent="0.25">
      <c r="A590" s="230" t="s">
        <v>506</v>
      </c>
      <c r="B590" s="234"/>
      <c r="C590" s="234"/>
      <c r="D590" s="234"/>
      <c r="E590" s="234"/>
      <c r="F590" s="234"/>
      <c r="G590" s="234"/>
      <c r="H590" s="234"/>
      <c r="I590" s="234"/>
      <c r="J590" s="234"/>
      <c r="K590" s="234"/>
      <c r="L590" s="234"/>
      <c r="M590" s="234"/>
      <c r="N590" s="234"/>
      <c r="O590" s="234"/>
      <c r="P590" s="234"/>
      <c r="Q590" s="234"/>
      <c r="R590" s="234"/>
      <c r="S590" s="234"/>
      <c r="T590" s="234"/>
      <c r="U590" s="234"/>
      <c r="V590" s="234"/>
      <c r="W590" s="234"/>
      <c r="X590" s="234"/>
      <c r="Y590" s="234"/>
    </row>
    <row r="591" spans="1:25" x14ac:dyDescent="0.25">
      <c r="A591" s="230" t="s">
        <v>507</v>
      </c>
      <c r="B591" s="234"/>
      <c r="C591" s="234"/>
      <c r="D591" s="234"/>
      <c r="E591" s="234"/>
      <c r="F591" s="234"/>
      <c r="G591" s="234"/>
      <c r="H591" s="234"/>
      <c r="I591" s="234"/>
      <c r="J591" s="234"/>
      <c r="K591" s="234"/>
      <c r="L591" s="234"/>
      <c r="M591" s="234"/>
      <c r="N591" s="234"/>
      <c r="O591" s="234"/>
      <c r="P591" s="234"/>
      <c r="Q591" s="234"/>
      <c r="R591" s="234"/>
      <c r="S591" s="234"/>
      <c r="T591" s="234"/>
      <c r="U591" s="234"/>
      <c r="V591" s="234"/>
      <c r="W591" s="234"/>
      <c r="X591" s="234"/>
      <c r="Y591" s="234"/>
    </row>
    <row r="592" spans="1:25" x14ac:dyDescent="0.25">
      <c r="A592" s="230" t="s">
        <v>508</v>
      </c>
      <c r="B592" s="234"/>
      <c r="C592" s="234"/>
      <c r="D592" s="234"/>
      <c r="E592" s="234"/>
      <c r="F592" s="234"/>
      <c r="G592" s="234"/>
      <c r="H592" s="234"/>
      <c r="I592" s="234"/>
      <c r="J592" s="234"/>
      <c r="K592" s="234"/>
      <c r="L592" s="234"/>
      <c r="M592" s="234"/>
      <c r="N592" s="234"/>
      <c r="O592" s="234"/>
      <c r="P592" s="234"/>
      <c r="Q592" s="234"/>
      <c r="R592" s="234"/>
      <c r="S592" s="234"/>
      <c r="T592" s="234"/>
      <c r="U592" s="234"/>
      <c r="V592" s="234"/>
      <c r="W592" s="234"/>
      <c r="X592" s="234"/>
      <c r="Y592" s="234"/>
    </row>
    <row r="593" spans="1:25" x14ac:dyDescent="0.25">
      <c r="A593" s="230" t="s">
        <v>509</v>
      </c>
      <c r="B593" s="234"/>
      <c r="C593" s="234"/>
      <c r="D593" s="234"/>
      <c r="E593" s="234"/>
      <c r="F593" s="234"/>
      <c r="G593" s="234"/>
      <c r="H593" s="234"/>
      <c r="I593" s="234"/>
      <c r="J593" s="234"/>
      <c r="K593" s="234"/>
      <c r="L593" s="234"/>
      <c r="M593" s="234"/>
      <c r="N593" s="234"/>
      <c r="O593" s="234"/>
      <c r="P593" s="234"/>
      <c r="Q593" s="234"/>
      <c r="R593" s="234"/>
      <c r="S593" s="234"/>
      <c r="T593" s="234"/>
      <c r="U593" s="234"/>
      <c r="V593" s="234"/>
      <c r="W593" s="234"/>
      <c r="X593" s="234"/>
      <c r="Y593" s="234"/>
    </row>
    <row r="594" spans="1:25" x14ac:dyDescent="0.25">
      <c r="A594" s="230" t="s">
        <v>510</v>
      </c>
      <c r="B594" s="234"/>
      <c r="C594" s="234"/>
      <c r="D594" s="234"/>
      <c r="E594" s="234"/>
      <c r="F594" s="234"/>
      <c r="G594" s="234"/>
      <c r="H594" s="234"/>
      <c r="I594" s="234"/>
      <c r="J594" s="234"/>
      <c r="K594" s="234"/>
      <c r="L594" s="234"/>
      <c r="M594" s="234"/>
      <c r="N594" s="234"/>
      <c r="O594" s="234"/>
      <c r="P594" s="234"/>
      <c r="Q594" s="234"/>
      <c r="R594" s="234"/>
      <c r="S594" s="234"/>
      <c r="T594" s="234"/>
      <c r="U594" s="234"/>
      <c r="V594" s="234"/>
      <c r="W594" s="234"/>
      <c r="X594" s="234"/>
      <c r="Y594" s="234"/>
    </row>
    <row r="595" spans="1:25" x14ac:dyDescent="0.25">
      <c r="A595" s="230" t="s">
        <v>511</v>
      </c>
      <c r="B595" s="234"/>
      <c r="C595" s="234"/>
      <c r="D595" s="234"/>
      <c r="E595" s="234"/>
      <c r="F595" s="234"/>
      <c r="G595" s="234"/>
      <c r="H595" s="234"/>
      <c r="I595" s="234"/>
      <c r="J595" s="234"/>
      <c r="K595" s="234"/>
      <c r="L595" s="234"/>
      <c r="M595" s="234"/>
      <c r="N595" s="234"/>
      <c r="O595" s="234"/>
      <c r="P595" s="234"/>
      <c r="Q595" s="234"/>
      <c r="R595" s="234"/>
      <c r="S595" s="234"/>
      <c r="T595" s="234"/>
      <c r="U595" s="234"/>
      <c r="V595" s="234"/>
      <c r="W595" s="234"/>
      <c r="X595" s="234"/>
      <c r="Y595" s="234"/>
    </row>
    <row r="596" spans="1:25" x14ac:dyDescent="0.25">
      <c r="A596" s="230" t="s">
        <v>512</v>
      </c>
      <c r="B596" s="234"/>
      <c r="C596" s="234"/>
      <c r="D596" s="234"/>
      <c r="E596" s="234"/>
      <c r="F596" s="234"/>
      <c r="G596" s="234"/>
      <c r="H596" s="234"/>
      <c r="I596" s="234"/>
      <c r="J596" s="234"/>
      <c r="K596" s="234"/>
      <c r="L596" s="234"/>
      <c r="M596" s="234"/>
      <c r="N596" s="234"/>
      <c r="O596" s="234"/>
      <c r="P596" s="234"/>
      <c r="Q596" s="234"/>
      <c r="R596" s="234"/>
      <c r="S596" s="234"/>
      <c r="T596" s="234"/>
      <c r="U596" s="234"/>
      <c r="V596" s="234"/>
      <c r="W596" s="234"/>
      <c r="X596" s="234"/>
      <c r="Y596" s="234"/>
    </row>
    <row r="597" spans="1:25" x14ac:dyDescent="0.25">
      <c r="A597" s="230" t="s">
        <v>513</v>
      </c>
      <c r="B597" s="234"/>
      <c r="C597" s="234"/>
      <c r="D597" s="234"/>
      <c r="E597" s="234"/>
      <c r="F597" s="234"/>
      <c r="G597" s="234"/>
      <c r="H597" s="234"/>
      <c r="I597" s="234"/>
      <c r="J597" s="234"/>
      <c r="K597" s="234"/>
      <c r="L597" s="234"/>
      <c r="M597" s="234"/>
      <c r="N597" s="234"/>
      <c r="O597" s="234"/>
      <c r="P597" s="234"/>
      <c r="Q597" s="234"/>
      <c r="R597" s="234"/>
      <c r="S597" s="234"/>
      <c r="T597" s="234"/>
      <c r="U597" s="234"/>
      <c r="V597" s="234"/>
      <c r="W597" s="234"/>
      <c r="X597" s="234"/>
      <c r="Y597" s="234"/>
    </row>
    <row r="598" spans="1:25" x14ac:dyDescent="0.25">
      <c r="A598" s="230" t="s">
        <v>518</v>
      </c>
      <c r="B598" s="234"/>
      <c r="C598" s="234"/>
      <c r="D598" s="234"/>
      <c r="E598" s="234"/>
      <c r="F598" s="234"/>
      <c r="G598" s="234"/>
      <c r="H598" s="234"/>
      <c r="I598" s="234"/>
      <c r="J598" s="234"/>
      <c r="K598" s="234"/>
      <c r="L598" s="234"/>
      <c r="M598" s="234"/>
      <c r="N598" s="234"/>
      <c r="O598" s="234"/>
      <c r="P598" s="234"/>
      <c r="Q598" s="234"/>
      <c r="R598" s="234"/>
      <c r="S598" s="234"/>
      <c r="T598" s="234"/>
      <c r="U598" s="234"/>
      <c r="V598" s="234"/>
      <c r="W598" s="234"/>
      <c r="X598" s="234"/>
      <c r="Y598" s="234"/>
    </row>
    <row r="599" spans="1:25" x14ac:dyDescent="0.25">
      <c r="A599" s="230" t="s">
        <v>528</v>
      </c>
      <c r="B599" s="234"/>
      <c r="C599" s="234"/>
      <c r="D599" s="234"/>
      <c r="E599" s="234"/>
      <c r="F599" s="234"/>
      <c r="G599" s="234"/>
      <c r="H599" s="234"/>
      <c r="I599" s="234"/>
      <c r="J599" s="234"/>
      <c r="K599" s="234"/>
      <c r="L599" s="234"/>
      <c r="M599" s="234"/>
      <c r="N599" s="234"/>
      <c r="O599" s="234"/>
      <c r="P599" s="234"/>
      <c r="Q599" s="234"/>
      <c r="R599" s="234"/>
      <c r="S599" s="234"/>
      <c r="T599" s="234"/>
      <c r="U599" s="234"/>
      <c r="V599" s="234"/>
      <c r="W599" s="234"/>
      <c r="X599" s="234"/>
      <c r="Y599" s="234"/>
    </row>
    <row r="600" spans="1:25" x14ac:dyDescent="0.25">
      <c r="A600" s="230" t="s">
        <v>529</v>
      </c>
      <c r="B600" s="234"/>
      <c r="C600" s="234"/>
      <c r="D600" s="234"/>
      <c r="E600" s="234"/>
      <c r="F600" s="234"/>
      <c r="G600" s="234"/>
      <c r="H600" s="234"/>
      <c r="I600" s="234"/>
      <c r="J600" s="234"/>
      <c r="K600" s="234"/>
      <c r="L600" s="234"/>
      <c r="M600" s="234"/>
      <c r="N600" s="234"/>
      <c r="O600" s="234"/>
      <c r="P600" s="234"/>
      <c r="Q600" s="234"/>
      <c r="R600" s="234"/>
      <c r="S600" s="234"/>
      <c r="T600" s="234"/>
      <c r="U600" s="234"/>
      <c r="V600" s="234"/>
      <c r="W600" s="234"/>
      <c r="X600" s="234"/>
      <c r="Y600" s="234"/>
    </row>
    <row r="601" spans="1:25" x14ac:dyDescent="0.25">
      <c r="A601" s="230" t="s">
        <v>530</v>
      </c>
      <c r="B601" s="234"/>
      <c r="C601" s="234"/>
      <c r="D601" s="234"/>
      <c r="E601" s="234"/>
      <c r="F601" s="234"/>
      <c r="G601" s="234"/>
      <c r="H601" s="234"/>
      <c r="I601" s="234"/>
      <c r="J601" s="234"/>
      <c r="K601" s="234"/>
      <c r="L601" s="234"/>
      <c r="M601" s="234"/>
      <c r="N601" s="234"/>
      <c r="O601" s="234"/>
      <c r="P601" s="234"/>
      <c r="Q601" s="234"/>
      <c r="R601" s="234"/>
      <c r="S601" s="234"/>
      <c r="T601" s="234"/>
      <c r="U601" s="234"/>
      <c r="V601" s="234"/>
      <c r="W601" s="234"/>
      <c r="X601" s="234"/>
      <c r="Y601" s="234"/>
    </row>
    <row r="602" spans="1:25" x14ac:dyDescent="0.25">
      <c r="A602" s="230" t="s">
        <v>531</v>
      </c>
      <c r="B602" s="234"/>
      <c r="C602" s="234"/>
      <c r="D602" s="234"/>
      <c r="E602" s="234"/>
      <c r="F602" s="234"/>
      <c r="G602" s="234"/>
      <c r="H602" s="234"/>
      <c r="I602" s="234"/>
      <c r="J602" s="234"/>
      <c r="K602" s="234"/>
      <c r="L602" s="234"/>
      <c r="M602" s="234"/>
      <c r="N602" s="234"/>
      <c r="O602" s="234"/>
      <c r="P602" s="234"/>
      <c r="Q602" s="234"/>
      <c r="R602" s="234"/>
      <c r="S602" s="234"/>
      <c r="T602" s="234"/>
      <c r="U602" s="234"/>
      <c r="V602" s="234"/>
      <c r="W602" s="234"/>
      <c r="X602" s="234"/>
      <c r="Y602" s="234"/>
    </row>
    <row r="603" spans="1:25" x14ac:dyDescent="0.25">
      <c r="A603" s="230" t="s">
        <v>532</v>
      </c>
      <c r="B603" s="234"/>
      <c r="C603" s="234"/>
      <c r="D603" s="234"/>
      <c r="E603" s="234"/>
      <c r="F603" s="234"/>
      <c r="G603" s="234"/>
      <c r="H603" s="234"/>
      <c r="I603" s="234"/>
      <c r="J603" s="234"/>
      <c r="K603" s="234"/>
      <c r="L603" s="234"/>
      <c r="M603" s="234"/>
      <c r="N603" s="234"/>
      <c r="O603" s="234"/>
      <c r="P603" s="234"/>
      <c r="Q603" s="234"/>
      <c r="R603" s="234"/>
      <c r="S603" s="234"/>
      <c r="T603" s="234"/>
      <c r="U603" s="234"/>
      <c r="V603" s="234"/>
      <c r="W603" s="234"/>
      <c r="X603" s="234"/>
      <c r="Y603" s="234"/>
    </row>
    <row r="604" spans="1:25" x14ac:dyDescent="0.25">
      <c r="A604" s="230" t="s">
        <v>533</v>
      </c>
      <c r="B604" s="234"/>
      <c r="C604" s="234"/>
      <c r="D604" s="234"/>
      <c r="E604" s="234"/>
      <c r="F604" s="234"/>
      <c r="G604" s="234"/>
      <c r="H604" s="234"/>
      <c r="I604" s="234"/>
      <c r="J604" s="234"/>
      <c r="K604" s="234"/>
      <c r="L604" s="234"/>
      <c r="M604" s="234"/>
      <c r="N604" s="234"/>
      <c r="O604" s="234"/>
      <c r="P604" s="234"/>
      <c r="Q604" s="234"/>
      <c r="R604" s="234"/>
      <c r="S604" s="234"/>
      <c r="T604" s="234"/>
      <c r="U604" s="234"/>
      <c r="V604" s="234"/>
      <c r="W604" s="234"/>
      <c r="X604" s="234"/>
      <c r="Y604" s="234"/>
    </row>
    <row r="605" spans="1:25" x14ac:dyDescent="0.25">
      <c r="A605" s="230" t="s">
        <v>534</v>
      </c>
      <c r="B605" s="234"/>
      <c r="C605" s="234"/>
      <c r="D605" s="234"/>
      <c r="E605" s="234"/>
      <c r="F605" s="234"/>
      <c r="G605" s="234"/>
      <c r="H605" s="234"/>
      <c r="I605" s="234"/>
      <c r="J605" s="234"/>
      <c r="K605" s="234"/>
      <c r="L605" s="234"/>
      <c r="M605" s="234"/>
      <c r="N605" s="234"/>
      <c r="O605" s="234"/>
      <c r="P605" s="234"/>
      <c r="Q605" s="234"/>
      <c r="R605" s="234"/>
      <c r="S605" s="234"/>
      <c r="T605" s="234"/>
      <c r="U605" s="234"/>
      <c r="V605" s="234"/>
      <c r="W605" s="234"/>
      <c r="X605" s="234"/>
      <c r="Y605" s="234"/>
    </row>
    <row r="606" spans="1:25" x14ac:dyDescent="0.25">
      <c r="A606" s="230" t="s">
        <v>537</v>
      </c>
      <c r="B606" s="234"/>
      <c r="C606" s="234"/>
      <c r="D606" s="234"/>
      <c r="E606" s="234"/>
      <c r="F606" s="234"/>
      <c r="G606" s="234"/>
      <c r="H606" s="234"/>
      <c r="I606" s="234"/>
      <c r="J606" s="234"/>
      <c r="K606" s="234"/>
      <c r="L606" s="234"/>
      <c r="M606" s="234"/>
      <c r="N606" s="234"/>
      <c r="O606" s="234"/>
      <c r="P606" s="234"/>
      <c r="Q606" s="234"/>
      <c r="R606" s="234"/>
      <c r="S606" s="234"/>
      <c r="T606" s="234"/>
      <c r="U606" s="234"/>
      <c r="V606" s="234"/>
      <c r="W606" s="234"/>
      <c r="X606" s="234"/>
      <c r="Y606" s="234"/>
    </row>
    <row r="607" spans="1:25" x14ac:dyDescent="0.25">
      <c r="A607" s="230" t="s">
        <v>538</v>
      </c>
      <c r="B607" s="234"/>
      <c r="C607" s="234"/>
      <c r="D607" s="234"/>
      <c r="E607" s="234"/>
      <c r="F607" s="234"/>
      <c r="G607" s="234"/>
      <c r="H607" s="234"/>
      <c r="I607" s="234"/>
      <c r="J607" s="234"/>
      <c r="K607" s="234"/>
      <c r="L607" s="234"/>
      <c r="M607" s="234"/>
      <c r="N607" s="234"/>
      <c r="O607" s="234"/>
      <c r="P607" s="234"/>
      <c r="Q607" s="234"/>
      <c r="R607" s="234"/>
      <c r="S607" s="234"/>
      <c r="T607" s="234"/>
      <c r="U607" s="234"/>
      <c r="V607" s="234"/>
      <c r="W607" s="234"/>
      <c r="X607" s="234"/>
      <c r="Y607" s="234"/>
    </row>
    <row r="608" spans="1:25" x14ac:dyDescent="0.25">
      <c r="A608" s="230" t="s">
        <v>539</v>
      </c>
      <c r="B608" s="234"/>
      <c r="C608" s="234"/>
      <c r="D608" s="234"/>
      <c r="E608" s="234"/>
      <c r="F608" s="234"/>
      <c r="G608" s="234"/>
      <c r="H608" s="234"/>
      <c r="I608" s="234"/>
      <c r="J608" s="234"/>
      <c r="K608" s="234"/>
      <c r="L608" s="234"/>
      <c r="M608" s="234"/>
      <c r="N608" s="234"/>
      <c r="O608" s="234"/>
      <c r="P608" s="234"/>
      <c r="Q608" s="234"/>
      <c r="R608" s="234"/>
      <c r="S608" s="234"/>
      <c r="T608" s="234"/>
      <c r="U608" s="234"/>
      <c r="V608" s="234"/>
      <c r="W608" s="234"/>
      <c r="X608" s="234"/>
      <c r="Y608" s="234"/>
    </row>
    <row r="609" spans="1:25" x14ac:dyDescent="0.25">
      <c r="A609" s="230" t="s">
        <v>540</v>
      </c>
      <c r="B609" s="234"/>
      <c r="C609" s="234"/>
      <c r="D609" s="234"/>
      <c r="E609" s="234"/>
      <c r="F609" s="234"/>
      <c r="G609" s="234"/>
      <c r="H609" s="234"/>
      <c r="I609" s="234"/>
      <c r="J609" s="234"/>
      <c r="K609" s="234"/>
      <c r="L609" s="234"/>
      <c r="M609" s="234"/>
      <c r="N609" s="234"/>
      <c r="O609" s="234"/>
      <c r="P609" s="234"/>
      <c r="Q609" s="234"/>
      <c r="R609" s="234"/>
      <c r="S609" s="234"/>
      <c r="T609" s="234"/>
      <c r="U609" s="234"/>
      <c r="V609" s="234"/>
      <c r="W609" s="234"/>
      <c r="X609" s="234"/>
      <c r="Y609" s="234"/>
    </row>
    <row r="610" spans="1:25" x14ac:dyDescent="0.25">
      <c r="A610" s="230" t="s">
        <v>541</v>
      </c>
      <c r="B610" s="234"/>
      <c r="C610" s="234"/>
      <c r="D610" s="234"/>
      <c r="E610" s="234"/>
      <c r="F610" s="234"/>
      <c r="G610" s="234"/>
      <c r="H610" s="234"/>
      <c r="I610" s="234"/>
      <c r="J610" s="234"/>
      <c r="K610" s="234"/>
      <c r="L610" s="234"/>
      <c r="M610" s="234"/>
      <c r="N610" s="234"/>
      <c r="O610" s="234"/>
      <c r="P610" s="234"/>
      <c r="Q610" s="234"/>
      <c r="R610" s="234"/>
      <c r="S610" s="234"/>
      <c r="T610" s="234"/>
      <c r="U610" s="234"/>
      <c r="V610" s="234"/>
      <c r="W610" s="234"/>
      <c r="X610" s="234"/>
      <c r="Y610" s="234"/>
    </row>
    <row r="611" spans="1:25" x14ac:dyDescent="0.25">
      <c r="A611" s="230" t="s">
        <v>542</v>
      </c>
      <c r="B611" s="234"/>
      <c r="C611" s="234"/>
      <c r="D611" s="234"/>
      <c r="E611" s="234"/>
      <c r="F611" s="234"/>
      <c r="G611" s="234"/>
      <c r="H611" s="234"/>
      <c r="I611" s="234"/>
      <c r="J611" s="234"/>
      <c r="K611" s="234"/>
      <c r="L611" s="234"/>
      <c r="M611" s="234"/>
      <c r="N611" s="234"/>
      <c r="O611" s="234"/>
      <c r="P611" s="234"/>
      <c r="Q611" s="234"/>
      <c r="R611" s="234"/>
      <c r="S611" s="234"/>
      <c r="T611" s="234"/>
      <c r="U611" s="234"/>
      <c r="V611" s="234"/>
      <c r="W611" s="234"/>
      <c r="X611" s="234"/>
      <c r="Y611" s="234"/>
    </row>
    <row r="612" spans="1:25" x14ac:dyDescent="0.25">
      <c r="A612" s="230" t="s">
        <v>543</v>
      </c>
      <c r="B612" s="234"/>
      <c r="C612" s="234"/>
      <c r="D612" s="234"/>
      <c r="E612" s="234"/>
      <c r="F612" s="234"/>
      <c r="G612" s="234"/>
      <c r="H612" s="234"/>
      <c r="I612" s="234"/>
      <c r="J612" s="234"/>
      <c r="K612" s="234"/>
      <c r="L612" s="234"/>
      <c r="M612" s="234"/>
      <c r="N612" s="234"/>
      <c r="O612" s="234"/>
      <c r="P612" s="234"/>
      <c r="Q612" s="234"/>
      <c r="R612" s="234"/>
      <c r="S612" s="234"/>
      <c r="T612" s="234"/>
      <c r="U612" s="234"/>
      <c r="V612" s="234"/>
      <c r="W612" s="234"/>
      <c r="X612" s="234"/>
      <c r="Y612" s="234"/>
    </row>
    <row r="613" spans="1:25" x14ac:dyDescent="0.25">
      <c r="A613" s="230" t="s">
        <v>544</v>
      </c>
      <c r="B613" s="234"/>
      <c r="C613" s="234"/>
      <c r="D613" s="234"/>
      <c r="E613" s="234"/>
      <c r="F613" s="234"/>
      <c r="G613" s="234"/>
      <c r="H613" s="234"/>
      <c r="I613" s="234"/>
      <c r="J613" s="234"/>
      <c r="K613" s="234"/>
      <c r="L613" s="234"/>
      <c r="M613" s="234"/>
      <c r="N613" s="234"/>
      <c r="O613" s="234"/>
      <c r="P613" s="234"/>
      <c r="Q613" s="234"/>
      <c r="R613" s="234"/>
      <c r="S613" s="234"/>
      <c r="T613" s="234"/>
      <c r="U613" s="234"/>
      <c r="V613" s="234"/>
      <c r="W613" s="234"/>
      <c r="X613" s="234"/>
      <c r="Y613" s="234"/>
    </row>
    <row r="614" spans="1:25" ht="13.8" thickBot="1" x14ac:dyDescent="0.3">
      <c r="A614" s="235" t="s">
        <v>545</v>
      </c>
      <c r="B614" s="236"/>
      <c r="C614" s="236"/>
      <c r="D614" s="236"/>
      <c r="E614" s="236"/>
      <c r="F614" s="236"/>
      <c r="G614" s="236"/>
      <c r="H614" s="236"/>
      <c r="I614" s="236"/>
      <c r="J614" s="236"/>
      <c r="K614" s="236"/>
      <c r="L614" s="236"/>
      <c r="M614" s="236"/>
      <c r="N614" s="236"/>
      <c r="O614" s="236"/>
      <c r="P614" s="236"/>
      <c r="Q614" s="236"/>
      <c r="R614" s="236"/>
      <c r="S614" s="236"/>
      <c r="T614" s="236"/>
      <c r="U614" s="236"/>
      <c r="V614" s="236"/>
      <c r="W614" s="236"/>
      <c r="X614" s="236"/>
      <c r="Y614" s="236"/>
    </row>
    <row r="617" spans="1:25" ht="13.8" thickBot="1" x14ac:dyDescent="0.3"/>
    <row r="618" spans="1:25" x14ac:dyDescent="0.25">
      <c r="A618" s="227" t="s">
        <v>546</v>
      </c>
      <c r="B618" s="228"/>
      <c r="C618" s="228" t="s">
        <v>840</v>
      </c>
      <c r="D618" s="228"/>
      <c r="E618" s="228"/>
      <c r="F618" s="228"/>
      <c r="G618" s="228"/>
      <c r="H618" s="228"/>
      <c r="I618" s="228"/>
      <c r="J618" s="228"/>
      <c r="K618" s="228"/>
      <c r="L618" s="228"/>
      <c r="M618" s="228"/>
      <c r="N618" s="228"/>
      <c r="O618" s="228"/>
      <c r="P618" s="228"/>
      <c r="Q618" s="228"/>
      <c r="R618" s="228"/>
      <c r="S618" s="228"/>
      <c r="T618" s="228"/>
      <c r="U618" s="228"/>
      <c r="V618" s="228"/>
      <c r="W618" s="228"/>
      <c r="X618" s="228"/>
      <c r="Y618" s="228"/>
    </row>
    <row r="619" spans="1:25" x14ac:dyDescent="0.25">
      <c r="A619" s="237" t="s">
        <v>547</v>
      </c>
      <c r="B619" s="231"/>
      <c r="C619" s="1516" t="s">
        <v>845</v>
      </c>
      <c r="D619" s="1516"/>
      <c r="E619" s="1516"/>
      <c r="F619" s="1516"/>
      <c r="G619" s="1516"/>
      <c r="H619" s="1516"/>
      <c r="I619" s="1516"/>
      <c r="J619" s="1516"/>
      <c r="K619" s="1516"/>
      <c r="L619" s="1516"/>
      <c r="M619" s="1516"/>
      <c r="N619" s="1516"/>
      <c r="O619" s="1516"/>
      <c r="P619" s="1516"/>
      <c r="Q619" s="1516"/>
      <c r="R619" s="1516"/>
      <c r="S619" s="1516"/>
      <c r="T619" s="1516"/>
      <c r="U619" s="1516"/>
      <c r="V619" s="1516"/>
      <c r="W619" s="1516"/>
      <c r="X619" s="1516"/>
      <c r="Y619" s="1516"/>
    </row>
    <row r="620" spans="1:25" x14ac:dyDescent="0.25">
      <c r="A620" s="230" t="s">
        <v>548</v>
      </c>
      <c r="B620" s="231"/>
      <c r="C620" s="1516" t="s">
        <v>846</v>
      </c>
      <c r="D620" s="1516"/>
      <c r="E620" s="1516"/>
      <c r="F620" s="1516"/>
      <c r="G620" s="1516"/>
      <c r="H620" s="1516"/>
      <c r="I620" s="1516"/>
      <c r="J620" s="1516"/>
      <c r="K620" s="1516"/>
      <c r="L620" s="1516"/>
      <c r="M620" s="1516"/>
      <c r="N620" s="1516"/>
      <c r="O620" s="1516"/>
      <c r="P620" s="1516"/>
      <c r="Q620" s="1516"/>
      <c r="R620" s="1516"/>
      <c r="S620" s="1516"/>
      <c r="T620" s="1516"/>
      <c r="U620" s="1516"/>
      <c r="V620" s="1516"/>
      <c r="W620" s="1516"/>
      <c r="X620" s="1516"/>
      <c r="Y620" s="1516"/>
    </row>
    <row r="621" spans="1:25" x14ac:dyDescent="0.25">
      <c r="A621" s="232" t="s">
        <v>432</v>
      </c>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row>
    <row r="622" spans="1:25" x14ac:dyDescent="0.25">
      <c r="A622" s="230"/>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row>
    <row r="623" spans="1:25" x14ac:dyDescent="0.25">
      <c r="A623" s="230" t="s">
        <v>433</v>
      </c>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row>
    <row r="624" spans="1:25" x14ac:dyDescent="0.25">
      <c r="A624" s="230" t="s">
        <v>434</v>
      </c>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row>
    <row r="625" spans="1:26" x14ac:dyDescent="0.25">
      <c r="A625" s="230"/>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t="s">
        <v>576</v>
      </c>
    </row>
    <row r="626" spans="1:26" x14ac:dyDescent="0.25">
      <c r="A626" s="230" t="s">
        <v>426</v>
      </c>
      <c r="B626" s="231" t="s">
        <v>435</v>
      </c>
      <c r="C626" s="231" t="s">
        <v>436</v>
      </c>
      <c r="D626" s="231" t="s">
        <v>437</v>
      </c>
      <c r="E626" s="231" t="s">
        <v>438</v>
      </c>
      <c r="F626" s="231" t="s">
        <v>439</v>
      </c>
      <c r="G626" s="231" t="s">
        <v>440</v>
      </c>
      <c r="H626" s="231" t="s">
        <v>441</v>
      </c>
      <c r="I626" s="231" t="s">
        <v>442</v>
      </c>
      <c r="J626" s="231" t="s">
        <v>443</v>
      </c>
      <c r="K626" s="231" t="s">
        <v>444</v>
      </c>
      <c r="L626" s="231" t="s">
        <v>445</v>
      </c>
      <c r="M626" s="231" t="s">
        <v>446</v>
      </c>
      <c r="N626" s="231" t="s">
        <v>447</v>
      </c>
      <c r="O626" s="231" t="s">
        <v>448</v>
      </c>
      <c r="P626" s="231" t="s">
        <v>449</v>
      </c>
      <c r="Q626" s="231" t="s">
        <v>450</v>
      </c>
      <c r="R626" s="231" t="s">
        <v>451</v>
      </c>
      <c r="S626" s="231" t="s">
        <v>452</v>
      </c>
      <c r="T626" s="231" t="s">
        <v>453</v>
      </c>
      <c r="U626" s="231" t="s">
        <v>454</v>
      </c>
      <c r="V626" s="231" t="s">
        <v>455</v>
      </c>
      <c r="W626" s="231" t="s">
        <v>456</v>
      </c>
      <c r="X626" s="231" t="s">
        <v>457</v>
      </c>
      <c r="Y626" s="231" t="s">
        <v>458</v>
      </c>
      <c r="Z626">
        <v>2026</v>
      </c>
    </row>
    <row r="627" spans="1:26" x14ac:dyDescent="0.25">
      <c r="A627" s="230" t="s">
        <v>426</v>
      </c>
      <c r="B627" s="231" t="s">
        <v>426</v>
      </c>
      <c r="C627" s="231" t="s">
        <v>426</v>
      </c>
      <c r="D627" s="231" t="s">
        <v>426</v>
      </c>
      <c r="E627" s="231" t="s">
        <v>426</v>
      </c>
      <c r="F627" s="231" t="s">
        <v>426</v>
      </c>
      <c r="G627" s="231" t="s">
        <v>426</v>
      </c>
      <c r="H627" s="231" t="s">
        <v>426</v>
      </c>
      <c r="I627" s="231" t="s">
        <v>426</v>
      </c>
      <c r="J627" s="231" t="s">
        <v>426</v>
      </c>
      <c r="K627" s="231" t="s">
        <v>426</v>
      </c>
      <c r="L627" s="231" t="s">
        <v>426</v>
      </c>
      <c r="M627" s="231" t="s">
        <v>426</v>
      </c>
      <c r="N627" s="231" t="s">
        <v>426</v>
      </c>
      <c r="O627" s="231" t="s">
        <v>426</v>
      </c>
      <c r="P627" s="231" t="s">
        <v>426</v>
      </c>
      <c r="Q627" s="231" t="s">
        <v>426</v>
      </c>
      <c r="R627" s="231" t="s">
        <v>426</v>
      </c>
      <c r="S627" s="231" t="s">
        <v>426</v>
      </c>
      <c r="T627" s="231" t="s">
        <v>426</v>
      </c>
      <c r="U627" s="231" t="s">
        <v>426</v>
      </c>
      <c r="V627" s="231" t="s">
        <v>426</v>
      </c>
      <c r="W627" s="231" t="s">
        <v>426</v>
      </c>
      <c r="X627" s="231" t="s">
        <v>426</v>
      </c>
      <c r="Y627" s="231" t="s">
        <v>426</v>
      </c>
    </row>
    <row r="628" spans="1:26" x14ac:dyDescent="0.25">
      <c r="A628" s="230" t="s">
        <v>459</v>
      </c>
      <c r="B628" s="234">
        <v>15.0220499038696</v>
      </c>
      <c r="C628" s="234">
        <v>15.811363220214799</v>
      </c>
      <c r="D628" s="234">
        <v>16.426000595092798</v>
      </c>
      <c r="E628" s="234">
        <v>16.4650573730469</v>
      </c>
      <c r="F628" s="234">
        <v>15.8399600982666</v>
      </c>
      <c r="G628" s="234">
        <v>15.268068313598601</v>
      </c>
      <c r="H628" s="234">
        <v>14.8466091156006</v>
      </c>
      <c r="I628" s="234">
        <v>14.7514638900757</v>
      </c>
      <c r="J628" s="234">
        <v>14.6550188064575</v>
      </c>
      <c r="K628" s="234">
        <v>14.6146650314331</v>
      </c>
      <c r="L628" s="234">
        <v>14.723385810852101</v>
      </c>
      <c r="M628" s="234">
        <v>14.890528678894</v>
      </c>
      <c r="N628" s="234">
        <v>15.1057291030884</v>
      </c>
      <c r="O628" s="234">
        <v>15.213768959045399</v>
      </c>
      <c r="P628" s="234">
        <v>15.3079509735107</v>
      </c>
      <c r="Q628" s="234">
        <v>15.3113193511963</v>
      </c>
      <c r="R628" s="234">
        <v>15.4291744232178</v>
      </c>
      <c r="S628" s="234">
        <v>15.6326360702515</v>
      </c>
      <c r="T628" s="234">
        <v>15.9024982452393</v>
      </c>
      <c r="U628" s="234">
        <v>16.1096382141113</v>
      </c>
      <c r="V628" s="234">
        <v>16.157627105712901</v>
      </c>
      <c r="W628" s="234">
        <v>16.2051906585693</v>
      </c>
      <c r="X628" s="234">
        <v>16.309419631958001</v>
      </c>
      <c r="Y628" s="234">
        <v>16.471462249755898</v>
      </c>
    </row>
    <row r="629" spans="1:26" x14ac:dyDescent="0.25">
      <c r="A629" s="230" t="s">
        <v>460</v>
      </c>
      <c r="B629" s="234">
        <v>8.3285751342773402</v>
      </c>
      <c r="C629" s="234">
        <v>9.67810153961182</v>
      </c>
      <c r="D629" s="234">
        <v>10.65163230896</v>
      </c>
      <c r="E629" s="234">
        <v>10.5740642547607</v>
      </c>
      <c r="F629" s="234">
        <v>9.9307842254638707</v>
      </c>
      <c r="G629" s="234">
        <v>9.5159215927124006</v>
      </c>
      <c r="H629" s="234">
        <v>9.1046285629272496</v>
      </c>
      <c r="I629" s="234">
        <v>8.8910932540893608</v>
      </c>
      <c r="J629" s="234">
        <v>8.7197055816650408</v>
      </c>
      <c r="K629" s="234">
        <v>8.6297874450683594</v>
      </c>
      <c r="L629" s="234">
        <v>8.6824674606323207</v>
      </c>
      <c r="M629" s="234">
        <v>8.7884712219238299</v>
      </c>
      <c r="N629" s="234">
        <v>8.9080095291137695</v>
      </c>
      <c r="O629" s="234">
        <v>9.0072793960571307</v>
      </c>
      <c r="P629" s="234">
        <v>9.0682640075683594</v>
      </c>
      <c r="Q629" s="234">
        <v>9.0415534973144496</v>
      </c>
      <c r="R629" s="234">
        <v>9.1060371398925799</v>
      </c>
      <c r="S629" s="234">
        <v>9.2553215026855504</v>
      </c>
      <c r="T629" s="234">
        <v>9.4607038497924805</v>
      </c>
      <c r="U629" s="234">
        <v>9.6327857971191406</v>
      </c>
      <c r="V629" s="234">
        <v>9.6968526840209996</v>
      </c>
      <c r="W629" s="234">
        <v>9.7728433609008807</v>
      </c>
      <c r="X629" s="234">
        <v>9.8535881042480504</v>
      </c>
      <c r="Y629" s="234">
        <v>9.9786624908447301</v>
      </c>
    </row>
    <row r="630" spans="1:26" x14ac:dyDescent="0.25">
      <c r="A630" s="230" t="s">
        <v>461</v>
      </c>
      <c r="B630" s="234">
        <v>10.0436496734619</v>
      </c>
      <c r="C630" s="234">
        <v>11.266843795776399</v>
      </c>
      <c r="D630" s="234">
        <v>13.0600233078003</v>
      </c>
      <c r="E630" s="234">
        <v>12.5262851715088</v>
      </c>
      <c r="F630" s="234">
        <v>12.207064628601101</v>
      </c>
      <c r="G630" s="234">
        <v>12.234001159668001</v>
      </c>
      <c r="H630" s="234">
        <v>12.201937675476101</v>
      </c>
      <c r="I630" s="234">
        <v>12.2015285491943</v>
      </c>
      <c r="J630" s="234">
        <v>12.262092590331999</v>
      </c>
      <c r="K630" s="234">
        <v>12.1512393951416</v>
      </c>
      <c r="L630" s="234">
        <v>12.1732091903687</v>
      </c>
      <c r="M630" s="234">
        <v>12.1968584060669</v>
      </c>
      <c r="N630" s="234">
        <v>12.177050590515099</v>
      </c>
      <c r="O630" s="234">
        <v>12.2115392684937</v>
      </c>
      <c r="P630" s="234">
        <v>12.3804988861084</v>
      </c>
      <c r="Q630" s="234">
        <v>12.519121170043899</v>
      </c>
      <c r="R630" s="234">
        <v>12.6585578918457</v>
      </c>
      <c r="S630" s="234">
        <v>12.798875808715801</v>
      </c>
      <c r="T630" s="234">
        <v>12.8676557540894</v>
      </c>
      <c r="U630" s="234">
        <v>13.13560962677</v>
      </c>
      <c r="V630" s="234">
        <v>13.328717231750501</v>
      </c>
      <c r="W630" s="234">
        <v>13.556846618652299</v>
      </c>
      <c r="X630" s="234">
        <v>13.722979545593301</v>
      </c>
      <c r="Y630" s="234">
        <v>13.940701484680201</v>
      </c>
    </row>
    <row r="631" spans="1:26" x14ac:dyDescent="0.25">
      <c r="A631" s="230" t="s">
        <v>462</v>
      </c>
      <c r="B631" s="234">
        <v>8.3698368072509801</v>
      </c>
      <c r="C631" s="234">
        <v>9.5702075958252006</v>
      </c>
      <c r="D631" s="234">
        <v>10.537187576293899</v>
      </c>
      <c r="E631" s="234">
        <v>10.120927810668899</v>
      </c>
      <c r="F631" s="234">
        <v>9.8627185821533203</v>
      </c>
      <c r="G631" s="234">
        <v>9.8399791717529297</v>
      </c>
      <c r="H631" s="234">
        <v>9.8302927017211896</v>
      </c>
      <c r="I631" s="234">
        <v>9.8297405242919904</v>
      </c>
      <c r="J631" s="234">
        <v>9.8252134323120099</v>
      </c>
      <c r="K631" s="234">
        <v>9.7093524932861293</v>
      </c>
      <c r="L631" s="234">
        <v>9.7021694183349592</v>
      </c>
      <c r="M631" s="234">
        <v>9.7383060455322301</v>
      </c>
      <c r="N631" s="234">
        <v>9.80072116851807</v>
      </c>
      <c r="O631" s="234">
        <v>9.7244081497192401</v>
      </c>
      <c r="P631" s="234">
        <v>9.8378829956054705</v>
      </c>
      <c r="Q631" s="234">
        <v>9.8340024948120099</v>
      </c>
      <c r="R631" s="234">
        <v>9.9226865768432599</v>
      </c>
      <c r="S631" s="234">
        <v>10.0213985443115</v>
      </c>
      <c r="T631" s="234">
        <v>10.078977584838899</v>
      </c>
      <c r="U631" s="234">
        <v>10.280327796936</v>
      </c>
      <c r="V631" s="234">
        <v>10.3802833557129</v>
      </c>
      <c r="W631" s="234">
        <v>10.4678192138672</v>
      </c>
      <c r="X631" s="234">
        <v>10.5482635498047</v>
      </c>
      <c r="Y631" s="234">
        <v>10.6469841003418</v>
      </c>
    </row>
    <row r="632" spans="1:26" x14ac:dyDescent="0.25">
      <c r="A632" s="230" t="s">
        <v>463</v>
      </c>
      <c r="B632" s="234">
        <v>12.976583480835</v>
      </c>
      <c r="C632" s="234">
        <v>14.582922935485801</v>
      </c>
      <c r="D632" s="234">
        <v>17.570188522338899</v>
      </c>
      <c r="E632" s="234">
        <v>17.073205947876001</v>
      </c>
      <c r="F632" s="234">
        <v>16.564285278320298</v>
      </c>
      <c r="G632" s="234">
        <v>16.581449508666999</v>
      </c>
      <c r="H632" s="234">
        <v>16.4250888824463</v>
      </c>
      <c r="I632" s="234">
        <v>16.346086502075199</v>
      </c>
      <c r="J632" s="234">
        <v>16.4532871246338</v>
      </c>
      <c r="K632" s="234">
        <v>16.288703918456999</v>
      </c>
      <c r="L632" s="234">
        <v>16.298521041870099</v>
      </c>
      <c r="M632" s="234">
        <v>16.236286163330099</v>
      </c>
      <c r="N632" s="234">
        <v>15.99489402771</v>
      </c>
      <c r="O632" s="234">
        <v>16.1197624206543</v>
      </c>
      <c r="P632" s="234">
        <v>16.286623001098601</v>
      </c>
      <c r="Q632" s="234">
        <v>16.56103515625</v>
      </c>
      <c r="R632" s="234">
        <v>16.690963745117202</v>
      </c>
      <c r="S632" s="234">
        <v>16.804660797119102</v>
      </c>
      <c r="T632" s="234">
        <v>16.7820129394531</v>
      </c>
      <c r="U632" s="234">
        <v>17.028240203857401</v>
      </c>
      <c r="V632" s="234">
        <v>17.2251377105713</v>
      </c>
      <c r="W632" s="234">
        <v>17.515983581543001</v>
      </c>
      <c r="X632" s="234">
        <v>17.670423507690401</v>
      </c>
      <c r="Y632" s="234">
        <v>17.9113578796387</v>
      </c>
    </row>
    <row r="633" spans="1:26" x14ac:dyDescent="0.25">
      <c r="A633" s="230" t="s">
        <v>464</v>
      </c>
      <c r="B633" s="234">
        <v>7.8179483413696298</v>
      </c>
      <c r="C633" s="234">
        <v>9.2187824249267596</v>
      </c>
      <c r="D633" s="234">
        <v>9.9373655319213903</v>
      </c>
      <c r="E633" s="234">
        <v>10.036292076110801</v>
      </c>
      <c r="F633" s="234">
        <v>9.3139858245849592</v>
      </c>
      <c r="G633" s="234">
        <v>8.7959203720092791</v>
      </c>
      <c r="H633" s="234">
        <v>8.3035001754760707</v>
      </c>
      <c r="I633" s="234">
        <v>8.0470056533813494</v>
      </c>
      <c r="J633" s="234">
        <v>7.8287873268127397</v>
      </c>
      <c r="K633" s="234">
        <v>7.7531881332397496</v>
      </c>
      <c r="L633" s="234">
        <v>7.8190288543701199</v>
      </c>
      <c r="M633" s="234">
        <v>7.9488449096679696</v>
      </c>
      <c r="N633" s="234">
        <v>8.1063919067382795</v>
      </c>
      <c r="O633" s="234">
        <v>8.2242641448974592</v>
      </c>
      <c r="P633" s="234">
        <v>8.2648267745971697</v>
      </c>
      <c r="Q633" s="234">
        <v>8.2073183059692401</v>
      </c>
      <c r="R633" s="234">
        <v>8.2647809982299805</v>
      </c>
      <c r="S633" s="234">
        <v>8.4262142181396502</v>
      </c>
      <c r="T633" s="234">
        <v>8.6721630096435494</v>
      </c>
      <c r="U633" s="234">
        <v>8.83197021484375</v>
      </c>
      <c r="V633" s="234">
        <v>8.8790025711059606</v>
      </c>
      <c r="W633" s="234">
        <v>8.93493747711182</v>
      </c>
      <c r="X633" s="234">
        <v>9.0109558105468803</v>
      </c>
      <c r="Y633" s="234">
        <v>9.1305398941040004</v>
      </c>
    </row>
    <row r="634" spans="1:26" x14ac:dyDescent="0.25">
      <c r="A634" s="230" t="s">
        <v>465</v>
      </c>
      <c r="B634" s="234">
        <v>25.222642898559599</v>
      </c>
      <c r="C634" s="234">
        <v>25.415189743041999</v>
      </c>
      <c r="D634" s="234">
        <v>25.1915378570557</v>
      </c>
      <c r="E634" s="234">
        <v>25.148117065429702</v>
      </c>
      <c r="F634" s="234">
        <v>24.4542636871338</v>
      </c>
      <c r="G634" s="234">
        <v>23.578901290893601</v>
      </c>
      <c r="H634" s="234">
        <v>23.091381072998001</v>
      </c>
      <c r="I634" s="234">
        <v>23.1348171234131</v>
      </c>
      <c r="J634" s="234">
        <v>23.120912551879901</v>
      </c>
      <c r="K634" s="234">
        <v>23.118898391723601</v>
      </c>
      <c r="L634" s="234">
        <v>23.2529602050781</v>
      </c>
      <c r="M634" s="234">
        <v>23.4250183105469</v>
      </c>
      <c r="N634" s="234">
        <v>23.684103012085</v>
      </c>
      <c r="O634" s="234">
        <v>23.7079162597656</v>
      </c>
      <c r="P634" s="234">
        <v>23.7613220214844</v>
      </c>
      <c r="Q634" s="234">
        <v>23.722099304199201</v>
      </c>
      <c r="R634" s="234">
        <v>23.8309440612793</v>
      </c>
      <c r="S634" s="234">
        <v>24.013486862182599</v>
      </c>
      <c r="T634" s="234">
        <v>24.267650604248001</v>
      </c>
      <c r="U634" s="234">
        <v>24.4126377105713</v>
      </c>
      <c r="V634" s="234">
        <v>24.3365364074707</v>
      </c>
      <c r="W634" s="234">
        <v>24.2477512359619</v>
      </c>
      <c r="X634" s="234">
        <v>24.2885627746582</v>
      </c>
      <c r="Y634" s="234">
        <v>24.396659851074201</v>
      </c>
    </row>
    <row r="635" spans="1:26" x14ac:dyDescent="0.25">
      <c r="A635" s="230" t="s">
        <v>426</v>
      </c>
      <c r="B635" s="234" t="s">
        <v>426</v>
      </c>
      <c r="C635" s="234" t="s">
        <v>426</v>
      </c>
      <c r="D635" s="234" t="s">
        <v>426</v>
      </c>
      <c r="E635" s="234" t="s">
        <v>426</v>
      </c>
      <c r="F635" s="234" t="s">
        <v>426</v>
      </c>
      <c r="G635" s="234" t="s">
        <v>426</v>
      </c>
      <c r="H635" s="234" t="s">
        <v>426</v>
      </c>
      <c r="I635" s="234" t="s">
        <v>426</v>
      </c>
      <c r="J635" s="234" t="s">
        <v>426</v>
      </c>
      <c r="K635" s="234" t="s">
        <v>426</v>
      </c>
      <c r="L635" s="234" t="s">
        <v>426</v>
      </c>
      <c r="M635" s="234" t="s">
        <v>426</v>
      </c>
      <c r="N635" s="234" t="s">
        <v>426</v>
      </c>
      <c r="O635" s="234" t="s">
        <v>426</v>
      </c>
      <c r="P635" s="234" t="s">
        <v>426</v>
      </c>
      <c r="Q635" s="234" t="s">
        <v>426</v>
      </c>
      <c r="R635" s="234" t="s">
        <v>426</v>
      </c>
      <c r="S635" s="234" t="s">
        <v>426</v>
      </c>
      <c r="T635" s="234" t="s">
        <v>426</v>
      </c>
      <c r="U635" s="234" t="s">
        <v>426</v>
      </c>
      <c r="V635" s="234" t="s">
        <v>426</v>
      </c>
      <c r="W635" s="234" t="s">
        <v>426</v>
      </c>
      <c r="X635" s="234" t="s">
        <v>426</v>
      </c>
      <c r="Y635" s="234" t="s">
        <v>426</v>
      </c>
    </row>
    <row r="636" spans="1:26" x14ac:dyDescent="0.25">
      <c r="A636" s="230" t="s">
        <v>466</v>
      </c>
      <c r="B636" s="234">
        <v>15.064169883728001</v>
      </c>
      <c r="C636" s="234">
        <v>15.629265785217299</v>
      </c>
      <c r="D636" s="234">
        <v>15.835695266723601</v>
      </c>
      <c r="E636" s="234">
        <v>15.918652534484901</v>
      </c>
      <c r="F636" s="234">
        <v>15.2065124511719</v>
      </c>
      <c r="G636" s="234">
        <v>14.526217460632299</v>
      </c>
      <c r="H636" s="234">
        <v>14.119109153747599</v>
      </c>
      <c r="I636" s="234">
        <v>14.0872592926025</v>
      </c>
      <c r="J636" s="234">
        <v>14.0534925460815</v>
      </c>
      <c r="K636" s="234">
        <v>14.108097076416</v>
      </c>
      <c r="L636" s="234">
        <v>14.338217735290501</v>
      </c>
      <c r="M636" s="234">
        <v>14.584888458251999</v>
      </c>
      <c r="N636" s="234">
        <v>14.9309749603271</v>
      </c>
      <c r="O636" s="234">
        <v>15.096228599548301</v>
      </c>
      <c r="P636" s="234">
        <v>15.2413949966431</v>
      </c>
      <c r="Q636" s="234">
        <v>15.255002975463899</v>
      </c>
      <c r="R636" s="234">
        <v>15.399823188781699</v>
      </c>
      <c r="S636" s="234">
        <v>15.6329202651978</v>
      </c>
      <c r="T636" s="234">
        <v>15.9477081298828</v>
      </c>
      <c r="U636" s="234">
        <v>16.179660797119102</v>
      </c>
      <c r="V636" s="234">
        <v>16.227045059204102</v>
      </c>
      <c r="W636" s="234">
        <v>16.249193191528299</v>
      </c>
      <c r="X636" s="234">
        <v>16.367641448974599</v>
      </c>
      <c r="Y636" s="234">
        <v>16.5326118469238</v>
      </c>
    </row>
    <row r="637" spans="1:26" x14ac:dyDescent="0.25">
      <c r="A637" s="230" t="s">
        <v>460</v>
      </c>
      <c r="B637" s="234">
        <v>6.5697088241577104</v>
      </c>
      <c r="C637" s="234">
        <v>7.9157042503356898</v>
      </c>
      <c r="D637" s="234">
        <v>8.3734045028686506</v>
      </c>
      <c r="E637" s="234">
        <v>8.3685989379882795</v>
      </c>
      <c r="F637" s="234">
        <v>7.9054894447326696</v>
      </c>
      <c r="G637" s="234">
        <v>7.6067800521850604</v>
      </c>
      <c r="H637" s="234">
        <v>7.3189792633056596</v>
      </c>
      <c r="I637" s="234">
        <v>7.2159371376037598</v>
      </c>
      <c r="J637" s="234">
        <v>7.1498117446899396</v>
      </c>
      <c r="K637" s="234">
        <v>7.1872353553771999</v>
      </c>
      <c r="L637" s="234">
        <v>7.2290387153625497</v>
      </c>
      <c r="M637" s="234">
        <v>7.30631303787231</v>
      </c>
      <c r="N637" s="234">
        <v>7.4108529090881303</v>
      </c>
      <c r="O637" s="234">
        <v>7.4683656692504901</v>
      </c>
      <c r="P637" s="234">
        <v>7.4930505752563503</v>
      </c>
      <c r="Q637" s="234">
        <v>7.43192434310913</v>
      </c>
      <c r="R637" s="234">
        <v>7.4779849052429199</v>
      </c>
      <c r="S637" s="234">
        <v>7.60019826889038</v>
      </c>
      <c r="T637" s="234">
        <v>7.7867598533630398</v>
      </c>
      <c r="U637" s="234">
        <v>7.91162109375</v>
      </c>
      <c r="V637" s="234">
        <v>7.9430484771728498</v>
      </c>
      <c r="W637" s="234">
        <v>7.9890594482421902</v>
      </c>
      <c r="X637" s="234">
        <v>8.0587644577026403</v>
      </c>
      <c r="Y637" s="234">
        <v>8.1779403686523402</v>
      </c>
    </row>
    <row r="638" spans="1:26" x14ac:dyDescent="0.25">
      <c r="A638" s="230" t="s">
        <v>461</v>
      </c>
      <c r="B638" s="234">
        <v>6.9482707977294904</v>
      </c>
      <c r="C638" s="234">
        <v>8.0266513824462908</v>
      </c>
      <c r="D638" s="234">
        <v>8.9197740554809606</v>
      </c>
      <c r="E638" s="234">
        <v>8.6532411575317401</v>
      </c>
      <c r="F638" s="234">
        <v>8.7558631896972692</v>
      </c>
      <c r="G638" s="234">
        <v>8.8328323364257795</v>
      </c>
      <c r="H638" s="234">
        <v>8.8167963027954102</v>
      </c>
      <c r="I638" s="234">
        <v>8.8182945251464808</v>
      </c>
      <c r="J638" s="234">
        <v>8.8873138427734393</v>
      </c>
      <c r="K638" s="234">
        <v>8.9125509262084996</v>
      </c>
      <c r="L638" s="234">
        <v>8.9192247390747106</v>
      </c>
      <c r="M638" s="234">
        <v>8.8803482055664098</v>
      </c>
      <c r="N638" s="234">
        <v>8.8586578369140607</v>
      </c>
      <c r="O638" s="234">
        <v>8.7692289352416992</v>
      </c>
      <c r="P638" s="234">
        <v>8.7682600021362305</v>
      </c>
      <c r="Q638" s="234">
        <v>8.7373514175415004</v>
      </c>
      <c r="R638" s="234">
        <v>8.7862501144409197</v>
      </c>
      <c r="S638" s="234">
        <v>8.8491783142089808</v>
      </c>
      <c r="T638" s="234">
        <v>8.8908815383911097</v>
      </c>
      <c r="U638" s="234">
        <v>9.0514831542968803</v>
      </c>
      <c r="V638" s="234">
        <v>9.1475715637206996</v>
      </c>
      <c r="W638" s="234">
        <v>9.2663307189941406</v>
      </c>
      <c r="X638" s="234">
        <v>9.3906812667846697</v>
      </c>
      <c r="Y638" s="234">
        <v>9.6513500213622994</v>
      </c>
    </row>
    <row r="639" spans="1:26" x14ac:dyDescent="0.25">
      <c r="A639" s="230" t="s">
        <v>462</v>
      </c>
      <c r="B639" s="234">
        <v>6.1493649482727104</v>
      </c>
      <c r="C639" s="234">
        <v>7.03082323074341</v>
      </c>
      <c r="D639" s="234">
        <v>7.7272830009460396</v>
      </c>
      <c r="E639" s="234">
        <v>7.4210705757141104</v>
      </c>
      <c r="F639" s="234">
        <v>7.6805524826049796</v>
      </c>
      <c r="G639" s="234">
        <v>7.8215904235839799</v>
      </c>
      <c r="H639" s="234">
        <v>7.8266153335571298</v>
      </c>
      <c r="I639" s="234">
        <v>7.8668313026428196</v>
      </c>
      <c r="J639" s="234">
        <v>7.9658513069152797</v>
      </c>
      <c r="K639" s="234">
        <v>8.0328092575073207</v>
      </c>
      <c r="L639" s="234">
        <v>8.0569534301757795</v>
      </c>
      <c r="M639" s="234">
        <v>8.0234899520874006</v>
      </c>
      <c r="N639" s="234">
        <v>8.0314903259277308</v>
      </c>
      <c r="O639" s="234">
        <v>7.91062688827515</v>
      </c>
      <c r="P639" s="234">
        <v>7.8695487976074201</v>
      </c>
      <c r="Q639" s="234">
        <v>7.7933855056762704</v>
      </c>
      <c r="R639" s="234">
        <v>7.8344025611877397</v>
      </c>
      <c r="S639" s="234">
        <v>7.89571285247803</v>
      </c>
      <c r="T639" s="234">
        <v>7.9562859535217303</v>
      </c>
      <c r="U639" s="234">
        <v>8.1191616058349592</v>
      </c>
      <c r="V639" s="234">
        <v>8.2043952941894496</v>
      </c>
      <c r="W639" s="234">
        <v>8.3111848831176793</v>
      </c>
      <c r="X639" s="234">
        <v>8.4434480667114293</v>
      </c>
      <c r="Y639" s="234">
        <v>8.7515277862548793</v>
      </c>
    </row>
    <row r="640" spans="1:26" x14ac:dyDescent="0.25">
      <c r="A640" s="230" t="s">
        <v>467</v>
      </c>
      <c r="B640" s="234">
        <v>4.2683343887329102</v>
      </c>
      <c r="C640" s="234">
        <v>4.9646224975585902</v>
      </c>
      <c r="D640" s="234">
        <v>5.0606441497802699</v>
      </c>
      <c r="E640" s="234">
        <v>5.3499693870544398</v>
      </c>
      <c r="F640" s="234">
        <v>5.6657009124755904</v>
      </c>
      <c r="G640" s="234">
        <v>5.6566004753112802</v>
      </c>
      <c r="H640" s="234">
        <v>5.6533966064453098</v>
      </c>
      <c r="I640" s="234">
        <v>5.65053033828735</v>
      </c>
      <c r="J640" s="234">
        <v>5.6487455368042001</v>
      </c>
      <c r="K640" s="234">
        <v>5.6555466651916504</v>
      </c>
      <c r="L640" s="234">
        <v>5.6602473258972203</v>
      </c>
      <c r="M640" s="234">
        <v>5.6679368019104004</v>
      </c>
      <c r="N640" s="234">
        <v>5.6729874610900897</v>
      </c>
      <c r="O640" s="234">
        <v>5.6782984733581499</v>
      </c>
      <c r="P640" s="234">
        <v>5.7556295394897496</v>
      </c>
      <c r="Q640" s="234">
        <v>5.8296666145324698</v>
      </c>
      <c r="R640" s="234">
        <v>5.9058866500854501</v>
      </c>
      <c r="S640" s="234">
        <v>5.9829258918762198</v>
      </c>
      <c r="T640" s="234">
        <v>6.0580596923828098</v>
      </c>
      <c r="U640" s="234">
        <v>6.1354246139526403</v>
      </c>
      <c r="V640" s="234">
        <v>6.2122497558593803</v>
      </c>
      <c r="W640" s="234">
        <v>6.2891340255737296</v>
      </c>
      <c r="X640" s="234">
        <v>6.3645572662353498</v>
      </c>
      <c r="Y640" s="234">
        <v>6.4413762092590297</v>
      </c>
    </row>
    <row r="641" spans="1:26" x14ac:dyDescent="0.25">
      <c r="A641" s="252" t="s">
        <v>464</v>
      </c>
      <c r="B641" s="234">
        <v>6.6170339584350604</v>
      </c>
      <c r="C641" s="234">
        <v>8.0769119262695295</v>
      </c>
      <c r="D641" s="234">
        <v>8.4473829269409197</v>
      </c>
      <c r="E641" s="234">
        <v>8.5046024322509801</v>
      </c>
      <c r="F641" s="234">
        <v>7.8886041641235396</v>
      </c>
      <c r="G641" s="234">
        <v>7.4893965721130398</v>
      </c>
      <c r="H641" s="234">
        <v>7.1298856735229501</v>
      </c>
      <c r="I641" s="234">
        <v>7.0003471374511701</v>
      </c>
      <c r="J641" s="234">
        <v>6.9035739898681596</v>
      </c>
      <c r="K641" s="234">
        <v>6.94567918777466</v>
      </c>
      <c r="L641" s="234">
        <v>6.9973711967468297</v>
      </c>
      <c r="M641" s="234">
        <v>7.1022868156433097</v>
      </c>
      <c r="N641" s="234">
        <v>7.2368607521057102</v>
      </c>
      <c r="O641" s="234">
        <v>7.3275256156921396</v>
      </c>
      <c r="P641" s="234">
        <v>7.3574790954589799</v>
      </c>
      <c r="Q641" s="234">
        <v>7.2871475219726598</v>
      </c>
      <c r="R641" s="234">
        <v>7.3330197334289604</v>
      </c>
      <c r="S641" s="234">
        <v>7.4703903198242196</v>
      </c>
      <c r="T641" s="234">
        <v>7.6915035247802699</v>
      </c>
      <c r="U641" s="234">
        <v>7.8109488487243697</v>
      </c>
      <c r="V641" s="234">
        <v>7.8279361724853498</v>
      </c>
      <c r="W641" s="234">
        <v>7.8590941429138201</v>
      </c>
      <c r="X641" s="234">
        <v>7.9183402061462402</v>
      </c>
      <c r="Y641" s="234">
        <v>8.0110416412353498</v>
      </c>
      <c r="Z641" s="260">
        <f>Y641+($AI$471-$Y$641)/10</f>
        <v>8.0591226890564176</v>
      </c>
    </row>
    <row r="642" spans="1:26" x14ac:dyDescent="0.25">
      <c r="A642" s="253" t="s">
        <v>465</v>
      </c>
      <c r="B642" s="234">
        <v>23.353584289550799</v>
      </c>
      <c r="C642" s="234">
        <v>23.2374382019043</v>
      </c>
      <c r="D642" s="234">
        <v>23.0424194335938</v>
      </c>
      <c r="E642" s="234">
        <v>22.939121246337901</v>
      </c>
      <c r="F642" s="234">
        <v>21.907506942748999</v>
      </c>
      <c r="G642" s="234">
        <v>20.807579040527301</v>
      </c>
      <c r="H642" s="234">
        <v>20.2319431304932</v>
      </c>
      <c r="I642" s="234">
        <v>20.2009677886963</v>
      </c>
      <c r="J642" s="234">
        <v>20.132976531982401</v>
      </c>
      <c r="K642" s="234">
        <v>20.128959655761701</v>
      </c>
      <c r="L642" s="234">
        <v>20.445728302001999</v>
      </c>
      <c r="M642" s="234">
        <v>20.757715225219702</v>
      </c>
      <c r="N642" s="234">
        <v>21.231256484985401</v>
      </c>
      <c r="O642" s="234">
        <v>21.404373168945298</v>
      </c>
      <c r="P642" s="234">
        <v>21.571121215820298</v>
      </c>
      <c r="Q642" s="234">
        <v>21.578863143920898</v>
      </c>
      <c r="R642" s="234">
        <v>21.739751815795898</v>
      </c>
      <c r="S642" s="234">
        <v>21.989313125610401</v>
      </c>
      <c r="T642" s="234">
        <v>22.322486877441399</v>
      </c>
      <c r="U642" s="234">
        <v>22.5522785186768</v>
      </c>
      <c r="V642" s="234">
        <v>22.5369548797607</v>
      </c>
      <c r="W642" s="234">
        <v>22.469936370849599</v>
      </c>
      <c r="X642" s="234">
        <v>22.555665969848601</v>
      </c>
      <c r="Y642" s="234">
        <v>22.682601928710898</v>
      </c>
      <c r="Z642" s="262">
        <f>Y642+($AI$472-$Y$642)/10</f>
        <v>22.586698480675594</v>
      </c>
    </row>
    <row r="643" spans="1:26" x14ac:dyDescent="0.25">
      <c r="A643" s="230" t="s">
        <v>426</v>
      </c>
      <c r="B643" s="234" t="s">
        <v>426</v>
      </c>
      <c r="C643" s="234" t="s">
        <v>426</v>
      </c>
      <c r="D643" s="234" t="s">
        <v>426</v>
      </c>
      <c r="E643" s="234" t="s">
        <v>426</v>
      </c>
      <c r="F643" s="234" t="s">
        <v>426</v>
      </c>
      <c r="G643" s="234" t="s">
        <v>426</v>
      </c>
      <c r="H643" s="234" t="s">
        <v>426</v>
      </c>
      <c r="I643" s="234" t="s">
        <v>426</v>
      </c>
      <c r="J643" s="234" t="s">
        <v>426</v>
      </c>
      <c r="K643" s="234" t="s">
        <v>426</v>
      </c>
      <c r="L643" s="234" t="s">
        <v>426</v>
      </c>
      <c r="M643" s="234" t="s">
        <v>426</v>
      </c>
      <c r="N643" s="234" t="s">
        <v>426</v>
      </c>
      <c r="O643" s="234" t="s">
        <v>426</v>
      </c>
      <c r="P643" s="234" t="s">
        <v>426</v>
      </c>
      <c r="Q643" s="234" t="s">
        <v>426</v>
      </c>
      <c r="R643" s="234" t="s">
        <v>426</v>
      </c>
      <c r="S643" s="234" t="s">
        <v>426</v>
      </c>
      <c r="T643" s="234" t="s">
        <v>426</v>
      </c>
      <c r="U643" s="234" t="s">
        <v>426</v>
      </c>
      <c r="V643" s="234" t="s">
        <v>426</v>
      </c>
      <c r="W643" s="234" t="s">
        <v>426</v>
      </c>
      <c r="X643" s="234" t="s">
        <v>426</v>
      </c>
      <c r="Y643" s="234" t="s">
        <v>426</v>
      </c>
    </row>
    <row r="644" spans="1:26" x14ac:dyDescent="0.25">
      <c r="A644" s="230" t="s">
        <v>468</v>
      </c>
      <c r="B644" s="234">
        <v>6.3922061920165998</v>
      </c>
      <c r="C644" s="234">
        <v>7.7839651107788104</v>
      </c>
      <c r="D644" s="234">
        <v>8.7313165664672905</v>
      </c>
      <c r="E644" s="234">
        <v>8.5384979248046893</v>
      </c>
      <c r="F644" s="234">
        <v>8.1135501861572301</v>
      </c>
      <c r="G644" s="234">
        <v>7.8849329948425302</v>
      </c>
      <c r="H644" s="234">
        <v>7.7104330062866202</v>
      </c>
      <c r="I644" s="234">
        <v>7.6478543281555202</v>
      </c>
      <c r="J644" s="234">
        <v>7.5814275741577104</v>
      </c>
      <c r="K644" s="234">
        <v>7.5381202697753897</v>
      </c>
      <c r="L644" s="234">
        <v>7.5780467987060502</v>
      </c>
      <c r="M644" s="234">
        <v>7.6416735649108896</v>
      </c>
      <c r="N644" s="234">
        <v>7.7132387161254901</v>
      </c>
      <c r="O644" s="234">
        <v>7.8013410568237296</v>
      </c>
      <c r="P644" s="234">
        <v>7.8755207061767596</v>
      </c>
      <c r="Q644" s="234">
        <v>7.9062352180481001</v>
      </c>
      <c r="R644" s="234">
        <v>7.9948873519897496</v>
      </c>
      <c r="S644" s="234">
        <v>8.1163215637206996</v>
      </c>
      <c r="T644" s="234">
        <v>8.2487821578979492</v>
      </c>
      <c r="U644" s="234">
        <v>8.4059162139892596</v>
      </c>
      <c r="V644" s="234">
        <v>8.4608268737793004</v>
      </c>
      <c r="W644" s="234">
        <v>8.5343141555786097</v>
      </c>
      <c r="X644" s="234">
        <v>8.6114902496337908</v>
      </c>
      <c r="Y644" s="234">
        <v>8.7719221115112305</v>
      </c>
    </row>
    <row r="645" spans="1:26" x14ac:dyDescent="0.25">
      <c r="A645" s="230" t="s">
        <v>469</v>
      </c>
      <c r="B645" s="234">
        <v>4.9298634529113796</v>
      </c>
      <c r="C645" s="234">
        <v>6.4939708709716797</v>
      </c>
      <c r="D645" s="234">
        <v>7.4592781066894496</v>
      </c>
      <c r="E645" s="234">
        <v>7.2447438240051296</v>
      </c>
      <c r="F645" s="234">
        <v>6.84521436691284</v>
      </c>
      <c r="G645" s="234">
        <v>6.6732459068298304</v>
      </c>
      <c r="H645" s="234">
        <v>6.51676225662231</v>
      </c>
      <c r="I645" s="234">
        <v>6.4484291076660201</v>
      </c>
      <c r="J645" s="234">
        <v>6.3966798782348597</v>
      </c>
      <c r="K645" s="234">
        <v>6.3644347190856898</v>
      </c>
      <c r="L645" s="234">
        <v>6.3782010078430202</v>
      </c>
      <c r="M645" s="234">
        <v>6.3993859291076696</v>
      </c>
      <c r="N645" s="234">
        <v>6.4120607376098597</v>
      </c>
      <c r="O645" s="234">
        <v>6.4825568199157697</v>
      </c>
      <c r="P645" s="234">
        <v>6.5450062751770002</v>
      </c>
      <c r="Q645" s="234">
        <v>6.5706739425659197</v>
      </c>
      <c r="R645" s="234">
        <v>6.6389350891113299</v>
      </c>
      <c r="S645" s="234">
        <v>6.7355680465698198</v>
      </c>
      <c r="T645" s="234">
        <v>6.8303794860839799</v>
      </c>
      <c r="U645" s="234">
        <v>6.9826822280883798</v>
      </c>
      <c r="V645" s="234">
        <v>7.0502834320068404</v>
      </c>
      <c r="W645" s="234">
        <v>7.1402068138122603</v>
      </c>
      <c r="X645" s="234">
        <v>7.2155933380126998</v>
      </c>
      <c r="Y645" s="234">
        <v>7.3827753067016602</v>
      </c>
    </row>
    <row r="646" spans="1:26" x14ac:dyDescent="0.25">
      <c r="A646" s="230" t="s">
        <v>461</v>
      </c>
      <c r="B646" s="234">
        <v>6.5291514396667498</v>
      </c>
      <c r="C646" s="234">
        <v>8.2850980758666992</v>
      </c>
      <c r="D646" s="234">
        <v>9.8001213073730504</v>
      </c>
      <c r="E646" s="234">
        <v>9.3321943283081108</v>
      </c>
      <c r="F646" s="234">
        <v>9.0226831436157209</v>
      </c>
      <c r="G646" s="234">
        <v>9.0089912414550799</v>
      </c>
      <c r="H646" s="234">
        <v>8.9738616943359393</v>
      </c>
      <c r="I646" s="234">
        <v>8.8902368545532209</v>
      </c>
      <c r="J646" s="234">
        <v>8.9552536010742205</v>
      </c>
      <c r="K646" s="234">
        <v>8.9079008102416992</v>
      </c>
      <c r="L646" s="234">
        <v>8.89520359039307</v>
      </c>
      <c r="M646" s="234">
        <v>8.8468990325927699</v>
      </c>
      <c r="N646" s="234">
        <v>8.7482786178588903</v>
      </c>
      <c r="O646" s="234">
        <v>8.7885036468505895</v>
      </c>
      <c r="P646" s="234">
        <v>8.8624305725097692</v>
      </c>
      <c r="Q646" s="234">
        <v>8.9473028182983398</v>
      </c>
      <c r="R646" s="234">
        <v>9.0262336730956996</v>
      </c>
      <c r="S646" s="234">
        <v>9.1055555343627894</v>
      </c>
      <c r="T646" s="234">
        <v>9.0882310867309606</v>
      </c>
      <c r="U646" s="234">
        <v>9.3312444686889595</v>
      </c>
      <c r="V646" s="234">
        <v>9.4788913726806605</v>
      </c>
      <c r="W646" s="234">
        <v>9.6528720855712908</v>
      </c>
      <c r="X646" s="234">
        <v>9.7811794281005895</v>
      </c>
      <c r="Y646" s="234">
        <v>10.0579071044922</v>
      </c>
    </row>
    <row r="647" spans="1:26" x14ac:dyDescent="0.25">
      <c r="A647" s="230" t="s">
        <v>462</v>
      </c>
      <c r="B647" s="234">
        <v>6.3323707580566397</v>
      </c>
      <c r="C647" s="234">
        <v>7.2384452819824201</v>
      </c>
      <c r="D647" s="234">
        <v>7.96527099609375</v>
      </c>
      <c r="E647" s="234">
        <v>7.6527161598205602</v>
      </c>
      <c r="F647" s="234">
        <v>7.9603652954101598</v>
      </c>
      <c r="G647" s="234">
        <v>8.0741472244262695</v>
      </c>
      <c r="H647" s="234">
        <v>8.2605934143066406</v>
      </c>
      <c r="I647" s="234">
        <v>8.3100318908691406</v>
      </c>
      <c r="J647" s="234">
        <v>8.4493141174316406</v>
      </c>
      <c r="K647" s="234">
        <v>8.8189620971679705</v>
      </c>
      <c r="L647" s="234">
        <v>8.8862495422363299</v>
      </c>
      <c r="M647" s="234">
        <v>8.8418188095092791</v>
      </c>
      <c r="N647" s="234">
        <v>8.8337812423706108</v>
      </c>
      <c r="O647" s="234">
        <v>8.6748180389404297</v>
      </c>
      <c r="P647" s="234">
        <v>8.5509977340698207</v>
      </c>
      <c r="Q647" s="234">
        <v>8.4207677841186506</v>
      </c>
      <c r="R647" s="234">
        <v>8.4376201629638707</v>
      </c>
      <c r="S647" s="234">
        <v>8.4841489791870099</v>
      </c>
      <c r="T647" s="234">
        <v>8.5509052276611293</v>
      </c>
      <c r="U647" s="234">
        <v>8.6700105667114293</v>
      </c>
      <c r="V647" s="234">
        <v>8.74859523773193</v>
      </c>
      <c r="W647" s="234">
        <v>8.8432664871215803</v>
      </c>
      <c r="X647" s="234">
        <v>9.0058250427246094</v>
      </c>
      <c r="Y647" s="234">
        <v>9.3929624557495099</v>
      </c>
    </row>
    <row r="648" spans="1:26" x14ac:dyDescent="0.25">
      <c r="A648" s="230" t="s">
        <v>463</v>
      </c>
      <c r="B648" s="234">
        <v>8.4833917617797905</v>
      </c>
      <c r="C648" s="234">
        <v>12.566796302795399</v>
      </c>
      <c r="D648" s="234">
        <v>15.1471004486084</v>
      </c>
      <c r="E648" s="234">
        <v>13.237501144409199</v>
      </c>
      <c r="F648" s="234">
        <v>12.375891685485801</v>
      </c>
      <c r="G648" s="234">
        <v>12.379506111145</v>
      </c>
      <c r="H648" s="234">
        <v>12.2225999832153</v>
      </c>
      <c r="I648" s="234">
        <v>12.080751419067401</v>
      </c>
      <c r="J648" s="234">
        <v>12.212836265564</v>
      </c>
      <c r="K648" s="234">
        <v>12.0270395278931</v>
      </c>
      <c r="L648" s="234">
        <v>11.9549217224121</v>
      </c>
      <c r="M648" s="234">
        <v>11.879666328430201</v>
      </c>
      <c r="N648" s="234">
        <v>11.6303720474243</v>
      </c>
      <c r="O648" s="234">
        <v>11.7905416488647</v>
      </c>
      <c r="P648" s="234">
        <v>11.941043853759799</v>
      </c>
      <c r="Q648" s="234">
        <v>12.1426992416382</v>
      </c>
      <c r="R648" s="234">
        <v>12.289721488952599</v>
      </c>
      <c r="S648" s="234">
        <v>12.378883361816399</v>
      </c>
      <c r="T648" s="234">
        <v>12.2595558166504</v>
      </c>
      <c r="U648" s="234">
        <v>12.590350151061999</v>
      </c>
      <c r="V648" s="234">
        <v>12.7815389633179</v>
      </c>
      <c r="W648" s="234">
        <v>12.973883628845201</v>
      </c>
      <c r="X648" s="234">
        <v>13.0949363708496</v>
      </c>
      <c r="Y648" s="234">
        <v>13.367587089538601</v>
      </c>
    </row>
    <row r="649" spans="1:26" x14ac:dyDescent="0.25">
      <c r="A649" s="230" t="s">
        <v>467</v>
      </c>
      <c r="B649" s="234">
        <v>3.9384419918060298</v>
      </c>
      <c r="C649" s="234">
        <v>4.5867881774902299</v>
      </c>
      <c r="D649" s="234">
        <v>4.6800308227539098</v>
      </c>
      <c r="E649" s="234">
        <v>4.9388952255248997</v>
      </c>
      <c r="F649" s="234">
        <v>5.2859730720520002</v>
      </c>
      <c r="G649" s="234">
        <v>5.2723593711853001</v>
      </c>
      <c r="H649" s="234">
        <v>5.2104086875915501</v>
      </c>
      <c r="I649" s="234">
        <v>5.1732821464538601</v>
      </c>
      <c r="J649" s="234">
        <v>5.1717634201049796</v>
      </c>
      <c r="K649" s="234">
        <v>5.17871141433716</v>
      </c>
      <c r="L649" s="234">
        <v>5.1878075599670401</v>
      </c>
      <c r="M649" s="234">
        <v>5.1966009140014604</v>
      </c>
      <c r="N649" s="234">
        <v>5.2060360908508301</v>
      </c>
      <c r="O649" s="234">
        <v>5.2088470458984402</v>
      </c>
      <c r="P649" s="234">
        <v>5.2896075248718297</v>
      </c>
      <c r="Q649" s="234">
        <v>5.3583388328552202</v>
      </c>
      <c r="R649" s="234">
        <v>5.44156694412231</v>
      </c>
      <c r="S649" s="234">
        <v>5.5192761421203604</v>
      </c>
      <c r="T649" s="234">
        <v>5.5953726768493697</v>
      </c>
      <c r="U649" s="234">
        <v>5.6724872589111301</v>
      </c>
      <c r="V649" s="234">
        <v>5.7441039085388201</v>
      </c>
      <c r="W649" s="234">
        <v>5.8200716972351101</v>
      </c>
      <c r="X649" s="234">
        <v>5.9009070396423304</v>
      </c>
      <c r="Y649" s="234">
        <v>5.9898118972778303</v>
      </c>
    </row>
    <row r="650" spans="1:26" x14ac:dyDescent="0.25">
      <c r="A650" s="252" t="s">
        <v>470</v>
      </c>
      <c r="B650" s="234">
        <v>3.88655662536621</v>
      </c>
      <c r="C650" s="234">
        <v>5.55936574935913</v>
      </c>
      <c r="D650" s="234">
        <v>6.0491261482238796</v>
      </c>
      <c r="E650" s="234">
        <v>6.0771641731262198</v>
      </c>
      <c r="F650" s="234">
        <v>5.4298515319824201</v>
      </c>
      <c r="G650" s="234">
        <v>5.0030980110168501</v>
      </c>
      <c r="H650" s="234">
        <v>4.6280007362365696</v>
      </c>
      <c r="I650" s="234">
        <v>4.5291852951049796</v>
      </c>
      <c r="J650" s="234">
        <v>4.41147708892822</v>
      </c>
      <c r="K650" s="234">
        <v>4.4342226982116699</v>
      </c>
      <c r="L650" s="234">
        <v>4.4864263534545898</v>
      </c>
      <c r="M650" s="234">
        <v>4.5912823677062997</v>
      </c>
      <c r="N650" s="234">
        <v>4.7218933105468803</v>
      </c>
      <c r="O650" s="234">
        <v>4.8130536079406703</v>
      </c>
      <c r="P650" s="234">
        <v>4.8621869087219203</v>
      </c>
      <c r="Q650" s="234">
        <v>4.81842041015625</v>
      </c>
      <c r="R650" s="234">
        <v>4.8841061592102104</v>
      </c>
      <c r="S650" s="234">
        <v>5.0232949256896999</v>
      </c>
      <c r="T650" s="234">
        <v>5.2583932876586896</v>
      </c>
      <c r="U650" s="234">
        <v>5.3567323684692401</v>
      </c>
      <c r="V650" s="234">
        <v>5.3575921058654803</v>
      </c>
      <c r="W650" s="234">
        <v>5.37701320648193</v>
      </c>
      <c r="X650" s="234">
        <v>5.4306664466857901</v>
      </c>
      <c r="Y650" s="234">
        <v>5.5327925682067898</v>
      </c>
      <c r="Z650" s="260">
        <f>Y650+($AI$480-$Y$650)/10</f>
        <v>5.5600694801614594</v>
      </c>
    </row>
    <row r="651" spans="1:26" x14ac:dyDescent="0.25">
      <c r="A651" s="230" t="s">
        <v>471</v>
      </c>
      <c r="B651" s="234">
        <v>1.88388228416443</v>
      </c>
      <c r="C651" s="234">
        <v>1.8499996662139899</v>
      </c>
      <c r="D651" s="234">
        <v>1.9633457660675</v>
      </c>
      <c r="E651" s="234">
        <v>1.8999761343002299</v>
      </c>
      <c r="F651" s="234">
        <v>1.88347840309143</v>
      </c>
      <c r="G651" s="234">
        <v>1.8588999509811399</v>
      </c>
      <c r="H651" s="234">
        <v>1.8578026294708301</v>
      </c>
      <c r="I651" s="234">
        <v>1.85227739810944</v>
      </c>
      <c r="J651" s="234">
        <v>1.8239538669586199</v>
      </c>
      <c r="K651" s="234">
        <v>1.79700314998627</v>
      </c>
      <c r="L651" s="234">
        <v>1.78184306621552</v>
      </c>
      <c r="M651" s="234">
        <v>1.7756989002227801</v>
      </c>
      <c r="N651" s="234">
        <v>1.77074086666107</v>
      </c>
      <c r="O651" s="234">
        <v>1.7668309211730999</v>
      </c>
      <c r="P651" s="234">
        <v>1.7627635002136199</v>
      </c>
      <c r="Q651" s="234">
        <v>1.7565006017684901</v>
      </c>
      <c r="R651" s="234">
        <v>1.75614774227142</v>
      </c>
      <c r="S651" s="234">
        <v>1.7571268081664999</v>
      </c>
      <c r="T651" s="234">
        <v>1.75483202934265</v>
      </c>
      <c r="U651" s="234">
        <v>1.7449706792831401</v>
      </c>
      <c r="V651" s="234">
        <v>1.72660219669342</v>
      </c>
      <c r="W651" s="234">
        <v>1.70969367027283</v>
      </c>
      <c r="X651" s="234">
        <v>1.70006084442139</v>
      </c>
      <c r="Y651" s="234">
        <v>1.6866580247878999</v>
      </c>
    </row>
    <row r="652" spans="1:26" x14ac:dyDescent="0.25">
      <c r="A652" s="230" t="s">
        <v>472</v>
      </c>
      <c r="B652" s="234">
        <v>1.5976041555404701</v>
      </c>
      <c r="C652" s="234">
        <v>1.5543407201767001</v>
      </c>
      <c r="D652" s="234">
        <v>1.5670678615570099</v>
      </c>
      <c r="E652" s="234">
        <v>1.6038056612014799</v>
      </c>
      <c r="F652" s="234">
        <v>1.6009258031845099</v>
      </c>
      <c r="G652" s="234">
        <v>1.58739173412323</v>
      </c>
      <c r="H652" s="234">
        <v>1.58863317966461</v>
      </c>
      <c r="I652" s="234">
        <v>1.5846539735794101</v>
      </c>
      <c r="J652" s="234">
        <v>1.5799860954284699</v>
      </c>
      <c r="K652" s="234">
        <v>1.5764416456222501</v>
      </c>
      <c r="L652" s="234">
        <v>1.5679914951324501</v>
      </c>
      <c r="M652" s="234">
        <v>1.5610833168029801</v>
      </c>
      <c r="N652" s="234">
        <v>1.5600349903106701</v>
      </c>
      <c r="O652" s="234">
        <v>1.56054711341858</v>
      </c>
      <c r="P652" s="234">
        <v>1.56748187541962</v>
      </c>
      <c r="Q652" s="234">
        <v>1.5675091743469201</v>
      </c>
      <c r="R652" s="234">
        <v>1.5641727447509799</v>
      </c>
      <c r="S652" s="234">
        <v>1.5615659952163701</v>
      </c>
      <c r="T652" s="234">
        <v>1.58828938007355</v>
      </c>
      <c r="U652" s="234">
        <v>1.58737933635712</v>
      </c>
      <c r="V652" s="234">
        <v>1.59387278556824</v>
      </c>
      <c r="W652" s="234">
        <v>1.5848928689956701</v>
      </c>
      <c r="X652" s="234">
        <v>1.5860744714736901</v>
      </c>
      <c r="Y652" s="234">
        <v>1.5880702733993499</v>
      </c>
    </row>
    <row r="653" spans="1:26" x14ac:dyDescent="0.25">
      <c r="A653" s="253" t="s">
        <v>465</v>
      </c>
      <c r="B653" s="234">
        <v>14.734835624694799</v>
      </c>
      <c r="C653" s="234">
        <v>15.0261535644531</v>
      </c>
      <c r="D653" s="234">
        <v>15.722662925720201</v>
      </c>
      <c r="E653" s="234">
        <v>15.5983018875122</v>
      </c>
      <c r="F653" s="234">
        <v>15.078427314758301</v>
      </c>
      <c r="G653" s="234">
        <v>14.4692840576172</v>
      </c>
      <c r="H653" s="234">
        <v>14.1632738113403</v>
      </c>
      <c r="I653" s="234">
        <v>14.081834793090801</v>
      </c>
      <c r="J653" s="234">
        <v>13.919806480407701</v>
      </c>
      <c r="K653" s="234">
        <v>13.785112380981399</v>
      </c>
      <c r="L653" s="234">
        <v>13.931169509887701</v>
      </c>
      <c r="M653" s="234">
        <v>14.1889085769653</v>
      </c>
      <c r="N653" s="234">
        <v>14.5255270004272</v>
      </c>
      <c r="O653" s="234">
        <v>14.681715965271</v>
      </c>
      <c r="P653" s="234">
        <v>14.814373970031699</v>
      </c>
      <c r="Q653" s="234">
        <v>14.8553409576416</v>
      </c>
      <c r="R653" s="234">
        <v>15.0255784988403</v>
      </c>
      <c r="S653" s="234">
        <v>15.2628774642944</v>
      </c>
      <c r="T653" s="234">
        <v>15.5799751281738</v>
      </c>
      <c r="U653" s="234">
        <v>15.7510900497437</v>
      </c>
      <c r="V653" s="234">
        <v>15.7371273040771</v>
      </c>
      <c r="W653" s="234">
        <v>15.705772399902299</v>
      </c>
      <c r="X653" s="234">
        <v>15.779216766357401</v>
      </c>
      <c r="Y653" s="234">
        <v>15.8933115005493</v>
      </c>
      <c r="Z653" s="262">
        <f>Y653+($AI$483-$Y$653)/10</f>
        <v>15.820176294068443</v>
      </c>
    </row>
    <row r="654" spans="1:26" x14ac:dyDescent="0.25">
      <c r="A654" s="230" t="s">
        <v>426</v>
      </c>
      <c r="B654" s="234" t="s">
        <v>426</v>
      </c>
      <c r="C654" s="234" t="s">
        <v>426</v>
      </c>
      <c r="D654" s="234" t="s">
        <v>426</v>
      </c>
      <c r="E654" s="234" t="s">
        <v>426</v>
      </c>
      <c r="F654" s="234" t="s">
        <v>426</v>
      </c>
      <c r="G654" s="234" t="s">
        <v>426</v>
      </c>
      <c r="H654" s="234" t="s">
        <v>426</v>
      </c>
      <c r="I654" s="234" t="s">
        <v>426</v>
      </c>
      <c r="J654" s="234" t="s">
        <v>426</v>
      </c>
      <c r="K654" s="234" t="s">
        <v>426</v>
      </c>
      <c r="L654" s="234" t="s">
        <v>426</v>
      </c>
      <c r="M654" s="234" t="s">
        <v>426</v>
      </c>
      <c r="N654" s="234" t="s">
        <v>426</v>
      </c>
      <c r="O654" s="234" t="s">
        <v>426</v>
      </c>
      <c r="P654" s="234" t="s">
        <v>426</v>
      </c>
      <c r="Q654" s="234" t="s">
        <v>426</v>
      </c>
      <c r="R654" s="234" t="s">
        <v>426</v>
      </c>
      <c r="S654" s="234" t="s">
        <v>426</v>
      </c>
      <c r="T654" s="234" t="s">
        <v>426</v>
      </c>
      <c r="U654" s="234" t="s">
        <v>426</v>
      </c>
      <c r="V654" s="234" t="s">
        <v>426</v>
      </c>
      <c r="W654" s="234" t="s">
        <v>426</v>
      </c>
      <c r="X654" s="234" t="s">
        <v>426</v>
      </c>
      <c r="Y654" s="234" t="s">
        <v>426</v>
      </c>
    </row>
    <row r="655" spans="1:26" x14ac:dyDescent="0.25">
      <c r="A655" s="230" t="s">
        <v>473</v>
      </c>
      <c r="B655" s="234">
        <v>10.068477630615201</v>
      </c>
      <c r="C655" s="234">
        <v>11.4567165374756</v>
      </c>
      <c r="D655" s="234">
        <v>12.984992980956999</v>
      </c>
      <c r="E655" s="234">
        <v>12.648449897766101</v>
      </c>
      <c r="F655" s="234">
        <v>12.9899549484253</v>
      </c>
      <c r="G655" s="234">
        <v>12.831539154052701</v>
      </c>
      <c r="H655" s="234">
        <v>12.772025108337401</v>
      </c>
      <c r="I655" s="234">
        <v>12.778377532959</v>
      </c>
      <c r="J655" s="234">
        <v>12.6527404785156</v>
      </c>
      <c r="K655" s="234">
        <v>12.633409500122101</v>
      </c>
      <c r="L655" s="234">
        <v>12.627567291259799</v>
      </c>
      <c r="M655" s="234">
        <v>12.5634212493896</v>
      </c>
      <c r="N655" s="234">
        <v>12.5677394866943</v>
      </c>
      <c r="O655" s="234">
        <v>12.4416351318359</v>
      </c>
      <c r="P655" s="234">
        <v>12.463407516479499</v>
      </c>
      <c r="Q655" s="234">
        <v>12.3592376708984</v>
      </c>
      <c r="R655" s="234">
        <v>12.3700494766235</v>
      </c>
      <c r="S655" s="234">
        <v>12.4214639663696</v>
      </c>
      <c r="T655" s="234">
        <v>12.406385421752899</v>
      </c>
      <c r="U655" s="234">
        <v>12.599157333374</v>
      </c>
      <c r="V655" s="234">
        <v>12.7199811935425</v>
      </c>
      <c r="W655" s="234">
        <v>12.8404388427734</v>
      </c>
      <c r="X655" s="234">
        <v>12.9761352539063</v>
      </c>
      <c r="Y655" s="234">
        <v>13.180356025695801</v>
      </c>
    </row>
    <row r="656" spans="1:26" x14ac:dyDescent="0.25">
      <c r="A656" s="230" t="s">
        <v>469</v>
      </c>
      <c r="B656" s="234">
        <v>10.0396184921265</v>
      </c>
      <c r="C656" s="234">
        <v>11.4297380447388</v>
      </c>
      <c r="D656" s="234">
        <v>12.961000442504901</v>
      </c>
      <c r="E656" s="234">
        <v>12.6243276596069</v>
      </c>
      <c r="F656" s="234">
        <v>12.9694175720215</v>
      </c>
      <c r="G656" s="234">
        <v>12.812975883483899</v>
      </c>
      <c r="H656" s="234">
        <v>12.7542219161987</v>
      </c>
      <c r="I656" s="234">
        <v>12.7604532241821</v>
      </c>
      <c r="J656" s="234">
        <v>12.634376525878899</v>
      </c>
      <c r="K656" s="234">
        <v>12.614933013916</v>
      </c>
      <c r="L656" s="234">
        <v>12.6084880828857</v>
      </c>
      <c r="M656" s="234">
        <v>12.543541908264199</v>
      </c>
      <c r="N656" s="234">
        <v>12.546923637390099</v>
      </c>
      <c r="O656" s="234">
        <v>12.4202537536621</v>
      </c>
      <c r="P656" s="234">
        <v>12.441800117492701</v>
      </c>
      <c r="Q656" s="234">
        <v>12.3374538421631</v>
      </c>
      <c r="R656" s="234">
        <v>12.3479681015015</v>
      </c>
      <c r="S656" s="234">
        <v>12.3989114761353</v>
      </c>
      <c r="T656" s="234">
        <v>12.3829250335693</v>
      </c>
      <c r="U656" s="234">
        <v>12.575768470764199</v>
      </c>
      <c r="V656" s="234">
        <v>12.6970834732056</v>
      </c>
      <c r="W656" s="234">
        <v>12.8181715011597</v>
      </c>
      <c r="X656" s="234">
        <v>12.9540061950684</v>
      </c>
      <c r="Y656" s="234">
        <v>13.1585645675659</v>
      </c>
    </row>
    <row r="657" spans="1:26" x14ac:dyDescent="0.25">
      <c r="A657" s="230" t="s">
        <v>461</v>
      </c>
      <c r="B657" s="234">
        <v>10.0409812927246</v>
      </c>
      <c r="C657" s="234">
        <v>11.431476593017599</v>
      </c>
      <c r="D657" s="234">
        <v>12.9638833999634</v>
      </c>
      <c r="E657" s="234">
        <v>12.6272735595703</v>
      </c>
      <c r="F657" s="234">
        <v>12.9738121032715</v>
      </c>
      <c r="G657" s="234">
        <v>12.8180704116821</v>
      </c>
      <c r="H657" s="234">
        <v>12.7602338790894</v>
      </c>
      <c r="I657" s="234">
        <v>12.7672443389893</v>
      </c>
      <c r="J657" s="234">
        <v>12.6416578292847</v>
      </c>
      <c r="K657" s="234">
        <v>12.622591972351101</v>
      </c>
      <c r="L657" s="234">
        <v>12.616462707519499</v>
      </c>
      <c r="M657" s="234">
        <v>12.551496505737299</v>
      </c>
      <c r="N657" s="234">
        <v>12.554883956909199</v>
      </c>
      <c r="O657" s="234">
        <v>12.4279336929321</v>
      </c>
      <c r="P657" s="234">
        <v>12.4496717453003</v>
      </c>
      <c r="Q657" s="234">
        <v>12.3454332351685</v>
      </c>
      <c r="R657" s="234">
        <v>12.356036186218301</v>
      </c>
      <c r="S657" s="234">
        <v>12.4068956375122</v>
      </c>
      <c r="T657" s="234">
        <v>12.3903903961182</v>
      </c>
      <c r="U657" s="234">
        <v>12.5835561752319</v>
      </c>
      <c r="V657" s="234">
        <v>12.7052898406982</v>
      </c>
      <c r="W657" s="234">
        <v>12.826750755310099</v>
      </c>
      <c r="X657" s="234">
        <v>12.9629173278809</v>
      </c>
      <c r="Y657" s="234">
        <v>13.167941093444799</v>
      </c>
    </row>
    <row r="658" spans="1:26" x14ac:dyDescent="0.25">
      <c r="A658" s="257" t="s">
        <v>474</v>
      </c>
      <c r="B658" s="234">
        <v>9.5535230636596697</v>
      </c>
      <c r="C658" s="234">
        <v>10.9202365875244</v>
      </c>
      <c r="D658" s="234">
        <v>12.0208587646484</v>
      </c>
      <c r="E658" s="234">
        <v>11.5461339950562</v>
      </c>
      <c r="F658" s="234">
        <v>12.0997161865234</v>
      </c>
      <c r="G658" s="234">
        <v>12.488727569580099</v>
      </c>
      <c r="H658" s="234">
        <v>12.3829002380371</v>
      </c>
      <c r="I658" s="234">
        <v>12.4196271896362</v>
      </c>
      <c r="J658" s="234">
        <v>12.508094787597701</v>
      </c>
      <c r="K658" s="234">
        <v>12.555921554565399</v>
      </c>
      <c r="L658" s="234">
        <v>12.5986595153809</v>
      </c>
      <c r="M658" s="234">
        <v>12.507498741149901</v>
      </c>
      <c r="N658" s="234">
        <v>12.460197448730501</v>
      </c>
      <c r="O658" s="234">
        <v>12.2335548400879</v>
      </c>
      <c r="P658" s="234">
        <v>12.028847694396999</v>
      </c>
      <c r="Q658" s="234">
        <v>11.832740783691399</v>
      </c>
      <c r="R658" s="234">
        <v>11.7916069030762</v>
      </c>
      <c r="S658" s="234">
        <v>11.803469657897899</v>
      </c>
      <c r="T658" s="234">
        <v>11.8377895355225</v>
      </c>
      <c r="U658" s="234">
        <v>11.9129686355591</v>
      </c>
      <c r="V658" s="234">
        <v>11.9319505691528</v>
      </c>
      <c r="W658" s="234">
        <v>11.983411788940399</v>
      </c>
      <c r="X658" s="234">
        <v>12.11021900177</v>
      </c>
      <c r="Y658" s="234">
        <v>12.4955101013184</v>
      </c>
      <c r="Z658" s="264">
        <f>Y658+($AI$488-$Y$658)/10</f>
        <v>12.860153747735882</v>
      </c>
    </row>
    <row r="659" spans="1:26" x14ac:dyDescent="0.25">
      <c r="A659" s="230" t="s">
        <v>475</v>
      </c>
      <c r="B659" s="234">
        <v>6.0538434982299796</v>
      </c>
      <c r="C659" s="234">
        <v>6.4578518867492702</v>
      </c>
      <c r="D659" s="234">
        <v>8.1168746948242205</v>
      </c>
      <c r="E659" s="234">
        <v>7.6875567436218297</v>
      </c>
      <c r="F659" s="234">
        <v>7.8739576339721697</v>
      </c>
      <c r="G659" s="234">
        <v>7.8265089988708496</v>
      </c>
      <c r="H659" s="234">
        <v>7.9840884208679199</v>
      </c>
      <c r="I659" s="234">
        <v>8.0166091918945295</v>
      </c>
      <c r="J659" s="234">
        <v>7.8608303070068404</v>
      </c>
      <c r="K659" s="234">
        <v>7.81276655197144</v>
      </c>
      <c r="L659" s="234">
        <v>7.8045797348022496</v>
      </c>
      <c r="M659" s="234">
        <v>7.7928524017334002</v>
      </c>
      <c r="N659" s="234">
        <v>7.7725591659545898</v>
      </c>
      <c r="O659" s="234">
        <v>7.7157216072082502</v>
      </c>
      <c r="P659" s="234">
        <v>7.7164225578308097</v>
      </c>
      <c r="Q659" s="234">
        <v>7.6991229057312003</v>
      </c>
      <c r="R659" s="234">
        <v>7.7546834945678702</v>
      </c>
      <c r="S659" s="234">
        <v>7.8412432670593297</v>
      </c>
      <c r="T659" s="234">
        <v>7.8916783332824698</v>
      </c>
      <c r="U659" s="234">
        <v>8.0530261993408203</v>
      </c>
      <c r="V659" s="234">
        <v>8.1459932327270508</v>
      </c>
      <c r="W659" s="234">
        <v>8.2922735214233398</v>
      </c>
      <c r="X659" s="234">
        <v>8.4199304580688494</v>
      </c>
      <c r="Y659" s="234">
        <v>8.7479171752929705</v>
      </c>
    </row>
    <row r="660" spans="1:26" x14ac:dyDescent="0.25">
      <c r="A660" s="257" t="s">
        <v>476</v>
      </c>
      <c r="B660" s="234">
        <v>11.3207235336304</v>
      </c>
      <c r="C660" s="234">
        <v>12.9284992218018</v>
      </c>
      <c r="D660" s="234">
        <v>14.6530704498291</v>
      </c>
      <c r="E660" s="234">
        <v>14.346966743469199</v>
      </c>
      <c r="F660" s="234">
        <v>14.7094535827637</v>
      </c>
      <c r="G660" s="234">
        <v>14.3600215911865</v>
      </c>
      <c r="H660" s="234">
        <v>14.2510118484497</v>
      </c>
      <c r="I660" s="234">
        <v>14.250683784484901</v>
      </c>
      <c r="J660" s="234">
        <v>14.0786781311035</v>
      </c>
      <c r="K660" s="234">
        <v>14.0637760162354</v>
      </c>
      <c r="L660" s="234">
        <v>14.0259552001953</v>
      </c>
      <c r="M660" s="234">
        <v>13.906542778015099</v>
      </c>
      <c r="N660" s="234">
        <v>13.9343166351318</v>
      </c>
      <c r="O660" s="234">
        <v>13.819755554199199</v>
      </c>
      <c r="P660" s="234">
        <v>13.920813560485801</v>
      </c>
      <c r="Q660" s="234">
        <v>13.821713447570801</v>
      </c>
      <c r="R660" s="234">
        <v>13.8340721130371</v>
      </c>
      <c r="S660" s="234">
        <v>13.8936500549316</v>
      </c>
      <c r="T660" s="234">
        <v>13.8356838226318</v>
      </c>
      <c r="U660" s="234">
        <v>14.0806474685669</v>
      </c>
      <c r="V660" s="234">
        <v>14.2383365631104</v>
      </c>
      <c r="W660" s="234">
        <v>14.3749399185181</v>
      </c>
      <c r="X660" s="234">
        <v>14.5092010498047</v>
      </c>
      <c r="Y660" s="234">
        <v>14.605681419372599</v>
      </c>
      <c r="Z660" s="264">
        <f>Y660+($AI$490-$Y$660)/10</f>
        <v>15.03173973157025</v>
      </c>
    </row>
    <row r="661" spans="1:26" x14ac:dyDescent="0.25">
      <c r="A661" s="230" t="s">
        <v>467</v>
      </c>
      <c r="B661" s="234">
        <v>3.83150410652161</v>
      </c>
      <c r="C661" s="234">
        <v>4.4939312934875497</v>
      </c>
      <c r="D661" s="234">
        <v>4.5839381217956499</v>
      </c>
      <c r="E661" s="234">
        <v>4.8374896049499503</v>
      </c>
      <c r="F661" s="234">
        <v>5.1729192733764604</v>
      </c>
      <c r="G661" s="234">
        <v>5.1682701110839799</v>
      </c>
      <c r="H661" s="234">
        <v>5.1688323020935103</v>
      </c>
      <c r="I661" s="234">
        <v>5.1695828437805202</v>
      </c>
      <c r="J661" s="234">
        <v>5.16760349273682</v>
      </c>
      <c r="K661" s="234">
        <v>5.1733479499816903</v>
      </c>
      <c r="L661" s="234">
        <v>5.1798586845397896</v>
      </c>
      <c r="M661" s="234">
        <v>5.1877336502075204</v>
      </c>
      <c r="N661" s="234">
        <v>5.1953010559081996</v>
      </c>
      <c r="O661" s="234">
        <v>5.2001247406005904</v>
      </c>
      <c r="P661" s="234">
        <v>5.2810626029968297</v>
      </c>
      <c r="Q661" s="234">
        <v>5.3552770614623997</v>
      </c>
      <c r="R661" s="234">
        <v>5.4362750053405797</v>
      </c>
      <c r="S661" s="234">
        <v>5.5152239799499503</v>
      </c>
      <c r="T661" s="234">
        <v>5.5921721458435103</v>
      </c>
      <c r="U661" s="234">
        <v>5.6705627441406303</v>
      </c>
      <c r="V661" s="234">
        <v>5.7475032806396502</v>
      </c>
      <c r="W661" s="234">
        <v>5.8269476890564</v>
      </c>
      <c r="X661" s="234">
        <v>5.9046044349670401</v>
      </c>
      <c r="Y661" s="234">
        <v>5.9824995994567898</v>
      </c>
    </row>
    <row r="662" spans="1:26" x14ac:dyDescent="0.25">
      <c r="A662" s="230" t="s">
        <v>477</v>
      </c>
      <c r="B662" s="234">
        <v>15.146578788757299</v>
      </c>
      <c r="C662" s="234">
        <v>16.654964447021499</v>
      </c>
      <c r="D662" s="234">
        <v>20.603065490722699</v>
      </c>
      <c r="E662" s="234">
        <v>20.419296264648398</v>
      </c>
      <c r="F662" s="234">
        <v>17.4092102050781</v>
      </c>
      <c r="G662" s="234">
        <v>17.409763336181602</v>
      </c>
      <c r="H662" s="234">
        <v>17.1964435577393</v>
      </c>
      <c r="I662" s="234">
        <v>17.156021118164102</v>
      </c>
      <c r="J662" s="234">
        <v>17.248268127441399</v>
      </c>
      <c r="K662" s="234">
        <v>17.105394363403299</v>
      </c>
      <c r="L662" s="234">
        <v>17.085474014282202</v>
      </c>
      <c r="M662" s="234">
        <v>16.997465133666999</v>
      </c>
      <c r="N662" s="234">
        <v>16.7497043609619</v>
      </c>
      <c r="O662" s="234">
        <v>16.830522537231399</v>
      </c>
      <c r="P662" s="234">
        <v>16.954969406127901</v>
      </c>
      <c r="Q662" s="234">
        <v>17.1650085449219</v>
      </c>
      <c r="R662" s="234">
        <v>17.2562961578369</v>
      </c>
      <c r="S662" s="234">
        <v>17.321376800537099</v>
      </c>
      <c r="T662" s="234">
        <v>17.262313842773398</v>
      </c>
      <c r="U662" s="234">
        <v>17.454835891723601</v>
      </c>
      <c r="V662" s="234">
        <v>17.584600448608398</v>
      </c>
      <c r="W662" s="234">
        <v>17.847267150878899</v>
      </c>
      <c r="X662" s="234">
        <v>17.9585571289063</v>
      </c>
      <c r="Y662" s="234">
        <v>18.1527404785156</v>
      </c>
    </row>
    <row r="663" spans="1:26" x14ac:dyDescent="0.25">
      <c r="A663" s="230" t="s">
        <v>478</v>
      </c>
      <c r="B663" s="234">
        <v>7.2317700386047399</v>
      </c>
      <c r="C663" s="234">
        <v>9.0444478988647496</v>
      </c>
      <c r="D663" s="234">
        <v>9.7142210006713903</v>
      </c>
      <c r="E663" s="234">
        <v>9.7955017089843803</v>
      </c>
      <c r="F663" s="234">
        <v>9.2987012863159197</v>
      </c>
      <c r="G663" s="234">
        <v>9.0087041854858398</v>
      </c>
      <c r="H663" s="234">
        <v>8.73461818695068</v>
      </c>
      <c r="I663" s="234">
        <v>8.6602125167846697</v>
      </c>
      <c r="J663" s="234">
        <v>8.6087532043456996</v>
      </c>
      <c r="K663" s="234">
        <v>8.6854057312011701</v>
      </c>
      <c r="L663" s="234">
        <v>8.7734069824218803</v>
      </c>
      <c r="M663" s="234">
        <v>8.9131555557250994</v>
      </c>
      <c r="N663" s="234">
        <v>9.0697097778320295</v>
      </c>
      <c r="O663" s="234">
        <v>9.1761322021484393</v>
      </c>
      <c r="P663" s="234">
        <v>9.2086582183837908</v>
      </c>
      <c r="Q663" s="234">
        <v>9.1414461135864293</v>
      </c>
      <c r="R663" s="234">
        <v>9.1881532669067401</v>
      </c>
      <c r="S663" s="234">
        <v>9.3183298110961896</v>
      </c>
      <c r="T663" s="234">
        <v>9.5262966156005895</v>
      </c>
      <c r="U663" s="234">
        <v>9.6340904235839808</v>
      </c>
      <c r="V663" s="234">
        <v>9.6386470794677699</v>
      </c>
      <c r="W663" s="234">
        <v>9.6553201675415004</v>
      </c>
      <c r="X663" s="234">
        <v>9.7052288055419904</v>
      </c>
      <c r="Y663" s="234">
        <v>9.7829256057739293</v>
      </c>
    </row>
    <row r="664" spans="1:26" x14ac:dyDescent="0.25">
      <c r="A664" s="259" t="s">
        <v>483</v>
      </c>
      <c r="B664" s="234">
        <v>14.6543264389038</v>
      </c>
      <c r="C664" s="234">
        <v>16.232709884643601</v>
      </c>
      <c r="D664" s="234">
        <v>19.6646022796631</v>
      </c>
      <c r="E664" s="234">
        <v>19.716905593872099</v>
      </c>
      <c r="F664" s="234">
        <v>20.910398483276399</v>
      </c>
      <c r="G664" s="234">
        <v>20.088336944580099</v>
      </c>
      <c r="H664" s="234">
        <v>20.034643173217798</v>
      </c>
      <c r="I664" s="234">
        <v>19.876234054565401</v>
      </c>
      <c r="J664" s="234">
        <v>19.0899848937988</v>
      </c>
      <c r="K664" s="234">
        <v>19.0770473480225</v>
      </c>
      <c r="L664" s="234">
        <v>18.9334907531738</v>
      </c>
      <c r="M664" s="234">
        <v>18.8203315734863</v>
      </c>
      <c r="N664" s="234">
        <v>18.8769016265869</v>
      </c>
      <c r="O664" s="234">
        <v>18.733657836914102</v>
      </c>
      <c r="P664" s="234">
        <v>18.836368560791001</v>
      </c>
      <c r="Q664" s="234">
        <v>18.717578887939499</v>
      </c>
      <c r="R664" s="234">
        <v>18.677961349487301</v>
      </c>
      <c r="S664" s="234">
        <v>18.768825531005898</v>
      </c>
      <c r="T664" s="234">
        <v>18.702945709228501</v>
      </c>
      <c r="U664" s="234">
        <v>19.039726257324201</v>
      </c>
      <c r="V664" s="234">
        <v>19.213029861450199</v>
      </c>
      <c r="W664" s="234">
        <v>19.429216384887699</v>
      </c>
      <c r="X664" s="234">
        <v>19.537574768066399</v>
      </c>
      <c r="Y664" s="234">
        <v>19.6945476531982</v>
      </c>
      <c r="Z664" s="266">
        <f>Y664+($AI$494-$Y$664)/10</f>
        <v>19.593947309306923</v>
      </c>
    </row>
    <row r="665" spans="1:26" x14ac:dyDescent="0.25">
      <c r="A665" s="230" t="s">
        <v>465</v>
      </c>
      <c r="B665" s="234">
        <v>20.034517288208001</v>
      </c>
      <c r="C665" s="234">
        <v>20.636144638061499</v>
      </c>
      <c r="D665" s="234">
        <v>21.2071418762207</v>
      </c>
      <c r="E665" s="234">
        <v>20.9249382019043</v>
      </c>
      <c r="F665" s="234">
        <v>20.016746520996101</v>
      </c>
      <c r="G665" s="234">
        <v>19.1842136383057</v>
      </c>
      <c r="H665" s="234">
        <v>18.876358032226602</v>
      </c>
      <c r="I665" s="234">
        <v>18.930015563964801</v>
      </c>
      <c r="J665" s="234">
        <v>18.9569396972656</v>
      </c>
      <c r="K665" s="234">
        <v>18.971715927123999</v>
      </c>
      <c r="L665" s="234">
        <v>19.161241531372099</v>
      </c>
      <c r="M665" s="234">
        <v>19.352525711059599</v>
      </c>
      <c r="N665" s="234">
        <v>19.6624240875244</v>
      </c>
      <c r="O665" s="234">
        <v>19.699916839599599</v>
      </c>
      <c r="P665" s="234">
        <v>19.754545211791999</v>
      </c>
      <c r="Q665" s="234">
        <v>19.6803493499756</v>
      </c>
      <c r="R665" s="234">
        <v>19.749149322509801</v>
      </c>
      <c r="S665" s="234">
        <v>19.913064956665</v>
      </c>
      <c r="T665" s="234">
        <v>20.148523330688501</v>
      </c>
      <c r="U665" s="234">
        <v>20.261070251464801</v>
      </c>
      <c r="V665" s="234">
        <v>20.168498992919901</v>
      </c>
      <c r="W665" s="234">
        <v>20.043989181518601</v>
      </c>
      <c r="X665" s="234">
        <v>20.096965789794901</v>
      </c>
      <c r="Y665" s="234">
        <v>20.154518127441399</v>
      </c>
    </row>
    <row r="666" spans="1:26" x14ac:dyDescent="0.25">
      <c r="A666" s="230" t="s">
        <v>426</v>
      </c>
      <c r="B666" s="234" t="s">
        <v>426</v>
      </c>
      <c r="C666" s="234" t="s">
        <v>426</v>
      </c>
      <c r="D666" s="234" t="s">
        <v>426</v>
      </c>
      <c r="E666" s="234" t="s">
        <v>426</v>
      </c>
      <c r="F666" s="234" t="s">
        <v>426</v>
      </c>
      <c r="G666" s="234" t="s">
        <v>426</v>
      </c>
      <c r="H666" s="234" t="s">
        <v>426</v>
      </c>
      <c r="I666" s="234" t="s">
        <v>426</v>
      </c>
      <c r="J666" s="234" t="s">
        <v>426</v>
      </c>
      <c r="K666" s="234" t="s">
        <v>426</v>
      </c>
      <c r="L666" s="234" t="s">
        <v>426</v>
      </c>
      <c r="M666" s="234" t="s">
        <v>426</v>
      </c>
      <c r="N666" s="234" t="s">
        <v>426</v>
      </c>
      <c r="O666" s="234" t="s">
        <v>426</v>
      </c>
      <c r="P666" s="234" t="s">
        <v>426</v>
      </c>
      <c r="Q666" s="234" t="s">
        <v>426</v>
      </c>
      <c r="R666" s="234" t="s">
        <v>426</v>
      </c>
      <c r="S666" s="234" t="s">
        <v>426</v>
      </c>
      <c r="T666" s="234" t="s">
        <v>426</v>
      </c>
      <c r="U666" s="234" t="s">
        <v>426</v>
      </c>
      <c r="V666" s="234" t="s">
        <v>426</v>
      </c>
      <c r="W666" s="234" t="s">
        <v>426</v>
      </c>
      <c r="X666" s="234" t="s">
        <v>426</v>
      </c>
      <c r="Y666" s="234" t="s">
        <v>426</v>
      </c>
    </row>
    <row r="667" spans="1:26" x14ac:dyDescent="0.25">
      <c r="A667" s="230" t="s">
        <v>484</v>
      </c>
      <c r="B667" s="234">
        <v>10.2607097625732</v>
      </c>
      <c r="C667" s="234">
        <v>11.4965677261353</v>
      </c>
      <c r="D667" s="234">
        <v>12.4990587234497</v>
      </c>
      <c r="E667" s="234">
        <v>12.3170623779297</v>
      </c>
      <c r="F667" s="234">
        <v>12.135007858276399</v>
      </c>
      <c r="G667" s="234">
        <v>11.845267295837401</v>
      </c>
      <c r="H667" s="234">
        <v>11.6573295593262</v>
      </c>
      <c r="I667" s="234">
        <v>11.6295518875122</v>
      </c>
      <c r="J667" s="234">
        <v>11.5503234863281</v>
      </c>
      <c r="K667" s="234">
        <v>11.540096282959</v>
      </c>
      <c r="L667" s="234">
        <v>11.6076335906982</v>
      </c>
      <c r="M667" s="234">
        <v>11.667243003845201</v>
      </c>
      <c r="N667" s="234">
        <v>11.774538040161101</v>
      </c>
      <c r="O667" s="234">
        <v>11.796236991882299</v>
      </c>
      <c r="P667" s="234">
        <v>11.871965408325201</v>
      </c>
      <c r="Q667" s="234">
        <v>11.843188285827599</v>
      </c>
      <c r="R667" s="234">
        <v>11.9137773513794</v>
      </c>
      <c r="S667" s="234">
        <v>12.034348487854</v>
      </c>
      <c r="T667" s="234">
        <v>12.153738975524901</v>
      </c>
      <c r="U667" s="234">
        <v>12.3460960388184</v>
      </c>
      <c r="V667" s="234">
        <v>12.4321403503418</v>
      </c>
      <c r="W667" s="234">
        <v>12.5191946029663</v>
      </c>
      <c r="X667" s="234">
        <v>12.636996269226101</v>
      </c>
      <c r="Y667" s="234">
        <v>12.8200740814209</v>
      </c>
    </row>
    <row r="668" spans="1:26" x14ac:dyDescent="0.25">
      <c r="A668" s="230" t="s">
        <v>469</v>
      </c>
      <c r="B668" s="234">
        <v>7.8488264083862296</v>
      </c>
      <c r="C668" s="234">
        <v>9.3171482086181605</v>
      </c>
      <c r="D668" s="234">
        <v>10.527009010314901</v>
      </c>
      <c r="E668" s="234">
        <v>10.2968044281006</v>
      </c>
      <c r="F668" s="234">
        <v>10.2268390655518</v>
      </c>
      <c r="G668" s="234">
        <v>10.0435380935669</v>
      </c>
      <c r="H668" s="234">
        <v>9.9028997421264595</v>
      </c>
      <c r="I668" s="234">
        <v>9.8629217147827095</v>
      </c>
      <c r="J668" s="234">
        <v>9.7728738784790004</v>
      </c>
      <c r="K668" s="234">
        <v>9.75823974609375</v>
      </c>
      <c r="L668" s="234">
        <v>9.7822933197021502</v>
      </c>
      <c r="M668" s="234">
        <v>9.7888011932372994</v>
      </c>
      <c r="N668" s="234">
        <v>9.8279809951782209</v>
      </c>
      <c r="O668" s="234">
        <v>9.8149814605712908</v>
      </c>
      <c r="P668" s="234">
        <v>9.8643417358398402</v>
      </c>
      <c r="Q668" s="234">
        <v>9.8190460205078107</v>
      </c>
      <c r="R668" s="234">
        <v>9.8615427017211896</v>
      </c>
      <c r="S668" s="234">
        <v>9.9469861984252894</v>
      </c>
      <c r="T668" s="234">
        <v>10.0096731185913</v>
      </c>
      <c r="U668" s="234">
        <v>10.190193176269499</v>
      </c>
      <c r="V668" s="234">
        <v>10.288735389709499</v>
      </c>
      <c r="W668" s="234">
        <v>10.396104812622101</v>
      </c>
      <c r="X668" s="234">
        <v>10.5091648101807</v>
      </c>
      <c r="Y668" s="234">
        <v>10.694952964782701</v>
      </c>
    </row>
    <row r="669" spans="1:26" x14ac:dyDescent="0.25">
      <c r="A669" s="230" t="s">
        <v>465</v>
      </c>
      <c r="B669" s="234">
        <v>21.599882125854499</v>
      </c>
      <c r="C669" s="234">
        <v>21.735733032226602</v>
      </c>
      <c r="D669" s="234">
        <v>21.731866836547901</v>
      </c>
      <c r="E669" s="234">
        <v>21.659553527831999</v>
      </c>
      <c r="F669" s="234">
        <v>20.918876647949201</v>
      </c>
      <c r="G669" s="234">
        <v>20.055833816528299</v>
      </c>
      <c r="H669" s="234">
        <v>19.596654891967798</v>
      </c>
      <c r="I669" s="234">
        <v>19.579929351806602</v>
      </c>
      <c r="J669" s="234">
        <v>19.517631530761701</v>
      </c>
      <c r="K669" s="234">
        <v>19.486770629882798</v>
      </c>
      <c r="L669" s="234">
        <v>19.702039718627901</v>
      </c>
      <c r="M669" s="234">
        <v>19.955158233642599</v>
      </c>
      <c r="N669" s="234">
        <v>20.317079544067401</v>
      </c>
      <c r="O669" s="234">
        <v>20.442613601684599</v>
      </c>
      <c r="P669" s="234">
        <v>20.578334808349599</v>
      </c>
      <c r="Q669" s="234">
        <v>20.580734252929702</v>
      </c>
      <c r="R669" s="234">
        <v>20.7274265289307</v>
      </c>
      <c r="S669" s="234">
        <v>20.953577041626001</v>
      </c>
      <c r="T669" s="234">
        <v>21.262916564941399</v>
      </c>
      <c r="U669" s="234">
        <v>21.454774856567401</v>
      </c>
      <c r="V669" s="234">
        <v>21.4308891296387</v>
      </c>
      <c r="W669" s="234">
        <v>21.3733520507813</v>
      </c>
      <c r="X669" s="234">
        <v>21.452013015747099</v>
      </c>
      <c r="Y669" s="234">
        <v>21.5757865905762</v>
      </c>
    </row>
    <row r="670" spans="1:26" x14ac:dyDescent="0.25">
      <c r="A670" s="230" t="s">
        <v>426</v>
      </c>
      <c r="B670" s="234" t="s">
        <v>426</v>
      </c>
      <c r="C670" s="234" t="s">
        <v>426</v>
      </c>
      <c r="D670" s="234" t="s">
        <v>426</v>
      </c>
      <c r="E670" s="234" t="s">
        <v>426</v>
      </c>
      <c r="F670" s="234" t="s">
        <v>426</v>
      </c>
      <c r="G670" s="234" t="s">
        <v>426</v>
      </c>
      <c r="H670" s="234" t="s">
        <v>426</v>
      </c>
      <c r="I670" s="234" t="s">
        <v>426</v>
      </c>
      <c r="J670" s="234" t="s">
        <v>426</v>
      </c>
      <c r="K670" s="234" t="s">
        <v>426</v>
      </c>
      <c r="L670" s="234" t="s">
        <v>426</v>
      </c>
      <c r="M670" s="234" t="s">
        <v>426</v>
      </c>
      <c r="N670" s="234" t="s">
        <v>426</v>
      </c>
      <c r="O670" s="234" t="s">
        <v>426</v>
      </c>
      <c r="P670" s="234" t="s">
        <v>426</v>
      </c>
      <c r="Q670" s="234" t="s">
        <v>426</v>
      </c>
      <c r="R670" s="234" t="s">
        <v>426</v>
      </c>
      <c r="S670" s="234" t="s">
        <v>426</v>
      </c>
      <c r="T670" s="234" t="s">
        <v>426</v>
      </c>
      <c r="U670" s="234" t="s">
        <v>426</v>
      </c>
      <c r="V670" s="234" t="s">
        <v>426</v>
      </c>
      <c r="W670" s="234" t="s">
        <v>426</v>
      </c>
      <c r="X670" s="234" t="s">
        <v>426</v>
      </c>
      <c r="Y670" s="234" t="s">
        <v>426</v>
      </c>
    </row>
    <row r="671" spans="1:26" x14ac:dyDescent="0.25">
      <c r="A671" s="230" t="s">
        <v>485</v>
      </c>
      <c r="B671" s="234" t="s">
        <v>426</v>
      </c>
      <c r="C671" s="234" t="s">
        <v>426</v>
      </c>
      <c r="D671" s="234" t="s">
        <v>426</v>
      </c>
      <c r="E671" s="234" t="s">
        <v>426</v>
      </c>
      <c r="F671" s="234" t="s">
        <v>426</v>
      </c>
      <c r="G671" s="234" t="s">
        <v>426</v>
      </c>
      <c r="H671" s="234" t="s">
        <v>426</v>
      </c>
      <c r="I671" s="234" t="s">
        <v>426</v>
      </c>
      <c r="J671" s="234" t="s">
        <v>426</v>
      </c>
      <c r="K671" s="234" t="s">
        <v>426</v>
      </c>
      <c r="L671" s="234" t="s">
        <v>426</v>
      </c>
      <c r="M671" s="234" t="s">
        <v>426</v>
      </c>
      <c r="N671" s="234" t="s">
        <v>426</v>
      </c>
      <c r="O671" s="234" t="s">
        <v>426</v>
      </c>
      <c r="P671" s="234" t="s">
        <v>426</v>
      </c>
      <c r="Q671" s="234" t="s">
        <v>426</v>
      </c>
      <c r="R671" s="234" t="s">
        <v>426</v>
      </c>
      <c r="S671" s="234" t="s">
        <v>426</v>
      </c>
      <c r="T671" s="234" t="s">
        <v>426</v>
      </c>
      <c r="U671" s="234" t="s">
        <v>426</v>
      </c>
      <c r="V671" s="234" t="s">
        <v>426</v>
      </c>
      <c r="W671" s="234" t="s">
        <v>426</v>
      </c>
      <c r="X671" s="234" t="s">
        <v>426</v>
      </c>
      <c r="Y671" s="234" t="s">
        <v>426</v>
      </c>
    </row>
    <row r="672" spans="1:26" x14ac:dyDescent="0.25">
      <c r="A672" s="230" t="s">
        <v>486</v>
      </c>
      <c r="B672" s="234">
        <v>1.8996955156326301</v>
      </c>
      <c r="C672" s="234">
        <v>2.2409727573394802</v>
      </c>
      <c r="D672" s="234">
        <v>2.4239859580993701</v>
      </c>
      <c r="E672" s="234">
        <v>2.3793189525604199</v>
      </c>
      <c r="F672" s="234">
        <v>2.2557969093322798</v>
      </c>
      <c r="G672" s="234">
        <v>2.16659760475159</v>
      </c>
      <c r="H672" s="234">
        <v>2.1260316371917698</v>
      </c>
      <c r="I672" s="234">
        <v>2.1242508888244598</v>
      </c>
      <c r="J672" s="234">
        <v>2.1216156482696502</v>
      </c>
      <c r="K672" s="234">
        <v>2.1531240940093999</v>
      </c>
      <c r="L672" s="234">
        <v>2.1922359466552699</v>
      </c>
      <c r="M672" s="234">
        <v>2.2451419830322301</v>
      </c>
      <c r="N672" s="234">
        <v>2.2968165874481201</v>
      </c>
      <c r="O672" s="234">
        <v>2.3293662071228001</v>
      </c>
      <c r="P672" s="234">
        <v>2.3501963615417498</v>
      </c>
      <c r="Q672" s="234">
        <v>2.3520054817199698</v>
      </c>
      <c r="R672" s="234">
        <v>2.3871843814849898</v>
      </c>
      <c r="S672" s="234">
        <v>2.4302341938018799</v>
      </c>
      <c r="T672" s="234">
        <v>2.5017471313476598</v>
      </c>
      <c r="U672" s="234">
        <v>2.5190291404724099</v>
      </c>
      <c r="V672" s="234">
        <v>2.50686860084534</v>
      </c>
      <c r="W672" s="234">
        <v>2.48747658729553</v>
      </c>
      <c r="X672" s="234">
        <v>2.5030989646911599</v>
      </c>
      <c r="Y672" s="234">
        <v>2.5170097351074201</v>
      </c>
    </row>
    <row r="673" spans="1:26" x14ac:dyDescent="0.25">
      <c r="A673" s="230" t="s">
        <v>488</v>
      </c>
      <c r="B673" s="234">
        <v>4.3748912811279297</v>
      </c>
      <c r="C673" s="234">
        <v>5.2786889076232901</v>
      </c>
      <c r="D673" s="234">
        <v>5.9517350196838397</v>
      </c>
      <c r="E673" s="234">
        <v>5.8146204948425302</v>
      </c>
      <c r="F673" s="234">
        <v>6.06520652770996</v>
      </c>
      <c r="G673" s="234">
        <v>6.0658583641052202</v>
      </c>
      <c r="H673" s="234">
        <v>6.0610094070434597</v>
      </c>
      <c r="I673" s="234">
        <v>6.0499844551086399</v>
      </c>
      <c r="J673" s="234">
        <v>6.0430412292480504</v>
      </c>
      <c r="K673" s="234">
        <v>6.00789546966553</v>
      </c>
      <c r="L673" s="234">
        <v>5.9784431457519496</v>
      </c>
      <c r="M673" s="234">
        <v>5.9840416908264196</v>
      </c>
      <c r="N673" s="234">
        <v>6.0042037963867196</v>
      </c>
      <c r="O673" s="234">
        <v>6.0128812789917001</v>
      </c>
      <c r="P673" s="234">
        <v>6.0971722602844203</v>
      </c>
      <c r="Q673" s="234">
        <v>6.1627969741821298</v>
      </c>
      <c r="R673" s="234">
        <v>6.2556800842285201</v>
      </c>
      <c r="S673" s="234">
        <v>6.3419466018676802</v>
      </c>
      <c r="T673" s="234">
        <v>6.4189195632934597</v>
      </c>
      <c r="U673" s="234">
        <v>6.5561437606811497</v>
      </c>
      <c r="V673" s="234">
        <v>6.6497230529785201</v>
      </c>
      <c r="W673" s="234">
        <v>6.7551417350768999</v>
      </c>
      <c r="X673" s="234">
        <v>6.8526744842529297</v>
      </c>
      <c r="Y673" s="234">
        <v>6.9808459281921396</v>
      </c>
    </row>
    <row r="674" spans="1:26" x14ac:dyDescent="0.25">
      <c r="A674" s="230" t="s">
        <v>462</v>
      </c>
      <c r="B674" s="234">
        <v>5.6938004493713397</v>
      </c>
      <c r="C674" s="234">
        <v>6.4773354530334499</v>
      </c>
      <c r="D674" s="234">
        <v>7.1750593185424796</v>
      </c>
      <c r="E674" s="234">
        <v>6.8899416923522896</v>
      </c>
      <c r="F674" s="234">
        <v>7.0708780288696298</v>
      </c>
      <c r="G674" s="234">
        <v>7.0249619483947798</v>
      </c>
      <c r="H674" s="234">
        <v>6.9838500022888201</v>
      </c>
      <c r="I674" s="234">
        <v>6.9665460586547896</v>
      </c>
      <c r="J674" s="234">
        <v>6.9450497627258301</v>
      </c>
      <c r="K674" s="234">
        <v>6.8211231231689498</v>
      </c>
      <c r="L674" s="234">
        <v>6.8083920478820801</v>
      </c>
      <c r="M674" s="234">
        <v>6.7952175140380904</v>
      </c>
      <c r="N674" s="234">
        <v>6.8354115486145002</v>
      </c>
      <c r="O674" s="234">
        <v>6.8402228355407697</v>
      </c>
      <c r="P674" s="234">
        <v>6.9283905029296902</v>
      </c>
      <c r="Q674" s="234">
        <v>6.9566001892089799</v>
      </c>
      <c r="R674" s="234">
        <v>7.0452814102172896</v>
      </c>
      <c r="S674" s="234">
        <v>7.1418867111206099</v>
      </c>
      <c r="T674" s="234">
        <v>7.2127375602722203</v>
      </c>
      <c r="U674" s="234">
        <v>7.4472899436950701</v>
      </c>
      <c r="V674" s="234">
        <v>7.5714774131774902</v>
      </c>
      <c r="W674" s="234">
        <v>7.7267389297485396</v>
      </c>
      <c r="X674" s="234">
        <v>7.8528199195861799</v>
      </c>
      <c r="Y674" s="234">
        <v>8.0614786148071307</v>
      </c>
    </row>
    <row r="675" spans="1:26" x14ac:dyDescent="0.25">
      <c r="A675" s="230" t="s">
        <v>467</v>
      </c>
      <c r="B675" s="234">
        <v>3.9850425720214799</v>
      </c>
      <c r="C675" s="234">
        <v>4.7911210060119602</v>
      </c>
      <c r="D675" s="234">
        <v>5.5054440498352104</v>
      </c>
      <c r="E675" s="234">
        <v>5.3836627006530797</v>
      </c>
      <c r="F675" s="234">
        <v>5.6116971969604501</v>
      </c>
      <c r="G675" s="234">
        <v>5.6101722717285201</v>
      </c>
      <c r="H675" s="234">
        <v>5.61515140533447</v>
      </c>
      <c r="I675" s="234">
        <v>5.6134881973266602</v>
      </c>
      <c r="J675" s="234">
        <v>5.6123900413513201</v>
      </c>
      <c r="K675" s="234">
        <v>5.6186213493347203</v>
      </c>
      <c r="L675" s="234">
        <v>5.6204733848571804</v>
      </c>
      <c r="M675" s="234">
        <v>5.6265015602111799</v>
      </c>
      <c r="N675" s="234">
        <v>5.6295571327209499</v>
      </c>
      <c r="O675" s="234">
        <v>5.6379580497741699</v>
      </c>
      <c r="P675" s="234">
        <v>5.71999168395996</v>
      </c>
      <c r="Q675" s="234">
        <v>5.7965455055236799</v>
      </c>
      <c r="R675" s="234">
        <v>5.8776378631591797</v>
      </c>
      <c r="S675" s="234">
        <v>5.9570369720459002</v>
      </c>
      <c r="T675" s="234">
        <v>6.0351238250732404</v>
      </c>
      <c r="U675" s="234">
        <v>6.1149992942810103</v>
      </c>
      <c r="V675" s="234">
        <v>6.1950988769531303</v>
      </c>
      <c r="W675" s="234">
        <v>6.27585792541504</v>
      </c>
      <c r="X675" s="234">
        <v>6.3545475006103498</v>
      </c>
      <c r="Y675" s="234">
        <v>6.4353322982788104</v>
      </c>
    </row>
    <row r="676" spans="1:26" x14ac:dyDescent="0.25">
      <c r="A676" s="252" t="s">
        <v>464</v>
      </c>
      <c r="B676" s="234">
        <v>3.6857740879058798</v>
      </c>
      <c r="C676" s="234">
        <v>5.4593739509582502</v>
      </c>
      <c r="D676" s="234">
        <v>5.9836130142211896</v>
      </c>
      <c r="E676" s="234">
        <v>5.9218006134033203</v>
      </c>
      <c r="F676" s="234">
        <v>5.2758417129516602</v>
      </c>
      <c r="G676" s="234">
        <v>4.86041164398193</v>
      </c>
      <c r="H676" s="234">
        <v>4.5085921287536603</v>
      </c>
      <c r="I676" s="234">
        <v>4.4009499549865696</v>
      </c>
      <c r="J676" s="234">
        <v>4.3143215179443404</v>
      </c>
      <c r="K676" s="234">
        <v>4.3619651794433603</v>
      </c>
      <c r="L676" s="234">
        <v>4.4577717781066903</v>
      </c>
      <c r="M676" s="234">
        <v>4.5935211181640598</v>
      </c>
      <c r="N676" s="234">
        <v>4.72908592224121</v>
      </c>
      <c r="O676" s="234">
        <v>4.8101162910461399</v>
      </c>
      <c r="P676" s="234">
        <v>4.8377823829650897</v>
      </c>
      <c r="Q676" s="234">
        <v>4.7923994064331099</v>
      </c>
      <c r="R676" s="234">
        <v>4.8652648925781303</v>
      </c>
      <c r="S676" s="234">
        <v>5.0083761215209996</v>
      </c>
      <c r="T676" s="234">
        <v>5.2321648597717303</v>
      </c>
      <c r="U676" s="234">
        <v>5.32541704177856</v>
      </c>
      <c r="V676" s="234">
        <v>5.3230118751525897</v>
      </c>
      <c r="W676" s="234">
        <v>5.3357062339782697</v>
      </c>
      <c r="X676" s="234">
        <v>5.3972234725952104</v>
      </c>
      <c r="Y676" s="234">
        <v>5.4970946311950701</v>
      </c>
      <c r="Z676" s="260">
        <f>Y676+($AI$506-$Y$676)/10</f>
        <v>5.5250455710201605</v>
      </c>
    </row>
    <row r="677" spans="1:26" x14ac:dyDescent="0.25">
      <c r="A677" s="255" t="s">
        <v>472</v>
      </c>
      <c r="B677" s="234">
        <v>1.2699717283248899</v>
      </c>
      <c r="C677" s="234">
        <v>1.27919089794159</v>
      </c>
      <c r="D677" s="234">
        <v>1.2835900783538801</v>
      </c>
      <c r="E677" s="234">
        <v>1.28959560394287</v>
      </c>
      <c r="F677" s="234">
        <v>1.29778397083282</v>
      </c>
      <c r="G677" s="234">
        <v>1.28695380687714</v>
      </c>
      <c r="H677" s="234">
        <v>1.28577756881714</v>
      </c>
      <c r="I677" s="234">
        <v>1.27679371833801</v>
      </c>
      <c r="J677" s="234">
        <v>1.26281106472015</v>
      </c>
      <c r="K677" s="234">
        <v>1.25397908687592</v>
      </c>
      <c r="L677" s="234">
        <v>1.2489364147186299</v>
      </c>
      <c r="M677" s="234">
        <v>1.2449804544448899</v>
      </c>
      <c r="N677" s="234">
        <v>1.2430621385574301</v>
      </c>
      <c r="O677" s="234">
        <v>1.24259686470032</v>
      </c>
      <c r="P677" s="234">
        <v>1.24424111843109</v>
      </c>
      <c r="Q677" s="234">
        <v>1.2428184747695901</v>
      </c>
      <c r="R677" s="234">
        <v>1.24728739261627</v>
      </c>
      <c r="S677" s="234">
        <v>1.2513284683227499</v>
      </c>
      <c r="T677" s="234">
        <v>1.2762980461120601</v>
      </c>
      <c r="U677" s="234">
        <v>1.2851967811584499</v>
      </c>
      <c r="V677" s="234">
        <v>1.2969329357147199</v>
      </c>
      <c r="W677" s="234">
        <v>1.3016670942306501</v>
      </c>
      <c r="X677" s="234">
        <v>1.31676089763641</v>
      </c>
      <c r="Y677" s="234">
        <v>1.3290703296661399</v>
      </c>
      <c r="Z677" s="268">
        <f>Y677+($AI$507-$Y$677)/10</f>
        <v>1.3327822261431892</v>
      </c>
    </row>
    <row r="678" spans="1:26" x14ac:dyDescent="0.25">
      <c r="A678" s="230" t="s">
        <v>426</v>
      </c>
      <c r="B678" s="234" t="s">
        <v>426</v>
      </c>
      <c r="C678" s="234" t="s">
        <v>426</v>
      </c>
      <c r="D678" s="234" t="s">
        <v>426</v>
      </c>
      <c r="E678" s="234" t="s">
        <v>426</v>
      </c>
      <c r="F678" s="234" t="s">
        <v>426</v>
      </c>
      <c r="G678" s="234" t="s">
        <v>426</v>
      </c>
      <c r="H678" s="234" t="s">
        <v>426</v>
      </c>
      <c r="I678" s="234" t="s">
        <v>426</v>
      </c>
      <c r="J678" s="234" t="s">
        <v>426</v>
      </c>
      <c r="K678" s="234" t="s">
        <v>426</v>
      </c>
      <c r="L678" s="234" t="s">
        <v>426</v>
      </c>
      <c r="M678" s="234" t="s">
        <v>426</v>
      </c>
      <c r="N678" s="234" t="s">
        <v>426</v>
      </c>
      <c r="O678" s="234" t="s">
        <v>426</v>
      </c>
      <c r="P678" s="234" t="s">
        <v>426</v>
      </c>
      <c r="Q678" s="234" t="s">
        <v>426</v>
      </c>
      <c r="R678" s="234" t="s">
        <v>426</v>
      </c>
      <c r="S678" s="234" t="s">
        <v>426</v>
      </c>
      <c r="T678" s="234" t="s">
        <v>426</v>
      </c>
      <c r="U678" s="234" t="s">
        <v>426</v>
      </c>
      <c r="V678" s="234" t="s">
        <v>426</v>
      </c>
      <c r="W678" s="234" t="s">
        <v>426</v>
      </c>
      <c r="X678" s="234" t="s">
        <v>426</v>
      </c>
      <c r="Y678" s="234" t="s">
        <v>426</v>
      </c>
    </row>
    <row r="679" spans="1:26" x14ac:dyDescent="0.25">
      <c r="A679" s="230" t="s">
        <v>489</v>
      </c>
      <c r="B679" s="234" t="s">
        <v>426</v>
      </c>
      <c r="C679" s="234" t="s">
        <v>426</v>
      </c>
      <c r="D679" s="234" t="s">
        <v>426</v>
      </c>
      <c r="E679" s="234" t="s">
        <v>426</v>
      </c>
      <c r="F679" s="234" t="s">
        <v>426</v>
      </c>
      <c r="G679" s="234" t="s">
        <v>426</v>
      </c>
      <c r="H679" s="234" t="s">
        <v>426</v>
      </c>
      <c r="I679" s="234" t="s">
        <v>426</v>
      </c>
      <c r="J679" s="234" t="s">
        <v>426</v>
      </c>
      <c r="K679" s="234" t="s">
        <v>426</v>
      </c>
      <c r="L679" s="234" t="s">
        <v>426</v>
      </c>
      <c r="M679" s="234" t="s">
        <v>426</v>
      </c>
      <c r="N679" s="234" t="s">
        <v>426</v>
      </c>
      <c r="O679" s="234" t="s">
        <v>426</v>
      </c>
      <c r="P679" s="234" t="s">
        <v>426</v>
      </c>
      <c r="Q679" s="234" t="s">
        <v>426</v>
      </c>
      <c r="R679" s="234" t="s">
        <v>426</v>
      </c>
      <c r="S679" s="234" t="s">
        <v>426</v>
      </c>
      <c r="T679" s="234" t="s">
        <v>426</v>
      </c>
      <c r="U679" s="234" t="s">
        <v>426</v>
      </c>
      <c r="V679" s="234" t="s">
        <v>426</v>
      </c>
      <c r="W679" s="234" t="s">
        <v>426</v>
      </c>
      <c r="X679" s="234" t="s">
        <v>426</v>
      </c>
      <c r="Y679" s="234" t="s">
        <v>426</v>
      </c>
    </row>
    <row r="680" spans="1:26" x14ac:dyDescent="0.25">
      <c r="A680" s="230" t="s">
        <v>490</v>
      </c>
      <c r="B680" s="234">
        <v>9.0916013717651403</v>
      </c>
      <c r="C680" s="234">
        <v>10.5092258453369</v>
      </c>
      <c r="D680" s="234">
        <v>12.005053520202599</v>
      </c>
      <c r="E680" s="234">
        <v>11.6376342773438</v>
      </c>
      <c r="F680" s="234">
        <v>11.8251142501831</v>
      </c>
      <c r="G680" s="234">
        <v>11.7351989746094</v>
      </c>
      <c r="H680" s="234">
        <v>11.6926622390747</v>
      </c>
      <c r="I680" s="234">
        <v>11.6848964691162</v>
      </c>
      <c r="J680" s="234">
        <v>11.6311902999878</v>
      </c>
      <c r="K680" s="234">
        <v>11.6124935150146</v>
      </c>
      <c r="L680" s="234">
        <v>11.616386413574199</v>
      </c>
      <c r="M680" s="234">
        <v>11.566198348999</v>
      </c>
      <c r="N680" s="234">
        <v>11.5507049560547</v>
      </c>
      <c r="O680" s="234">
        <v>11.475526809692401</v>
      </c>
      <c r="P680" s="234">
        <v>11.520403861999499</v>
      </c>
      <c r="Q680" s="234">
        <v>11.477831840515099</v>
      </c>
      <c r="R680" s="234">
        <v>11.5152139663696</v>
      </c>
      <c r="S680" s="234">
        <v>11.577165603637701</v>
      </c>
      <c r="T680" s="234">
        <v>11.5678558349609</v>
      </c>
      <c r="U680" s="234">
        <v>11.7752237319946</v>
      </c>
      <c r="V680" s="234">
        <v>11.90793800354</v>
      </c>
      <c r="W680" s="234">
        <v>12.0465354919434</v>
      </c>
      <c r="X680" s="234">
        <v>12.1843271255493</v>
      </c>
      <c r="Y680" s="234">
        <v>12.407506942749</v>
      </c>
    </row>
    <row r="681" spans="1:26" x14ac:dyDescent="0.25">
      <c r="A681" s="230" t="s">
        <v>491</v>
      </c>
      <c r="B681" s="234">
        <v>8.7129955291747994</v>
      </c>
      <c r="C681" s="234">
        <v>9.89868068695068</v>
      </c>
      <c r="D681" s="234">
        <v>10.9323635101318</v>
      </c>
      <c r="E681" s="234">
        <v>10.516573905944799</v>
      </c>
      <c r="F681" s="234">
        <v>10.8896884918213</v>
      </c>
      <c r="G681" s="234">
        <v>11.1545400619507</v>
      </c>
      <c r="H681" s="234">
        <v>11.1602163314819</v>
      </c>
      <c r="I681" s="234">
        <v>11.210696220397899</v>
      </c>
      <c r="J681" s="234">
        <v>11.2655477523804</v>
      </c>
      <c r="K681" s="234">
        <v>11.312797546386699</v>
      </c>
      <c r="L681" s="234">
        <v>11.4240579605103</v>
      </c>
      <c r="M681" s="234">
        <v>11.453408241271999</v>
      </c>
      <c r="N681" s="234">
        <v>11.43030834198</v>
      </c>
      <c r="O681" s="234">
        <v>11.241268157959</v>
      </c>
      <c r="P681" s="234">
        <v>11.0996809005737</v>
      </c>
      <c r="Q681" s="234">
        <v>10.9476537704468</v>
      </c>
      <c r="R681" s="234">
        <v>10.947796821594199</v>
      </c>
      <c r="S681" s="234">
        <v>10.974308013916</v>
      </c>
      <c r="T681" s="234">
        <v>11.019621849060099</v>
      </c>
      <c r="U681" s="234">
        <v>11.1190385818481</v>
      </c>
      <c r="V681" s="234">
        <v>11.172901153564499</v>
      </c>
      <c r="W681" s="234">
        <v>11.2430562973022</v>
      </c>
      <c r="X681" s="234">
        <v>11.376879692077599</v>
      </c>
      <c r="Y681" s="234">
        <v>11.7449541091919</v>
      </c>
    </row>
    <row r="682" spans="1:26" x14ac:dyDescent="0.25">
      <c r="A682" s="230" t="s">
        <v>492</v>
      </c>
      <c r="B682" s="234">
        <v>6.0538434982299796</v>
      </c>
      <c r="C682" s="234">
        <v>6.4578518867492702</v>
      </c>
      <c r="D682" s="234">
        <v>8.1168746948242205</v>
      </c>
      <c r="E682" s="234">
        <v>7.6875567436218297</v>
      </c>
      <c r="F682" s="234">
        <v>7.8739576339721697</v>
      </c>
      <c r="G682" s="234">
        <v>7.8265089988708496</v>
      </c>
      <c r="H682" s="234">
        <v>7.9840884208679199</v>
      </c>
      <c r="I682" s="234">
        <v>8.0166091918945295</v>
      </c>
      <c r="J682" s="234">
        <v>7.8608303070068404</v>
      </c>
      <c r="K682" s="234">
        <v>7.81276655197144</v>
      </c>
      <c r="L682" s="234">
        <v>7.8045797348022496</v>
      </c>
      <c r="M682" s="234">
        <v>7.7928524017334002</v>
      </c>
      <c r="N682" s="234">
        <v>7.7725591659545898</v>
      </c>
      <c r="O682" s="234">
        <v>7.7157216072082502</v>
      </c>
      <c r="P682" s="234">
        <v>7.7164225578308097</v>
      </c>
      <c r="Q682" s="234">
        <v>7.6991229057312003</v>
      </c>
      <c r="R682" s="234">
        <v>7.7546834945678702</v>
      </c>
      <c r="S682" s="234">
        <v>7.8412432670593297</v>
      </c>
      <c r="T682" s="234">
        <v>7.8916783332824698</v>
      </c>
      <c r="U682" s="234">
        <v>8.0530261993408203</v>
      </c>
      <c r="V682" s="234">
        <v>8.1459932327270508</v>
      </c>
      <c r="W682" s="234">
        <v>8.2922735214233398</v>
      </c>
      <c r="X682" s="234">
        <v>8.4199304580688494</v>
      </c>
      <c r="Y682" s="234">
        <v>8.7479171752929705</v>
      </c>
    </row>
    <row r="683" spans="1:26" x14ac:dyDescent="0.25">
      <c r="A683" s="230" t="s">
        <v>493</v>
      </c>
      <c r="B683" s="234">
        <v>9.5166797637939506</v>
      </c>
      <c r="C683" s="234">
        <v>13.0396432876587</v>
      </c>
      <c r="D683" s="234">
        <v>15.6858806610107</v>
      </c>
      <c r="E683" s="234">
        <v>14.0740518569946</v>
      </c>
      <c r="F683" s="234">
        <v>13.2904262542725</v>
      </c>
      <c r="G683" s="234">
        <v>13.309534072876</v>
      </c>
      <c r="H683" s="234">
        <v>13.149743080139199</v>
      </c>
      <c r="I683" s="234">
        <v>13.0244760513306</v>
      </c>
      <c r="J683" s="234">
        <v>13.1580867767334</v>
      </c>
      <c r="K683" s="234">
        <v>12.982262611389199</v>
      </c>
      <c r="L683" s="234">
        <v>12.9337568283081</v>
      </c>
      <c r="M683" s="234">
        <v>12.8646802902222</v>
      </c>
      <c r="N683" s="234">
        <v>12.621651649475099</v>
      </c>
      <c r="O683" s="234">
        <v>12.775475502014199</v>
      </c>
      <c r="P683" s="234">
        <v>12.937217712402299</v>
      </c>
      <c r="Q683" s="234">
        <v>13.1492967605591</v>
      </c>
      <c r="R683" s="234">
        <v>13.286898612976101</v>
      </c>
      <c r="S683" s="234">
        <v>13.3753395080566</v>
      </c>
      <c r="T683" s="234">
        <v>13.277045249939</v>
      </c>
      <c r="U683" s="234">
        <v>13.584378242492701</v>
      </c>
      <c r="V683" s="234">
        <v>13.775920867919901</v>
      </c>
      <c r="W683" s="234">
        <v>13.987989425659199</v>
      </c>
      <c r="X683" s="234">
        <v>14.116153717041</v>
      </c>
      <c r="Y683" s="234">
        <v>14.3756980895996</v>
      </c>
    </row>
    <row r="684" spans="1:26" x14ac:dyDescent="0.25">
      <c r="A684" s="230" t="s">
        <v>494</v>
      </c>
      <c r="B684" s="234">
        <v>11.3185987472534</v>
      </c>
      <c r="C684" s="234">
        <v>12.9258327484131</v>
      </c>
      <c r="D684" s="234">
        <v>14.650143623352101</v>
      </c>
      <c r="E684" s="234">
        <v>14.344244956970201</v>
      </c>
      <c r="F684" s="234">
        <v>14.6975507736206</v>
      </c>
      <c r="G684" s="234">
        <v>14.347893714904799</v>
      </c>
      <c r="H684" s="234">
        <v>14.238919258117701</v>
      </c>
      <c r="I684" s="234">
        <v>14.238542556762701</v>
      </c>
      <c r="J684" s="234">
        <v>14.0666351318359</v>
      </c>
      <c r="K684" s="234">
        <v>14.0516872406006</v>
      </c>
      <c r="L684" s="234">
        <v>14.0139780044556</v>
      </c>
      <c r="M684" s="234">
        <v>13.894681930541999</v>
      </c>
      <c r="N684" s="234">
        <v>13.9225015640259</v>
      </c>
      <c r="O684" s="234">
        <v>13.8080444335938</v>
      </c>
      <c r="P684" s="234">
        <v>13.9091501235962</v>
      </c>
      <c r="Q684" s="234">
        <v>13.810170173645</v>
      </c>
      <c r="R684" s="234">
        <v>13.822598457336399</v>
      </c>
      <c r="S684" s="234">
        <v>13.882239341735801</v>
      </c>
      <c r="T684" s="234">
        <v>13.824323654174799</v>
      </c>
      <c r="U684" s="234">
        <v>14.0693578720093</v>
      </c>
      <c r="V684" s="234">
        <v>14.2271223068237</v>
      </c>
      <c r="W684" s="234">
        <v>14.3637847900391</v>
      </c>
      <c r="X684" s="234">
        <v>14.4981489181519</v>
      </c>
      <c r="Y684" s="234">
        <v>14.5947113037109</v>
      </c>
    </row>
    <row r="685" spans="1:26" x14ac:dyDescent="0.25">
      <c r="A685" s="230" t="s">
        <v>495</v>
      </c>
      <c r="B685" s="234">
        <v>3.9308724403381299</v>
      </c>
      <c r="C685" s="234">
        <v>4.6628575325012198</v>
      </c>
      <c r="D685" s="234">
        <v>5.07232666015625</v>
      </c>
      <c r="E685" s="234">
        <v>5.1433587074279803</v>
      </c>
      <c r="F685" s="234">
        <v>5.4173622131347701</v>
      </c>
      <c r="G685" s="234">
        <v>5.4097323417663601</v>
      </c>
      <c r="H685" s="234">
        <v>5.3977632522582999</v>
      </c>
      <c r="I685" s="234">
        <v>5.3867764472961399</v>
      </c>
      <c r="J685" s="234">
        <v>5.3854241371154803</v>
      </c>
      <c r="K685" s="234">
        <v>5.3919448852539098</v>
      </c>
      <c r="L685" s="234">
        <v>5.3981180191040004</v>
      </c>
      <c r="M685" s="234">
        <v>5.4056487083435103</v>
      </c>
      <c r="N685" s="234">
        <v>5.4104261398315403</v>
      </c>
      <c r="O685" s="234">
        <v>5.4168543815612802</v>
      </c>
      <c r="P685" s="234">
        <v>5.4972262382507298</v>
      </c>
      <c r="Q685" s="234">
        <v>5.5698432922363299</v>
      </c>
      <c r="R685" s="234">
        <v>5.6456804275512704</v>
      </c>
      <c r="S685" s="234">
        <v>5.7250947952270499</v>
      </c>
      <c r="T685" s="234">
        <v>5.8020553588867196</v>
      </c>
      <c r="U685" s="234">
        <v>5.88106393814087</v>
      </c>
      <c r="V685" s="234">
        <v>5.9598326683044398</v>
      </c>
      <c r="W685" s="234">
        <v>6.0394186973571804</v>
      </c>
      <c r="X685" s="234">
        <v>6.11779880523682</v>
      </c>
      <c r="Y685" s="234">
        <v>6.2010583877563503</v>
      </c>
    </row>
    <row r="686" spans="1:26" x14ac:dyDescent="0.25">
      <c r="A686" s="230" t="s">
        <v>496</v>
      </c>
      <c r="B686" s="234">
        <v>5.1461992263793901</v>
      </c>
      <c r="C686" s="234">
        <v>6.8558807373046902</v>
      </c>
      <c r="D686" s="234">
        <v>7.3508062362670898</v>
      </c>
      <c r="E686" s="234">
        <v>7.3840570449829102</v>
      </c>
      <c r="F686" s="234">
        <v>6.7167382240295401</v>
      </c>
      <c r="G686" s="234">
        <v>6.27575588226318</v>
      </c>
      <c r="H686" s="234">
        <v>5.86295366287231</v>
      </c>
      <c r="I686" s="234">
        <v>5.7038016319274902</v>
      </c>
      <c r="J686" s="234">
        <v>5.5520119667053196</v>
      </c>
      <c r="K686" s="234">
        <v>5.5432248115539604</v>
      </c>
      <c r="L686" s="234">
        <v>5.5985813140869096</v>
      </c>
      <c r="M686" s="234">
        <v>5.70459079742432</v>
      </c>
      <c r="N686" s="234">
        <v>5.8318381309509304</v>
      </c>
      <c r="O686" s="234">
        <v>5.9191007614135698</v>
      </c>
      <c r="P686" s="234">
        <v>5.9519534111022896</v>
      </c>
      <c r="Q686" s="234">
        <v>5.8878293037414604</v>
      </c>
      <c r="R686" s="234">
        <v>5.94315385818481</v>
      </c>
      <c r="S686" s="234">
        <v>6.08443307876587</v>
      </c>
      <c r="T686" s="234">
        <v>6.3156557083129901</v>
      </c>
      <c r="U686" s="234">
        <v>6.4281539916992196</v>
      </c>
      <c r="V686" s="234">
        <v>6.4433326721191397</v>
      </c>
      <c r="W686" s="234">
        <v>6.4763746261596697</v>
      </c>
      <c r="X686" s="234">
        <v>6.5396862030029297</v>
      </c>
      <c r="Y686" s="234">
        <v>6.6462817192077601</v>
      </c>
    </row>
    <row r="687" spans="1:26" x14ac:dyDescent="0.25">
      <c r="A687" s="230" t="s">
        <v>497</v>
      </c>
      <c r="B687" s="234">
        <v>1.2938040494918801</v>
      </c>
      <c r="C687" s="234">
        <v>1.29924309253693</v>
      </c>
      <c r="D687" s="234">
        <v>1.3041912317276001</v>
      </c>
      <c r="E687" s="234">
        <v>1.3119194507598899</v>
      </c>
      <c r="F687" s="234">
        <v>1.3187216520309399</v>
      </c>
      <c r="G687" s="234">
        <v>1.3072546720504801</v>
      </c>
      <c r="H687" s="234">
        <v>1.3059933185577399</v>
      </c>
      <c r="I687" s="234">
        <v>1.2971544265747099</v>
      </c>
      <c r="J687" s="234">
        <v>1.2836289405822801</v>
      </c>
      <c r="K687" s="234">
        <v>1.2749706506729099</v>
      </c>
      <c r="L687" s="234">
        <v>1.26953566074371</v>
      </c>
      <c r="M687" s="234">
        <v>1.2652333974838299</v>
      </c>
      <c r="N687" s="234">
        <v>1.2631930112838701</v>
      </c>
      <c r="O687" s="234">
        <v>1.2626041173934901</v>
      </c>
      <c r="P687" s="234">
        <v>1.26433837413788</v>
      </c>
      <c r="Q687" s="234">
        <v>1.26277422904968</v>
      </c>
      <c r="R687" s="234">
        <v>1.2691743373870801</v>
      </c>
      <c r="S687" s="234">
        <v>1.27585673332214</v>
      </c>
      <c r="T687" s="234">
        <v>1.3034254312515301</v>
      </c>
      <c r="U687" s="234">
        <v>1.3139834403991699</v>
      </c>
      <c r="V687" s="234">
        <v>1.32844221591949</v>
      </c>
      <c r="W687" s="234">
        <v>1.3343856334686299</v>
      </c>
      <c r="X687" s="234">
        <v>1.3519768714904801</v>
      </c>
      <c r="Y687" s="234">
        <v>1.3668735027313199</v>
      </c>
    </row>
    <row r="688" spans="1:26" x14ac:dyDescent="0.25">
      <c r="A688" s="230" t="s">
        <v>498</v>
      </c>
      <c r="B688" s="234">
        <v>14.6543264389038</v>
      </c>
      <c r="C688" s="234">
        <v>16.232709884643601</v>
      </c>
      <c r="D688" s="234">
        <v>19.6646022796631</v>
      </c>
      <c r="E688" s="234">
        <v>19.716905593872099</v>
      </c>
      <c r="F688" s="234">
        <v>20.910398483276399</v>
      </c>
      <c r="G688" s="234">
        <v>20.088336944580099</v>
      </c>
      <c r="H688" s="234">
        <v>20.034643173217798</v>
      </c>
      <c r="I688" s="234">
        <v>19.876234054565401</v>
      </c>
      <c r="J688" s="234">
        <v>19.0899848937988</v>
      </c>
      <c r="K688" s="234">
        <v>19.0770473480225</v>
      </c>
      <c r="L688" s="234">
        <v>18.9334907531738</v>
      </c>
      <c r="M688" s="234">
        <v>18.8203315734863</v>
      </c>
      <c r="N688" s="234">
        <v>18.8769016265869</v>
      </c>
      <c r="O688" s="234">
        <v>18.733657836914102</v>
      </c>
      <c r="P688" s="234">
        <v>18.836368560791001</v>
      </c>
      <c r="Q688" s="234">
        <v>18.717578887939499</v>
      </c>
      <c r="R688" s="234">
        <v>18.677961349487301</v>
      </c>
      <c r="S688" s="234">
        <v>18.768825531005898</v>
      </c>
      <c r="T688" s="234">
        <v>18.702945709228501</v>
      </c>
      <c r="U688" s="234">
        <v>19.039726257324201</v>
      </c>
      <c r="V688" s="234">
        <v>19.213029861450199</v>
      </c>
      <c r="W688" s="234">
        <v>19.429216384887699</v>
      </c>
      <c r="X688" s="234">
        <v>19.537574768066399</v>
      </c>
      <c r="Y688" s="234">
        <v>19.6945476531982</v>
      </c>
    </row>
    <row r="689" spans="1:28" x14ac:dyDescent="0.25">
      <c r="A689" s="230" t="s">
        <v>465</v>
      </c>
      <c r="B689" s="234">
        <v>21.599882125854499</v>
      </c>
      <c r="C689" s="234">
        <v>21.735733032226602</v>
      </c>
      <c r="D689" s="234">
        <v>21.731866836547901</v>
      </c>
      <c r="E689" s="234">
        <v>21.659553527831999</v>
      </c>
      <c r="F689" s="234">
        <v>20.918876647949201</v>
      </c>
      <c r="G689" s="234">
        <v>20.055833816528299</v>
      </c>
      <c r="H689" s="234">
        <v>19.596654891967798</v>
      </c>
      <c r="I689" s="234">
        <v>19.579929351806602</v>
      </c>
      <c r="J689" s="234">
        <v>19.517631530761701</v>
      </c>
      <c r="K689" s="234">
        <v>19.486770629882798</v>
      </c>
      <c r="L689" s="234">
        <v>19.702039718627901</v>
      </c>
      <c r="M689" s="234">
        <v>19.955158233642599</v>
      </c>
      <c r="N689" s="234">
        <v>20.317079544067401</v>
      </c>
      <c r="O689" s="234">
        <v>20.442613601684599</v>
      </c>
      <c r="P689" s="234">
        <v>20.578334808349599</v>
      </c>
      <c r="Q689" s="234">
        <v>20.580734252929702</v>
      </c>
      <c r="R689" s="234">
        <v>20.7274265289307</v>
      </c>
      <c r="S689" s="234">
        <v>20.953577041626001</v>
      </c>
      <c r="T689" s="234">
        <v>21.262916564941399</v>
      </c>
      <c r="U689" s="234">
        <v>21.454774856567401</v>
      </c>
      <c r="V689" s="234">
        <v>21.4308891296387</v>
      </c>
      <c r="W689" s="234">
        <v>21.3733520507813</v>
      </c>
      <c r="X689" s="234">
        <v>21.452013015747099</v>
      </c>
      <c r="Y689" s="234">
        <v>21.5757865905762</v>
      </c>
    </row>
    <row r="690" spans="1:28" x14ac:dyDescent="0.25">
      <c r="A690" s="230" t="s">
        <v>426</v>
      </c>
      <c r="B690" s="234" t="s">
        <v>426</v>
      </c>
      <c r="C690" s="234" t="s">
        <v>426</v>
      </c>
      <c r="D690" s="234" t="s">
        <v>426</v>
      </c>
      <c r="E690" s="234" t="s">
        <v>426</v>
      </c>
      <c r="F690" s="234" t="s">
        <v>426</v>
      </c>
      <c r="G690" s="234" t="s">
        <v>426</v>
      </c>
      <c r="H690" s="234" t="s">
        <v>426</v>
      </c>
      <c r="I690" s="234" t="s">
        <v>426</v>
      </c>
      <c r="J690" s="234" t="s">
        <v>426</v>
      </c>
      <c r="K690" s="234" t="s">
        <v>426</v>
      </c>
      <c r="L690" s="234" t="s">
        <v>426</v>
      </c>
      <c r="M690" s="234" t="s">
        <v>426</v>
      </c>
      <c r="N690" s="234" t="s">
        <v>426</v>
      </c>
      <c r="O690" s="234" t="s">
        <v>426</v>
      </c>
      <c r="P690" s="234" t="s">
        <v>426</v>
      </c>
      <c r="Q690" s="234" t="s">
        <v>426</v>
      </c>
      <c r="R690" s="234" t="s">
        <v>426</v>
      </c>
      <c r="S690" s="234" t="s">
        <v>426</v>
      </c>
      <c r="T690" s="234" t="s">
        <v>426</v>
      </c>
      <c r="U690" s="234" t="s">
        <v>426</v>
      </c>
      <c r="V690" s="234" t="s">
        <v>426</v>
      </c>
      <c r="W690" s="234" t="s">
        <v>426</v>
      </c>
      <c r="X690" s="234" t="s">
        <v>426</v>
      </c>
      <c r="Y690" s="234" t="s">
        <v>426</v>
      </c>
    </row>
    <row r="691" spans="1:28" x14ac:dyDescent="0.25">
      <c r="A691" s="230" t="s">
        <v>499</v>
      </c>
      <c r="B691" s="234" t="s">
        <v>426</v>
      </c>
      <c r="C691" s="234" t="s">
        <v>426</v>
      </c>
      <c r="D691" s="234" t="s">
        <v>426</v>
      </c>
      <c r="E691" s="234" t="s">
        <v>426</v>
      </c>
      <c r="F691" s="234" t="s">
        <v>426</v>
      </c>
      <c r="G691" s="234" t="s">
        <v>426</v>
      </c>
      <c r="H691" s="234" t="s">
        <v>426</v>
      </c>
      <c r="I691" s="234" t="s">
        <v>426</v>
      </c>
      <c r="J691" s="234" t="s">
        <v>426</v>
      </c>
      <c r="K691" s="234" t="s">
        <v>426</v>
      </c>
      <c r="L691" s="234" t="s">
        <v>426</v>
      </c>
      <c r="M691" s="234" t="s">
        <v>426</v>
      </c>
      <c r="N691" s="234" t="s">
        <v>426</v>
      </c>
      <c r="O691" s="234" t="s">
        <v>426</v>
      </c>
      <c r="P691" s="234" t="s">
        <v>426</v>
      </c>
      <c r="Q691" s="234" t="s">
        <v>426</v>
      </c>
      <c r="R691" s="234" t="s">
        <v>426</v>
      </c>
      <c r="S691" s="234" t="s">
        <v>426</v>
      </c>
      <c r="T691" s="234" t="s">
        <v>426</v>
      </c>
      <c r="U691" s="234" t="s">
        <v>426</v>
      </c>
      <c r="V691" s="234" t="s">
        <v>426</v>
      </c>
      <c r="W691" s="234" t="s">
        <v>426</v>
      </c>
      <c r="X691" s="234" t="s">
        <v>426</v>
      </c>
      <c r="Y691" s="234" t="s">
        <v>426</v>
      </c>
    </row>
    <row r="692" spans="1:28" x14ac:dyDescent="0.25">
      <c r="A692" s="230" t="s">
        <v>500</v>
      </c>
      <c r="B692" s="234" t="s">
        <v>426</v>
      </c>
      <c r="C692" s="234" t="s">
        <v>426</v>
      </c>
      <c r="D692" s="234" t="s">
        <v>426</v>
      </c>
      <c r="E692" s="234" t="s">
        <v>426</v>
      </c>
      <c r="F692" s="234" t="s">
        <v>426</v>
      </c>
      <c r="G692" s="234" t="s">
        <v>426</v>
      </c>
      <c r="H692" s="234" t="s">
        <v>426</v>
      </c>
      <c r="I692" s="234" t="s">
        <v>426</v>
      </c>
      <c r="J692" s="234" t="s">
        <v>426</v>
      </c>
      <c r="K692" s="234" t="s">
        <v>426</v>
      </c>
      <c r="L692" s="234" t="s">
        <v>426</v>
      </c>
      <c r="M692" s="234" t="s">
        <v>426</v>
      </c>
      <c r="N692" s="234" t="s">
        <v>426</v>
      </c>
      <c r="O692" s="234" t="s">
        <v>426</v>
      </c>
      <c r="P692" s="234" t="s">
        <v>426</v>
      </c>
      <c r="Q692" s="234" t="s">
        <v>426</v>
      </c>
      <c r="R692" s="234" t="s">
        <v>426</v>
      </c>
      <c r="S692" s="234" t="s">
        <v>426</v>
      </c>
      <c r="T692" s="234" t="s">
        <v>426</v>
      </c>
      <c r="U692" s="234" t="s">
        <v>426</v>
      </c>
      <c r="V692" s="234" t="s">
        <v>426</v>
      </c>
      <c r="W692" s="234" t="s">
        <v>426</v>
      </c>
      <c r="X692" s="234" t="s">
        <v>426</v>
      </c>
      <c r="Y692" s="234" t="s">
        <v>426</v>
      </c>
    </row>
    <row r="693" spans="1:28" x14ac:dyDescent="0.25">
      <c r="A693" s="230" t="s">
        <v>459</v>
      </c>
      <c r="B693" s="234">
        <v>163.90481567382801</v>
      </c>
      <c r="C693" s="234">
        <v>177.16523742675801</v>
      </c>
      <c r="D693" s="234">
        <v>181.73590087890599</v>
      </c>
      <c r="E693" s="234">
        <v>185.241622924805</v>
      </c>
      <c r="F693" s="234">
        <v>180.05682373046901</v>
      </c>
      <c r="G693" s="234">
        <v>176.427001953125</v>
      </c>
      <c r="H693" s="234">
        <v>175.07618713378901</v>
      </c>
      <c r="I693" s="234">
        <v>176.51165771484401</v>
      </c>
      <c r="J693" s="234">
        <v>178.08059692382801</v>
      </c>
      <c r="K693" s="234">
        <v>180.014236450195</v>
      </c>
      <c r="L693" s="234">
        <v>183.85498046875</v>
      </c>
      <c r="M693" s="234">
        <v>187.18310546875</v>
      </c>
      <c r="N693" s="234">
        <v>191.43936157226599</v>
      </c>
      <c r="O693" s="234">
        <v>194.37899780273401</v>
      </c>
      <c r="P693" s="234">
        <v>197.52023315429699</v>
      </c>
      <c r="Q693" s="234">
        <v>198.76248168945301</v>
      </c>
      <c r="R693" s="234">
        <v>201.94073486328099</v>
      </c>
      <c r="S693" s="234">
        <v>206.017013549805</v>
      </c>
      <c r="T693" s="234">
        <v>211.20541381835901</v>
      </c>
      <c r="U693" s="234">
        <v>214.41099548339801</v>
      </c>
      <c r="V693" s="234">
        <v>216.40347290039099</v>
      </c>
      <c r="W693" s="234">
        <v>218.64796447753901</v>
      </c>
      <c r="X693" s="234">
        <v>222.25126647949199</v>
      </c>
      <c r="Y693" s="234">
        <v>225.36584472656301</v>
      </c>
      <c r="AA693" s="281"/>
      <c r="AB693" s="281"/>
    </row>
    <row r="694" spans="1:28" x14ac:dyDescent="0.25">
      <c r="A694" s="230" t="s">
        <v>466</v>
      </c>
      <c r="B694" s="234">
        <v>122.690147399902</v>
      </c>
      <c r="C694" s="234">
        <v>128.153732299805</v>
      </c>
      <c r="D694" s="234">
        <v>130.48612976074199</v>
      </c>
      <c r="E694" s="234">
        <v>132.29133605957</v>
      </c>
      <c r="F694" s="234">
        <v>129.27566528320301</v>
      </c>
      <c r="G694" s="234">
        <v>126.887260437012</v>
      </c>
      <c r="H694" s="234">
        <v>126.692184448242</v>
      </c>
      <c r="I694" s="234">
        <v>129.41491699218801</v>
      </c>
      <c r="J694" s="234">
        <v>131.90731811523401</v>
      </c>
      <c r="K694" s="234">
        <v>135.04089355468801</v>
      </c>
      <c r="L694" s="234">
        <v>139.741943359375</v>
      </c>
      <c r="M694" s="234">
        <v>144.63902282714801</v>
      </c>
      <c r="N694" s="234">
        <v>150.53921508789099</v>
      </c>
      <c r="O694" s="234">
        <v>154.864669799805</v>
      </c>
      <c r="P694" s="234">
        <v>159.25378417968801</v>
      </c>
      <c r="Q694" s="234">
        <v>162.59527587890599</v>
      </c>
      <c r="R694" s="234">
        <v>167.29981994628901</v>
      </c>
      <c r="S694" s="234">
        <v>172.854415893555</v>
      </c>
      <c r="T694" s="234">
        <v>179.18412780761699</v>
      </c>
      <c r="U694" s="234">
        <v>184.76553344726599</v>
      </c>
      <c r="V694" s="234">
        <v>188.65592956543</v>
      </c>
      <c r="W694" s="234">
        <v>192.56275939941401</v>
      </c>
      <c r="X694" s="234">
        <v>197.80290222168</v>
      </c>
      <c r="Y694" s="234">
        <v>203.64804077148401</v>
      </c>
    </row>
    <row r="695" spans="1:28" x14ac:dyDescent="0.25">
      <c r="A695" s="230" t="s">
        <v>501</v>
      </c>
      <c r="B695" s="234">
        <v>124.39901733398401</v>
      </c>
      <c r="C695" s="234">
        <v>147.11244201660199</v>
      </c>
      <c r="D695" s="234">
        <v>168.13270568847699</v>
      </c>
      <c r="E695" s="234">
        <v>167.53501892089801</v>
      </c>
      <c r="F695" s="234">
        <v>157.82022094726599</v>
      </c>
      <c r="G695" s="234">
        <v>152.842697143555</v>
      </c>
      <c r="H695" s="234">
        <v>151.28466796875</v>
      </c>
      <c r="I695" s="234">
        <v>151.59564208984401</v>
      </c>
      <c r="J695" s="234">
        <v>151.94683837890599</v>
      </c>
      <c r="K695" s="234">
        <v>152.62234497070301</v>
      </c>
      <c r="L695" s="234">
        <v>154.60144042968801</v>
      </c>
      <c r="M695" s="234">
        <v>156.88139343261699</v>
      </c>
      <c r="N695" s="234">
        <v>159.98997497558599</v>
      </c>
      <c r="O695" s="234">
        <v>162.62356567382801</v>
      </c>
      <c r="P695" s="234">
        <v>164.507247924805</v>
      </c>
      <c r="Q695" s="234">
        <v>166.59835815429699</v>
      </c>
      <c r="R695" s="234">
        <v>170.382568359375</v>
      </c>
      <c r="S695" s="234">
        <v>174.95167541503901</v>
      </c>
      <c r="T695" s="234">
        <v>179.57080078125</v>
      </c>
      <c r="U695" s="234">
        <v>184.12712097168</v>
      </c>
      <c r="V695" s="234">
        <v>186.42012023925801</v>
      </c>
      <c r="W695" s="234">
        <v>189.56260681152301</v>
      </c>
      <c r="X695" s="234">
        <v>192.98284912109401</v>
      </c>
      <c r="Y695" s="234">
        <v>198.25885009765599</v>
      </c>
    </row>
    <row r="696" spans="1:28" x14ac:dyDescent="0.25">
      <c r="A696" s="230" t="s">
        <v>473</v>
      </c>
      <c r="B696" s="234">
        <v>263.72879028320301</v>
      </c>
      <c r="C696" s="234">
        <v>302.59255981445301</v>
      </c>
      <c r="D696" s="234">
        <v>352.23825073242199</v>
      </c>
      <c r="E696" s="234">
        <v>351.13717651367199</v>
      </c>
      <c r="F696" s="234">
        <v>366.34793090820301</v>
      </c>
      <c r="G696" s="234">
        <v>368.76159667968801</v>
      </c>
      <c r="H696" s="234">
        <v>374.76626586914102</v>
      </c>
      <c r="I696" s="234">
        <v>382.39471435546898</v>
      </c>
      <c r="J696" s="234">
        <v>385.90115356445301</v>
      </c>
      <c r="K696" s="234">
        <v>392.12625122070301</v>
      </c>
      <c r="L696" s="234">
        <v>398.68222045898398</v>
      </c>
      <c r="M696" s="234">
        <v>403.06192016601602</v>
      </c>
      <c r="N696" s="234">
        <v>409.94515991210898</v>
      </c>
      <c r="O696" s="234">
        <v>412.30630493164102</v>
      </c>
      <c r="P696" s="234">
        <v>418.64147949218801</v>
      </c>
      <c r="Q696" s="234">
        <v>421.60382080078102</v>
      </c>
      <c r="R696" s="234">
        <v>428.44393920898398</v>
      </c>
      <c r="S696" s="234">
        <v>436.35858154296898</v>
      </c>
      <c r="T696" s="234">
        <v>441.71078491210898</v>
      </c>
      <c r="U696" s="234">
        <v>454.05059814453102</v>
      </c>
      <c r="V696" s="234">
        <v>464.07431030273398</v>
      </c>
      <c r="W696" s="234">
        <v>474.87463378906301</v>
      </c>
      <c r="X696" s="234">
        <v>486.72909545898398</v>
      </c>
      <c r="Y696" s="234">
        <v>501.322265625</v>
      </c>
    </row>
    <row r="697" spans="1:28" x14ac:dyDescent="0.25">
      <c r="A697" s="230" t="s">
        <v>502</v>
      </c>
      <c r="B697" s="234">
        <v>674.72277832031295</v>
      </c>
      <c r="C697" s="234">
        <v>755.02398681640602</v>
      </c>
      <c r="D697" s="234">
        <v>832.593017578125</v>
      </c>
      <c r="E697" s="234">
        <v>836.20513916015602</v>
      </c>
      <c r="F697" s="234">
        <v>833.50061035156295</v>
      </c>
      <c r="G697" s="234">
        <v>824.91857910156295</v>
      </c>
      <c r="H697" s="234">
        <v>827.8193359375</v>
      </c>
      <c r="I697" s="234">
        <v>839.91693115234398</v>
      </c>
      <c r="J697" s="234">
        <v>847.8359375</v>
      </c>
      <c r="K697" s="234">
        <v>859.8037109375</v>
      </c>
      <c r="L697" s="234">
        <v>876.880615234375</v>
      </c>
      <c r="M697" s="234">
        <v>891.76544189453102</v>
      </c>
      <c r="N697" s="234">
        <v>911.91369628906295</v>
      </c>
      <c r="O697" s="234">
        <v>924.17352294921898</v>
      </c>
      <c r="P697" s="234">
        <v>939.92272949218795</v>
      </c>
      <c r="Q697" s="234">
        <v>949.55993652343795</v>
      </c>
      <c r="R697" s="234">
        <v>968.06707763671898</v>
      </c>
      <c r="S697" s="234">
        <v>990.18170166015602</v>
      </c>
      <c r="T697" s="234">
        <v>1011.67114257813</v>
      </c>
      <c r="U697" s="234">
        <v>1037.35424804688</v>
      </c>
      <c r="V697" s="234">
        <v>1055.55383300781</v>
      </c>
      <c r="W697" s="234">
        <v>1075.64794921875</v>
      </c>
      <c r="X697" s="234">
        <v>1099.76611328125</v>
      </c>
      <c r="Y697" s="234">
        <v>1128.59497070313</v>
      </c>
    </row>
    <row r="698" spans="1:28" x14ac:dyDescent="0.25">
      <c r="A698" s="230" t="s">
        <v>503</v>
      </c>
      <c r="B698" s="234">
        <v>1.1704622767865699E-2</v>
      </c>
      <c r="C698" s="234">
        <v>1.72001253813505E-2</v>
      </c>
      <c r="D698" s="234">
        <v>2.0739471539855E-2</v>
      </c>
      <c r="E698" s="234">
        <v>2.2715086117386801E-2</v>
      </c>
      <c r="F698" s="234">
        <v>2.5078095495700801E-2</v>
      </c>
      <c r="G698" s="234">
        <v>2.8324941173195801E-2</v>
      </c>
      <c r="H698" s="234">
        <v>3.1410280615091303E-2</v>
      </c>
      <c r="I698" s="234">
        <v>3.5102743655443198E-2</v>
      </c>
      <c r="J698" s="234">
        <v>3.9645586162805599E-2</v>
      </c>
      <c r="K698" s="234">
        <v>4.3348435312509502E-2</v>
      </c>
      <c r="L698" s="234">
        <v>4.6531450003385502E-2</v>
      </c>
      <c r="M698" s="234">
        <v>4.9735426902771003E-2</v>
      </c>
      <c r="N698" s="234">
        <v>5.3442426025867497E-2</v>
      </c>
      <c r="O698" s="234">
        <v>5.6060969829559298E-2</v>
      </c>
      <c r="P698" s="234">
        <v>6.0336232185363797E-2</v>
      </c>
      <c r="Q698" s="234">
        <v>6.3296250998973805E-2</v>
      </c>
      <c r="R698" s="234">
        <v>6.6096656024455996E-2</v>
      </c>
      <c r="S698" s="234">
        <v>6.9950148463249207E-2</v>
      </c>
      <c r="T698" s="234">
        <v>7.2811737656593295E-2</v>
      </c>
      <c r="U698" s="234">
        <v>7.6670221984386402E-2</v>
      </c>
      <c r="V698" s="234">
        <v>8.0276548862457303E-2</v>
      </c>
      <c r="W698" s="234">
        <v>8.4626309573650402E-2</v>
      </c>
      <c r="X698" s="234">
        <v>8.8446177542209597E-2</v>
      </c>
      <c r="Y698" s="234">
        <v>9.2330038547515897E-2</v>
      </c>
    </row>
    <row r="699" spans="1:28" x14ac:dyDescent="0.25">
      <c r="A699" s="230" t="s">
        <v>504</v>
      </c>
      <c r="B699" s="234">
        <v>674.73449707031295</v>
      </c>
      <c r="C699" s="234">
        <v>755.04119873046898</v>
      </c>
      <c r="D699" s="234">
        <v>832.61376953125</v>
      </c>
      <c r="E699" s="234">
        <v>836.22784423828102</v>
      </c>
      <c r="F699" s="234">
        <v>833.52569580078102</v>
      </c>
      <c r="G699" s="234">
        <v>824.94689941406295</v>
      </c>
      <c r="H699" s="234">
        <v>827.85076904296898</v>
      </c>
      <c r="I699" s="234">
        <v>839.95202636718795</v>
      </c>
      <c r="J699" s="234">
        <v>847.87561035156295</v>
      </c>
      <c r="K699" s="234">
        <v>859.84704589843795</v>
      </c>
      <c r="L699" s="234">
        <v>876.92712402343795</v>
      </c>
      <c r="M699" s="234">
        <v>891.815185546875</v>
      </c>
      <c r="N699" s="234">
        <v>911.96716308593795</v>
      </c>
      <c r="O699" s="234">
        <v>924.22961425781295</v>
      </c>
      <c r="P699" s="234">
        <v>939.98309326171898</v>
      </c>
      <c r="Q699" s="234">
        <v>949.62322998046898</v>
      </c>
      <c r="R699" s="234">
        <v>968.13317871093795</v>
      </c>
      <c r="S699" s="234">
        <v>990.25164794921898</v>
      </c>
      <c r="T699" s="234">
        <v>1011.74395751953</v>
      </c>
      <c r="U699" s="234">
        <v>1037.43090820313</v>
      </c>
      <c r="V699" s="234">
        <v>1055.63415527344</v>
      </c>
      <c r="W699" s="234">
        <v>1075.73254394531</v>
      </c>
      <c r="X699" s="234">
        <v>1099.85461425781</v>
      </c>
      <c r="Y699" s="234">
        <v>1128.68725585938</v>
      </c>
    </row>
    <row r="700" spans="1:28" x14ac:dyDescent="0.25">
      <c r="A700" s="230" t="s">
        <v>577</v>
      </c>
      <c r="B700" s="234"/>
      <c r="C700" s="234"/>
      <c r="D700" s="234"/>
      <c r="E700" s="234"/>
      <c r="F700" s="234"/>
      <c r="G700" s="234"/>
      <c r="H700" s="234"/>
      <c r="I700" s="234"/>
      <c r="J700" s="234"/>
      <c r="K700" s="234"/>
      <c r="L700" s="234"/>
      <c r="M700" s="234"/>
      <c r="N700" s="234"/>
      <c r="O700" s="234"/>
      <c r="P700" s="234"/>
      <c r="Q700" s="234"/>
      <c r="R700" s="234"/>
      <c r="S700" s="234"/>
      <c r="T700" s="234"/>
      <c r="U700" s="234"/>
      <c r="V700" s="234"/>
      <c r="W700" s="234"/>
      <c r="X700" s="234"/>
      <c r="Y700" s="234"/>
    </row>
    <row r="701" spans="1:28" x14ac:dyDescent="0.25">
      <c r="A701" s="278" t="s">
        <v>1054</v>
      </c>
      <c r="B701" s="274">
        <v>1.1960935989170374</v>
      </c>
      <c r="C701" s="274">
        <v>1.1960935989170374</v>
      </c>
      <c r="D701" s="274">
        <v>1.1960935989170374</v>
      </c>
      <c r="E701" s="274">
        <v>1.1960935989170374</v>
      </c>
      <c r="F701" s="274">
        <v>1.1960935989170374</v>
      </c>
      <c r="G701" s="274">
        <v>1.1960935989170374</v>
      </c>
      <c r="H701" s="274">
        <v>1.1960935989170374</v>
      </c>
      <c r="I701" s="274">
        <v>1.1960935989170374</v>
      </c>
      <c r="J701" s="274">
        <v>1.1960935989170374</v>
      </c>
      <c r="K701" s="274">
        <v>1.198027460839296</v>
      </c>
      <c r="L701" s="274">
        <v>1.2067298394894606</v>
      </c>
      <c r="M701" s="274">
        <v>1.2415393540901181</v>
      </c>
      <c r="N701" s="274">
        <v>1.244440146973506</v>
      </c>
      <c r="O701" s="274">
        <v>1.2657126281183524</v>
      </c>
      <c r="P701" s="274">
        <v>1.2686134210017406</v>
      </c>
      <c r="Q701" s="274">
        <v>1.2840843163798106</v>
      </c>
      <c r="R701" s="274">
        <v>1.2792496615741635</v>
      </c>
      <c r="S701" s="274">
        <v>1.3034229356023981</v>
      </c>
      <c r="T701" s="274">
        <v>1.3217946238638563</v>
      </c>
      <c r="U701" s="274">
        <v>1.3759427576871011</v>
      </c>
      <c r="V701" s="274">
        <v>1.3943144459485595</v>
      </c>
      <c r="W701" s="275">
        <v>1.4001160317153356</v>
      </c>
      <c r="X701" s="275">
        <v>1.4242893057435699</v>
      </c>
      <c r="Y701" s="275">
        <v>1.4378263391993813</v>
      </c>
      <c r="Z701" s="272">
        <f>Y701+($AI$531-$Y$701)/10</f>
        <v>1.5542937052794432</v>
      </c>
    </row>
    <row r="702" spans="1:28" x14ac:dyDescent="0.25">
      <c r="A702" s="259" t="s">
        <v>308</v>
      </c>
      <c r="B702" s="274">
        <v>8.7353999999999985</v>
      </c>
      <c r="C702" s="274">
        <v>8.7353999999999985</v>
      </c>
      <c r="D702" s="274">
        <v>8.7353999999999985</v>
      </c>
      <c r="E702" s="274">
        <v>8.7353999999999985</v>
      </c>
      <c r="F702" s="274">
        <v>8.7353999999999985</v>
      </c>
      <c r="G702" s="274">
        <v>8.7353999999999985</v>
      </c>
      <c r="H702" s="274">
        <v>8.7353999999999985</v>
      </c>
      <c r="I702" s="274">
        <v>8.7353999999999985</v>
      </c>
      <c r="J702" s="274">
        <v>8.7353999999999985</v>
      </c>
      <c r="K702" s="274">
        <v>8.7353999999999985</v>
      </c>
      <c r="L702" s="274">
        <v>8.7353999999999985</v>
      </c>
      <c r="M702" s="274">
        <v>8.7353999999999985</v>
      </c>
      <c r="N702" s="274">
        <v>8.7353999999999985</v>
      </c>
      <c r="O702" s="274">
        <v>8.7353999999999985</v>
      </c>
      <c r="P702" s="274">
        <v>8.7353999999999985</v>
      </c>
      <c r="Q702" s="274">
        <v>8.7353999999999985</v>
      </c>
      <c r="R702" s="274">
        <v>8.7353999999999985</v>
      </c>
      <c r="S702" s="274">
        <v>8.7353999999999985</v>
      </c>
      <c r="T702" s="274">
        <v>8.7353999999999985</v>
      </c>
      <c r="U702" s="274">
        <v>8.7353999999999985</v>
      </c>
      <c r="V702" s="274">
        <v>8.7353999999999985</v>
      </c>
      <c r="W702" s="275">
        <v>8.7353999999999985</v>
      </c>
      <c r="X702" s="275">
        <v>8.7353999999999985</v>
      </c>
      <c r="Y702" s="275">
        <v>8.7353999999999985</v>
      </c>
      <c r="Z702" s="275">
        <v>8.7353999999999985</v>
      </c>
    </row>
    <row r="703" spans="1:28" x14ac:dyDescent="0.25">
      <c r="A703" s="279" t="s">
        <v>579</v>
      </c>
      <c r="B703" s="276">
        <v>4.78</v>
      </c>
      <c r="C703" s="276">
        <v>4.78</v>
      </c>
      <c r="D703" s="276">
        <v>4.78</v>
      </c>
      <c r="E703" s="276">
        <v>4.78</v>
      </c>
      <c r="F703" s="276">
        <v>4.78</v>
      </c>
      <c r="G703" s="276">
        <v>4.78</v>
      </c>
      <c r="H703" s="276">
        <v>4.78</v>
      </c>
      <c r="I703" s="276">
        <v>4.78</v>
      </c>
      <c r="J703" s="276">
        <v>4.78</v>
      </c>
      <c r="K703" s="276">
        <v>4.78</v>
      </c>
      <c r="L703" s="276">
        <v>4.78</v>
      </c>
      <c r="M703" s="276">
        <v>4.78</v>
      </c>
      <c r="N703" s="276">
        <v>4.78</v>
      </c>
      <c r="O703" s="276">
        <v>4.78</v>
      </c>
      <c r="P703" s="276">
        <v>4.78</v>
      </c>
      <c r="Q703" s="276">
        <v>4.78</v>
      </c>
      <c r="R703" s="276">
        <v>4.78</v>
      </c>
      <c r="S703" s="276">
        <v>4.78</v>
      </c>
      <c r="T703" s="276">
        <v>4.78</v>
      </c>
      <c r="U703" s="276">
        <v>4.78</v>
      </c>
      <c r="V703" s="276">
        <v>4.78</v>
      </c>
      <c r="W703" s="276">
        <v>4.78</v>
      </c>
      <c r="X703" s="276">
        <v>4.78</v>
      </c>
      <c r="Y703" s="276">
        <v>4.78</v>
      </c>
      <c r="Z703" s="276">
        <v>4.78</v>
      </c>
    </row>
    <row r="704" spans="1:28" x14ac:dyDescent="0.25">
      <c r="A704" s="280" t="s">
        <v>580</v>
      </c>
      <c r="B704" s="275" t="e">
        <f t="shared" ref="B704:Z704" si="81">B703*GJ_p_MMBtu</f>
        <v>#NAME?</v>
      </c>
      <c r="C704" s="275" t="e">
        <f t="shared" si="81"/>
        <v>#NAME?</v>
      </c>
      <c r="D704" s="275" t="e">
        <f t="shared" si="81"/>
        <v>#NAME?</v>
      </c>
      <c r="E704" s="275" t="e">
        <f t="shared" si="81"/>
        <v>#NAME?</v>
      </c>
      <c r="F704" s="275" t="e">
        <f t="shared" si="81"/>
        <v>#NAME?</v>
      </c>
      <c r="G704" s="275" t="e">
        <f t="shared" si="81"/>
        <v>#NAME?</v>
      </c>
      <c r="H704" s="275" t="e">
        <f t="shared" si="81"/>
        <v>#NAME?</v>
      </c>
      <c r="I704" s="275" t="e">
        <f t="shared" si="81"/>
        <v>#NAME?</v>
      </c>
      <c r="J704" s="275" t="e">
        <f t="shared" si="81"/>
        <v>#NAME?</v>
      </c>
      <c r="K704" s="275" t="e">
        <f t="shared" si="81"/>
        <v>#NAME?</v>
      </c>
      <c r="L704" s="275" t="e">
        <f t="shared" si="81"/>
        <v>#NAME?</v>
      </c>
      <c r="M704" s="275" t="e">
        <f t="shared" si="81"/>
        <v>#NAME?</v>
      </c>
      <c r="N704" s="275" t="e">
        <f t="shared" si="81"/>
        <v>#NAME?</v>
      </c>
      <c r="O704" s="275" t="e">
        <f t="shared" si="81"/>
        <v>#NAME?</v>
      </c>
      <c r="P704" s="275" t="e">
        <f t="shared" si="81"/>
        <v>#NAME?</v>
      </c>
      <c r="Q704" s="275" t="e">
        <f t="shared" si="81"/>
        <v>#NAME?</v>
      </c>
      <c r="R704" s="275" t="e">
        <f t="shared" si="81"/>
        <v>#NAME?</v>
      </c>
      <c r="S704" s="275" t="e">
        <f t="shared" si="81"/>
        <v>#NAME?</v>
      </c>
      <c r="T704" s="275" t="e">
        <f t="shared" si="81"/>
        <v>#NAME?</v>
      </c>
      <c r="U704" s="275" t="e">
        <f t="shared" si="81"/>
        <v>#NAME?</v>
      </c>
      <c r="V704" s="275" t="e">
        <f t="shared" si="81"/>
        <v>#NAME?</v>
      </c>
      <c r="W704" s="275" t="e">
        <f t="shared" si="81"/>
        <v>#NAME?</v>
      </c>
      <c r="X704" s="275" t="e">
        <f t="shared" si="81"/>
        <v>#NAME?</v>
      </c>
      <c r="Y704" s="275" t="e">
        <f t="shared" si="81"/>
        <v>#NAME?</v>
      </c>
      <c r="Z704" s="275" t="e">
        <f t="shared" si="81"/>
        <v>#NAME?</v>
      </c>
    </row>
    <row r="705" spans="1:26" x14ac:dyDescent="0.25">
      <c r="A705" s="278" t="s">
        <v>581</v>
      </c>
      <c r="B705" s="234"/>
      <c r="C705" s="234"/>
      <c r="D705" s="234"/>
      <c r="E705" s="234"/>
      <c r="F705" s="234"/>
      <c r="G705" s="234"/>
      <c r="H705" s="234"/>
      <c r="I705" s="234"/>
      <c r="J705" s="234"/>
      <c r="K705" s="234"/>
      <c r="L705" s="234"/>
      <c r="M705" s="234"/>
      <c r="N705" s="234"/>
      <c r="O705" s="234"/>
      <c r="P705" s="234"/>
      <c r="Q705" s="234"/>
      <c r="R705" s="234"/>
      <c r="S705" s="234"/>
      <c r="T705" s="234"/>
      <c r="U705" s="234"/>
      <c r="V705" s="234"/>
      <c r="W705" s="234"/>
      <c r="X705" s="234"/>
      <c r="Y705" s="234"/>
      <c r="Z705" s="234"/>
    </row>
    <row r="706" spans="1:26" x14ac:dyDescent="0.25">
      <c r="A706" s="230" t="s">
        <v>505</v>
      </c>
      <c r="B706" s="234"/>
      <c r="C706" s="234"/>
      <c r="D706" s="234"/>
      <c r="E706" s="234" t="s">
        <v>426</v>
      </c>
      <c r="F706" s="234" t="s">
        <v>426</v>
      </c>
      <c r="G706" s="234" t="s">
        <v>426</v>
      </c>
      <c r="H706" s="234" t="s">
        <v>426</v>
      </c>
      <c r="I706" s="234" t="s">
        <v>426</v>
      </c>
      <c r="J706" s="234" t="s">
        <v>426</v>
      </c>
      <c r="K706" s="234" t="s">
        <v>426</v>
      </c>
      <c r="L706" s="234" t="s">
        <v>426</v>
      </c>
      <c r="M706" s="234" t="s">
        <v>426</v>
      </c>
      <c r="N706" s="234" t="s">
        <v>426</v>
      </c>
      <c r="O706" s="234" t="s">
        <v>426</v>
      </c>
      <c r="P706" s="234" t="s">
        <v>426</v>
      </c>
      <c r="Q706" s="234" t="s">
        <v>426</v>
      </c>
      <c r="R706" s="234" t="s">
        <v>426</v>
      </c>
      <c r="S706" s="234" t="s">
        <v>426</v>
      </c>
      <c r="T706" s="234" t="s">
        <v>426</v>
      </c>
      <c r="U706" s="234" t="s">
        <v>426</v>
      </c>
      <c r="V706" s="234" t="s">
        <v>426</v>
      </c>
      <c r="W706" s="234" t="s">
        <v>426</v>
      </c>
      <c r="X706" s="234" t="s">
        <v>426</v>
      </c>
      <c r="Y706" s="234" t="s">
        <v>426</v>
      </c>
    </row>
    <row r="707" spans="1:26" x14ac:dyDescent="0.25">
      <c r="A707" s="230" t="s">
        <v>506</v>
      </c>
      <c r="B707" s="231"/>
      <c r="C707" s="231"/>
      <c r="D707" s="231"/>
      <c r="E707" s="231"/>
      <c r="F707" s="231"/>
      <c r="G707" s="231"/>
      <c r="H707" s="231"/>
      <c r="I707" s="231"/>
      <c r="J707" s="231"/>
      <c r="K707" s="231"/>
      <c r="L707" s="231"/>
      <c r="M707" s="231"/>
      <c r="N707" s="231"/>
      <c r="O707" s="231"/>
      <c r="P707" s="231"/>
      <c r="Q707" s="231"/>
      <c r="R707" s="231"/>
      <c r="S707" s="231"/>
      <c r="T707" s="231"/>
      <c r="U707" s="231"/>
      <c r="V707" s="231"/>
      <c r="W707" s="231"/>
      <c r="X707" s="231"/>
      <c r="Y707" s="231"/>
    </row>
    <row r="708" spans="1:26" x14ac:dyDescent="0.25">
      <c r="A708" s="230" t="s">
        <v>507</v>
      </c>
      <c r="B708" s="231"/>
      <c r="C708" s="231"/>
      <c r="D708" s="231"/>
      <c r="E708" s="231"/>
      <c r="F708" s="231"/>
      <c r="G708" s="231"/>
      <c r="H708" s="231"/>
      <c r="I708" s="231"/>
      <c r="J708" s="231"/>
      <c r="K708" s="231"/>
      <c r="L708" s="231"/>
      <c r="M708" s="231"/>
      <c r="N708" s="231"/>
      <c r="O708" s="231"/>
      <c r="P708" s="231"/>
      <c r="Q708" s="231"/>
      <c r="R708" s="231"/>
      <c r="S708" s="231"/>
      <c r="T708" s="231"/>
      <c r="U708" s="231"/>
      <c r="V708" s="231"/>
      <c r="W708" s="231"/>
      <c r="X708" s="231"/>
      <c r="Y708" s="231"/>
    </row>
    <row r="709" spans="1:26" x14ac:dyDescent="0.25">
      <c r="A709" s="230" t="s">
        <v>508</v>
      </c>
      <c r="B709" s="231"/>
      <c r="C709" s="231"/>
      <c r="D709" s="231"/>
      <c r="E709" s="231"/>
      <c r="F709" s="231"/>
      <c r="G709" s="231"/>
      <c r="H709" s="231"/>
      <c r="I709" s="231"/>
      <c r="J709" s="231"/>
      <c r="K709" s="231"/>
      <c r="L709" s="231"/>
      <c r="M709" s="231"/>
      <c r="N709" s="231"/>
      <c r="O709" s="231"/>
      <c r="P709" s="231"/>
      <c r="Q709" s="231"/>
      <c r="R709" s="231"/>
      <c r="S709" s="231"/>
      <c r="T709" s="231"/>
      <c r="U709" s="231"/>
      <c r="V709" s="231"/>
      <c r="W709" s="231"/>
      <c r="X709" s="231"/>
      <c r="Y709" s="231"/>
    </row>
    <row r="710" spans="1:26" x14ac:dyDescent="0.25">
      <c r="A710" s="230" t="s">
        <v>509</v>
      </c>
      <c r="B710" s="231"/>
      <c r="C710" s="231"/>
      <c r="D710" s="231"/>
      <c r="E710" s="231"/>
      <c r="F710" s="231"/>
      <c r="G710" s="231"/>
      <c r="H710" s="231"/>
      <c r="I710" s="231"/>
      <c r="J710" s="231"/>
      <c r="K710" s="231"/>
      <c r="L710" s="231"/>
      <c r="M710" s="231"/>
      <c r="N710" s="231"/>
      <c r="O710" s="231"/>
      <c r="P710" s="231"/>
      <c r="Q710" s="231"/>
      <c r="R710" s="231"/>
      <c r="S710" s="231"/>
      <c r="T710" s="231"/>
      <c r="U710" s="231"/>
      <c r="V710" s="231"/>
      <c r="W710" s="231"/>
      <c r="X710" s="231"/>
      <c r="Y710" s="231"/>
    </row>
    <row r="711" spans="1:26" x14ac:dyDescent="0.25">
      <c r="A711" s="230" t="s">
        <v>510</v>
      </c>
      <c r="B711" s="231"/>
      <c r="C711" s="231"/>
      <c r="D711" s="231"/>
      <c r="E711" s="231"/>
      <c r="F711" s="231"/>
      <c r="G711" s="231"/>
      <c r="H711" s="231"/>
      <c r="I711" s="231"/>
      <c r="J711" s="231"/>
      <c r="K711" s="231"/>
      <c r="L711" s="231"/>
      <c r="M711" s="231"/>
      <c r="N711" s="231"/>
      <c r="O711" s="231"/>
      <c r="P711" s="231"/>
      <c r="Q711" s="231"/>
      <c r="R711" s="231"/>
      <c r="S711" s="231"/>
      <c r="T711" s="231"/>
      <c r="U711" s="231"/>
      <c r="V711" s="231"/>
      <c r="W711" s="231"/>
      <c r="X711" s="231"/>
      <c r="Y711" s="231"/>
    </row>
    <row r="712" spans="1:26" x14ac:dyDescent="0.25">
      <c r="A712" s="230" t="s">
        <v>511</v>
      </c>
      <c r="B712" s="231"/>
      <c r="C712" s="231"/>
      <c r="D712" s="231"/>
      <c r="E712" s="231"/>
      <c r="F712" s="231"/>
      <c r="G712" s="231"/>
      <c r="H712" s="231"/>
      <c r="I712" s="231"/>
      <c r="J712" s="231"/>
      <c r="K712" s="231"/>
      <c r="L712" s="231"/>
      <c r="M712" s="231"/>
      <c r="N712" s="231"/>
      <c r="O712" s="231"/>
      <c r="P712" s="231"/>
      <c r="Q712" s="231"/>
      <c r="R712" s="231"/>
      <c r="S712" s="231"/>
      <c r="T712" s="231"/>
      <c r="U712" s="231"/>
      <c r="V712" s="231"/>
      <c r="W712" s="231"/>
      <c r="X712" s="231"/>
      <c r="Y712" s="231"/>
    </row>
    <row r="713" spans="1:26" x14ac:dyDescent="0.25">
      <c r="A713" s="230" t="s">
        <v>512</v>
      </c>
      <c r="B713" s="231"/>
      <c r="C713" s="231"/>
      <c r="D713" s="231"/>
      <c r="E713" s="231"/>
      <c r="F713" s="231"/>
      <c r="G713" s="231"/>
      <c r="H713" s="231"/>
      <c r="I713" s="231"/>
      <c r="J713" s="231"/>
      <c r="K713" s="231"/>
      <c r="L713" s="231"/>
      <c r="M713" s="231"/>
      <c r="N713" s="231"/>
      <c r="O713" s="231"/>
      <c r="P713" s="231"/>
      <c r="Q713" s="231"/>
      <c r="R713" s="231"/>
      <c r="S713" s="231"/>
      <c r="T713" s="231"/>
      <c r="U713" s="231"/>
      <c r="V713" s="231"/>
      <c r="W713" s="231"/>
      <c r="X713" s="231"/>
      <c r="Y713" s="231"/>
    </row>
    <row r="714" spans="1:26" x14ac:dyDescent="0.25">
      <c r="A714" s="230" t="s">
        <v>513</v>
      </c>
      <c r="B714" s="231"/>
      <c r="C714" s="231"/>
      <c r="D714" s="231"/>
      <c r="E714" s="231"/>
      <c r="F714" s="231"/>
      <c r="G714" s="231"/>
      <c r="H714" s="231"/>
      <c r="I714" s="231"/>
      <c r="J714" s="231"/>
      <c r="K714" s="231"/>
      <c r="L714" s="231"/>
      <c r="M714" s="231"/>
      <c r="N714" s="231"/>
      <c r="O714" s="231"/>
      <c r="P714" s="231"/>
      <c r="Q714" s="231"/>
      <c r="R714" s="231"/>
      <c r="S714" s="231"/>
      <c r="T714" s="231"/>
      <c r="U714" s="231"/>
      <c r="V714" s="231"/>
      <c r="W714" s="231"/>
      <c r="X714" s="231"/>
      <c r="Y714" s="231"/>
    </row>
    <row r="715" spans="1:26" x14ac:dyDescent="0.25">
      <c r="A715" s="230" t="s">
        <v>518</v>
      </c>
      <c r="B715" s="231"/>
      <c r="C715" s="231"/>
      <c r="D715" s="231"/>
      <c r="E715" s="231"/>
      <c r="F715" s="231"/>
      <c r="G715" s="231"/>
      <c r="H715" s="231"/>
      <c r="I715" s="231"/>
      <c r="J715" s="231"/>
      <c r="K715" s="231"/>
      <c r="L715" s="231"/>
      <c r="M715" s="231"/>
      <c r="N715" s="231"/>
      <c r="O715" s="231"/>
      <c r="P715" s="231"/>
      <c r="Q715" s="231"/>
      <c r="R715" s="231"/>
      <c r="S715" s="231"/>
      <c r="T715" s="231"/>
      <c r="U715" s="231"/>
      <c r="V715" s="231"/>
      <c r="W715" s="231"/>
      <c r="X715" s="231"/>
      <c r="Y715" s="231"/>
    </row>
    <row r="716" spans="1:26" x14ac:dyDescent="0.25">
      <c r="A716" s="230" t="s">
        <v>528</v>
      </c>
      <c r="B716" s="231"/>
      <c r="C716" s="231"/>
      <c r="D716" s="231"/>
      <c r="E716" s="231"/>
      <c r="F716" s="231"/>
      <c r="G716" s="231"/>
      <c r="H716" s="231"/>
      <c r="I716" s="231"/>
      <c r="J716" s="231"/>
      <c r="K716" s="231"/>
      <c r="L716" s="231"/>
      <c r="M716" s="231"/>
      <c r="N716" s="231"/>
      <c r="O716" s="231"/>
      <c r="P716" s="231"/>
      <c r="Q716" s="231"/>
      <c r="R716" s="231"/>
      <c r="S716" s="231"/>
      <c r="T716" s="231"/>
      <c r="U716" s="231"/>
      <c r="V716" s="231"/>
      <c r="W716" s="231"/>
      <c r="X716" s="231"/>
      <c r="Y716" s="231"/>
    </row>
    <row r="717" spans="1:26" x14ac:dyDescent="0.25">
      <c r="A717" s="230" t="s">
        <v>529</v>
      </c>
      <c r="B717" s="231"/>
      <c r="C717" s="231"/>
      <c r="D717" s="231"/>
      <c r="E717" s="231"/>
      <c r="F717" s="231"/>
      <c r="G717" s="231"/>
      <c r="H717" s="231"/>
      <c r="I717" s="231"/>
      <c r="J717" s="231"/>
      <c r="K717" s="231"/>
      <c r="L717" s="231"/>
      <c r="M717" s="231"/>
      <c r="N717" s="231"/>
      <c r="O717" s="231"/>
      <c r="P717" s="231"/>
      <c r="Q717" s="231"/>
      <c r="R717" s="231"/>
      <c r="S717" s="231"/>
      <c r="T717" s="231"/>
      <c r="U717" s="231"/>
      <c r="V717" s="231"/>
      <c r="W717" s="231"/>
      <c r="X717" s="231"/>
      <c r="Y717" s="231"/>
    </row>
    <row r="718" spans="1:26" x14ac:dyDescent="0.25">
      <c r="A718" s="230" t="s">
        <v>530</v>
      </c>
      <c r="B718" s="231"/>
      <c r="C718" s="231"/>
      <c r="D718" s="231"/>
      <c r="E718" s="231"/>
      <c r="F718" s="231"/>
      <c r="G718" s="231"/>
      <c r="H718" s="231"/>
      <c r="I718" s="231"/>
      <c r="J718" s="231"/>
      <c r="K718" s="231"/>
      <c r="L718" s="231"/>
      <c r="M718" s="231"/>
      <c r="N718" s="231"/>
      <c r="O718" s="231"/>
      <c r="P718" s="231"/>
      <c r="Q718" s="231"/>
      <c r="R718" s="231"/>
      <c r="S718" s="231"/>
      <c r="T718" s="231"/>
      <c r="U718" s="231"/>
      <c r="V718" s="231"/>
      <c r="W718" s="231"/>
      <c r="X718" s="231"/>
      <c r="Y718" s="231"/>
    </row>
    <row r="719" spans="1:26" x14ac:dyDescent="0.25">
      <c r="A719" s="230" t="s">
        <v>531</v>
      </c>
      <c r="B719" s="231"/>
      <c r="C719" s="231"/>
      <c r="D719" s="231"/>
      <c r="E719" s="231"/>
      <c r="F719" s="231"/>
      <c r="G719" s="231"/>
      <c r="H719" s="231"/>
      <c r="I719" s="231"/>
      <c r="J719" s="231"/>
      <c r="K719" s="231"/>
      <c r="L719" s="231"/>
      <c r="M719" s="231"/>
      <c r="N719" s="231"/>
      <c r="O719" s="231"/>
      <c r="P719" s="231"/>
      <c r="Q719" s="231"/>
      <c r="R719" s="231"/>
      <c r="S719" s="231"/>
      <c r="T719" s="231"/>
      <c r="U719" s="231"/>
      <c r="V719" s="231"/>
      <c r="W719" s="231"/>
      <c r="X719" s="231"/>
      <c r="Y719" s="231"/>
    </row>
    <row r="720" spans="1:26" x14ac:dyDescent="0.25">
      <c r="A720" s="230" t="s">
        <v>532</v>
      </c>
      <c r="B720" s="231"/>
      <c r="C720" s="231"/>
      <c r="D720" s="231"/>
      <c r="E720" s="231"/>
      <c r="F720" s="231"/>
      <c r="G720" s="231"/>
      <c r="H720" s="231"/>
      <c r="I720" s="231"/>
      <c r="J720" s="231"/>
      <c r="K720" s="231"/>
      <c r="L720" s="231"/>
      <c r="M720" s="231"/>
      <c r="N720" s="231"/>
      <c r="O720" s="231"/>
      <c r="P720" s="231"/>
      <c r="Q720" s="231"/>
      <c r="R720" s="231"/>
      <c r="S720" s="231"/>
      <c r="T720" s="231"/>
      <c r="U720" s="231"/>
      <c r="V720" s="231"/>
      <c r="W720" s="231"/>
      <c r="X720" s="231"/>
      <c r="Y720" s="231"/>
    </row>
    <row r="721" spans="1:25" x14ac:dyDescent="0.25">
      <c r="A721" s="230" t="s">
        <v>533</v>
      </c>
      <c r="B721" s="231"/>
      <c r="C721" s="231"/>
      <c r="D721" s="231"/>
      <c r="E721" s="231"/>
      <c r="F721" s="231"/>
      <c r="G721" s="231"/>
      <c r="H721" s="231"/>
      <c r="I721" s="231"/>
      <c r="J721" s="231"/>
      <c r="K721" s="231"/>
      <c r="L721" s="231"/>
      <c r="M721" s="231"/>
      <c r="N721" s="231"/>
      <c r="O721" s="231"/>
      <c r="P721" s="231"/>
      <c r="Q721" s="231"/>
      <c r="R721" s="231"/>
      <c r="S721" s="231"/>
      <c r="T721" s="231"/>
      <c r="U721" s="231"/>
      <c r="V721" s="231"/>
      <c r="W721" s="231"/>
      <c r="X721" s="231"/>
      <c r="Y721" s="231"/>
    </row>
    <row r="722" spans="1:25" x14ac:dyDescent="0.25">
      <c r="A722" s="230" t="s">
        <v>534</v>
      </c>
      <c r="B722" s="231"/>
      <c r="C722" s="231"/>
      <c r="D722" s="231"/>
      <c r="E722" s="231"/>
      <c r="F722" s="231"/>
      <c r="G722" s="231"/>
      <c r="H722" s="231"/>
      <c r="I722" s="231"/>
      <c r="J722" s="231"/>
      <c r="K722" s="231"/>
      <c r="L722" s="231"/>
      <c r="M722" s="231"/>
      <c r="N722" s="231"/>
      <c r="O722" s="231"/>
      <c r="P722" s="231"/>
      <c r="Q722" s="231"/>
      <c r="R722" s="231"/>
      <c r="S722" s="231"/>
      <c r="T722" s="231"/>
      <c r="U722" s="231"/>
      <c r="V722" s="231"/>
      <c r="W722" s="231"/>
      <c r="X722" s="231"/>
      <c r="Y722" s="231"/>
    </row>
    <row r="723" spans="1:25" x14ac:dyDescent="0.25">
      <c r="A723" s="230" t="s">
        <v>537</v>
      </c>
      <c r="B723" s="231"/>
      <c r="C723" s="231"/>
      <c r="D723" s="231"/>
      <c r="E723" s="231"/>
      <c r="F723" s="231"/>
      <c r="G723" s="231"/>
      <c r="H723" s="231"/>
      <c r="I723" s="231"/>
      <c r="J723" s="231"/>
      <c r="K723" s="231"/>
      <c r="L723" s="231"/>
      <c r="M723" s="231"/>
      <c r="N723" s="231"/>
      <c r="O723" s="231"/>
      <c r="P723" s="231"/>
      <c r="Q723" s="231"/>
      <c r="R723" s="231"/>
      <c r="S723" s="231"/>
      <c r="T723" s="231"/>
      <c r="U723" s="231"/>
      <c r="V723" s="231"/>
      <c r="W723" s="231"/>
      <c r="X723" s="231"/>
      <c r="Y723" s="231"/>
    </row>
    <row r="724" spans="1:25" x14ac:dyDescent="0.25">
      <c r="A724" s="230" t="s">
        <v>538</v>
      </c>
      <c r="B724" s="231"/>
      <c r="C724" s="231"/>
      <c r="D724" s="231"/>
      <c r="E724" s="231"/>
      <c r="F724" s="231"/>
      <c r="G724" s="231"/>
      <c r="H724" s="231"/>
      <c r="I724" s="231"/>
      <c r="J724" s="231"/>
      <c r="K724" s="231"/>
      <c r="L724" s="231"/>
      <c r="M724" s="231"/>
      <c r="N724" s="231"/>
      <c r="O724" s="231"/>
      <c r="P724" s="231"/>
      <c r="Q724" s="231"/>
      <c r="R724" s="231"/>
      <c r="S724" s="231"/>
      <c r="T724" s="231"/>
      <c r="U724" s="231"/>
      <c r="V724" s="231"/>
      <c r="W724" s="231"/>
      <c r="X724" s="231"/>
      <c r="Y724" s="231"/>
    </row>
    <row r="725" spans="1:25" x14ac:dyDescent="0.25">
      <c r="A725" s="230" t="s">
        <v>539</v>
      </c>
      <c r="B725" s="231"/>
      <c r="C725" s="231"/>
      <c r="D725" s="231"/>
      <c r="E725" s="231"/>
      <c r="F725" s="231"/>
      <c r="G725" s="231"/>
      <c r="H725" s="231"/>
      <c r="I725" s="231"/>
      <c r="J725" s="231"/>
      <c r="K725" s="231"/>
      <c r="L725" s="231"/>
      <c r="M725" s="231"/>
      <c r="N725" s="231"/>
      <c r="O725" s="231"/>
      <c r="P725" s="231"/>
      <c r="Q725" s="231"/>
      <c r="R725" s="231"/>
      <c r="S725" s="231"/>
      <c r="T725" s="231"/>
      <c r="U725" s="231"/>
      <c r="V725" s="231"/>
      <c r="W725" s="231"/>
      <c r="X725" s="231"/>
      <c r="Y725" s="231"/>
    </row>
    <row r="726" spans="1:25" x14ac:dyDescent="0.25">
      <c r="A726" s="230" t="s">
        <v>540</v>
      </c>
      <c r="B726" s="231"/>
      <c r="C726" s="231"/>
      <c r="D726" s="231"/>
      <c r="E726" s="231"/>
      <c r="F726" s="231"/>
      <c r="G726" s="231"/>
      <c r="H726" s="231"/>
      <c r="I726" s="231"/>
      <c r="J726" s="231"/>
      <c r="K726" s="231"/>
      <c r="L726" s="231"/>
      <c r="M726" s="231"/>
      <c r="N726" s="231"/>
      <c r="O726" s="231"/>
      <c r="P726" s="231"/>
      <c r="Q726" s="231"/>
      <c r="R726" s="231"/>
      <c r="S726" s="231"/>
      <c r="T726" s="231"/>
      <c r="U726" s="231"/>
      <c r="V726" s="231"/>
      <c r="W726" s="231"/>
      <c r="X726" s="231"/>
      <c r="Y726" s="231"/>
    </row>
    <row r="727" spans="1:25" x14ac:dyDescent="0.25">
      <c r="A727" s="230" t="s">
        <v>541</v>
      </c>
      <c r="B727" s="231"/>
      <c r="C727" s="231"/>
      <c r="D727" s="231"/>
      <c r="E727" s="231"/>
      <c r="F727" s="231"/>
      <c r="G727" s="231"/>
      <c r="H727" s="231"/>
      <c r="I727" s="231"/>
      <c r="J727" s="231"/>
      <c r="K727" s="231"/>
      <c r="L727" s="231"/>
      <c r="M727" s="231"/>
      <c r="N727" s="231"/>
      <c r="O727" s="231"/>
      <c r="P727" s="231"/>
      <c r="Q727" s="231"/>
      <c r="R727" s="231"/>
      <c r="S727" s="231"/>
      <c r="T727" s="231"/>
      <c r="U727" s="231"/>
      <c r="V727" s="231"/>
      <c r="W727" s="231"/>
      <c r="X727" s="231"/>
      <c r="Y727" s="231"/>
    </row>
    <row r="728" spans="1:25" x14ac:dyDescent="0.25">
      <c r="A728" s="230" t="s">
        <v>542</v>
      </c>
      <c r="B728" s="231"/>
      <c r="C728" s="231"/>
      <c r="D728" s="231"/>
      <c r="E728" s="231"/>
      <c r="F728" s="231"/>
      <c r="G728" s="231"/>
      <c r="H728" s="231"/>
      <c r="I728" s="231"/>
      <c r="J728" s="231"/>
      <c r="K728" s="231"/>
      <c r="L728" s="231"/>
      <c r="M728" s="231"/>
      <c r="N728" s="231"/>
      <c r="O728" s="231"/>
      <c r="P728" s="231"/>
      <c r="Q728" s="231"/>
      <c r="R728" s="231"/>
      <c r="S728" s="231"/>
      <c r="T728" s="231"/>
      <c r="U728" s="231"/>
      <c r="V728" s="231"/>
      <c r="W728" s="231"/>
      <c r="X728" s="231"/>
      <c r="Y728" s="231"/>
    </row>
    <row r="729" spans="1:25" x14ac:dyDescent="0.25">
      <c r="A729" s="230" t="s">
        <v>543</v>
      </c>
      <c r="B729" s="231"/>
      <c r="C729" s="231"/>
      <c r="D729" s="231"/>
      <c r="E729" s="231"/>
      <c r="F729" s="231"/>
      <c r="G729" s="231"/>
      <c r="H729" s="231"/>
      <c r="I729" s="231"/>
      <c r="J729" s="231"/>
      <c r="K729" s="231"/>
      <c r="L729" s="231"/>
      <c r="M729" s="231"/>
      <c r="N729" s="231"/>
      <c r="O729" s="231"/>
      <c r="P729" s="231"/>
      <c r="Q729" s="231"/>
      <c r="R729" s="231"/>
      <c r="S729" s="231"/>
      <c r="T729" s="231"/>
      <c r="U729" s="231"/>
      <c r="V729" s="231"/>
      <c r="W729" s="231"/>
      <c r="X729" s="231"/>
      <c r="Y729" s="231"/>
    </row>
    <row r="730" spans="1:25" x14ac:dyDescent="0.25">
      <c r="A730" s="230" t="s">
        <v>544</v>
      </c>
      <c r="B730" s="231"/>
      <c r="C730" s="231"/>
      <c r="D730" s="231"/>
      <c r="E730" s="231"/>
      <c r="F730" s="231"/>
      <c r="G730" s="231"/>
      <c r="H730" s="231"/>
      <c r="I730" s="231"/>
      <c r="J730" s="231"/>
      <c r="K730" s="231"/>
      <c r="L730" s="231"/>
      <c r="M730" s="231"/>
      <c r="N730" s="231"/>
      <c r="O730" s="231"/>
      <c r="P730" s="231"/>
      <c r="Q730" s="231"/>
      <c r="R730" s="231"/>
      <c r="S730" s="231"/>
      <c r="T730" s="231"/>
      <c r="U730" s="231"/>
      <c r="V730" s="231"/>
      <c r="W730" s="231"/>
      <c r="X730" s="231"/>
      <c r="Y730" s="231"/>
    </row>
    <row r="731" spans="1:25" ht="13.8" thickBot="1" x14ac:dyDescent="0.3">
      <c r="A731" s="235" t="s">
        <v>549</v>
      </c>
      <c r="B731" s="238"/>
      <c r="C731" s="238"/>
      <c r="D731" s="238"/>
      <c r="E731" s="238"/>
      <c r="F731" s="238"/>
      <c r="G731" s="238"/>
      <c r="H731" s="238"/>
      <c r="I731" s="238"/>
      <c r="J731" s="238"/>
      <c r="K731" s="238"/>
      <c r="L731" s="238"/>
      <c r="M731" s="238"/>
      <c r="N731" s="238"/>
      <c r="O731" s="238"/>
      <c r="P731" s="238"/>
      <c r="Q731" s="238"/>
      <c r="R731" s="238"/>
      <c r="S731" s="238"/>
      <c r="T731" s="238"/>
      <c r="U731" s="238"/>
      <c r="V731" s="238"/>
      <c r="W731" s="238"/>
      <c r="X731" s="238"/>
      <c r="Y731" s="238"/>
    </row>
    <row r="732" spans="1:25" x14ac:dyDescent="0.25">
      <c r="A732" s="1515" t="s">
        <v>423</v>
      </c>
      <c r="B732" s="1515"/>
      <c r="C732" s="1515"/>
      <c r="D732" s="1515"/>
      <c r="E732" s="1515"/>
      <c r="F732" s="1515"/>
      <c r="G732" s="1515"/>
      <c r="H732" s="1515"/>
      <c r="I732" s="1515"/>
      <c r="J732" s="1515"/>
      <c r="K732" s="1515"/>
      <c r="L732" s="1515"/>
      <c r="M732" s="1515"/>
      <c r="N732" s="231"/>
      <c r="O732" s="231"/>
      <c r="P732" s="231"/>
      <c r="Q732" s="231"/>
      <c r="R732" s="231"/>
      <c r="S732" s="231"/>
      <c r="T732" s="231"/>
      <c r="U732" s="231"/>
      <c r="V732" s="231"/>
      <c r="W732" s="231"/>
      <c r="X732" s="231"/>
      <c r="Y732" s="231"/>
    </row>
    <row r="733" spans="1:25" x14ac:dyDescent="0.25">
      <c r="A733" s="231" t="s">
        <v>1062</v>
      </c>
      <c r="B733" s="231"/>
      <c r="C733" s="231"/>
      <c r="D733" s="231"/>
      <c r="E733" s="231"/>
      <c r="F733" s="231"/>
      <c r="G733" s="231"/>
      <c r="H733" s="231"/>
      <c r="I733" s="231"/>
      <c r="J733" s="231"/>
      <c r="K733" s="231"/>
      <c r="L733" s="231"/>
      <c r="M733" s="231"/>
      <c r="N733" s="231"/>
      <c r="O733" s="231"/>
      <c r="P733" s="231"/>
      <c r="Q733" s="231"/>
      <c r="R733" s="231"/>
      <c r="S733" s="231"/>
      <c r="T733" s="231"/>
      <c r="U733" s="231"/>
      <c r="V733" s="231"/>
      <c r="W733" s="231"/>
      <c r="X733" s="231"/>
      <c r="Y733" s="231"/>
    </row>
    <row r="736" spans="1:25" ht="13.8" thickBot="1" x14ac:dyDescent="0.3">
      <c r="A736" s="1513" t="s">
        <v>550</v>
      </c>
      <c r="B736" s="1514"/>
      <c r="C736" s="1514"/>
    </row>
    <row r="737" spans="1:10" ht="53.4" thickTop="1" x14ac:dyDescent="0.25">
      <c r="A737" s="239"/>
      <c r="B737" s="240" t="s">
        <v>551</v>
      </c>
      <c r="C737" s="240" t="s">
        <v>552</v>
      </c>
      <c r="D737" s="240" t="s">
        <v>553</v>
      </c>
      <c r="E737" s="240" t="s">
        <v>575</v>
      </c>
      <c r="F737" s="241"/>
      <c r="G737" s="241"/>
      <c r="H737" s="241"/>
      <c r="I737" s="241"/>
      <c r="J737" s="242"/>
    </row>
    <row r="738" spans="1:10" x14ac:dyDescent="0.25">
      <c r="A738" s="243"/>
      <c r="B738" s="244"/>
      <c r="C738" s="244"/>
      <c r="D738" s="244"/>
      <c r="E738" s="244"/>
      <c r="F738" s="244"/>
      <c r="G738" s="244"/>
      <c r="H738" s="244"/>
      <c r="I738" s="244"/>
      <c r="J738" s="245"/>
    </row>
    <row r="739" spans="1:10" x14ac:dyDescent="0.25">
      <c r="A739" s="243"/>
      <c r="B739" s="244"/>
      <c r="C739" s="244"/>
      <c r="D739" s="244"/>
      <c r="E739" s="244"/>
      <c r="F739" s="244"/>
      <c r="G739" s="244"/>
      <c r="H739" s="244"/>
      <c r="I739" s="244"/>
      <c r="J739" s="245"/>
    </row>
    <row r="740" spans="1:10" x14ac:dyDescent="0.25">
      <c r="A740" s="243" t="s">
        <v>554</v>
      </c>
      <c r="B740" s="254">
        <v>1.0439774739816527</v>
      </c>
      <c r="C740" s="254">
        <v>1.0284486209328481</v>
      </c>
      <c r="D740" s="254">
        <v>1.0094828736442827</v>
      </c>
      <c r="E740" s="254">
        <f t="shared" ref="E740:E747" si="82">F752/E752</f>
        <v>1.0704312355553662</v>
      </c>
      <c r="F740" s="244"/>
      <c r="G740" s="244"/>
      <c r="H740" s="244"/>
      <c r="I740" s="244"/>
      <c r="J740" s="245"/>
    </row>
    <row r="741" spans="1:10" x14ac:dyDescent="0.25">
      <c r="A741" s="243" t="s">
        <v>555</v>
      </c>
      <c r="B741" s="244">
        <v>1.2097805877102306</v>
      </c>
      <c r="C741" s="244">
        <v>1.1729343042703535</v>
      </c>
      <c r="D741" s="244">
        <v>1.0576447680901178</v>
      </c>
      <c r="E741" s="244">
        <f t="shared" si="82"/>
        <v>1.1340871534488071</v>
      </c>
      <c r="F741" s="244"/>
      <c r="G741" s="244"/>
      <c r="H741" s="244"/>
      <c r="I741" s="244"/>
      <c r="J741" s="245"/>
    </row>
    <row r="742" spans="1:10" x14ac:dyDescent="0.25">
      <c r="A742" s="243" t="s">
        <v>556</v>
      </c>
      <c r="B742" s="251">
        <v>1.1697889782905726</v>
      </c>
      <c r="C742" s="251">
        <v>1.1485262991479412</v>
      </c>
      <c r="D742" s="251">
        <v>1.049508766382647</v>
      </c>
      <c r="E742" s="251">
        <f t="shared" si="82"/>
        <v>1.1040561955262993</v>
      </c>
      <c r="F742" s="244"/>
      <c r="G742" s="244"/>
      <c r="H742" s="244"/>
      <c r="I742" s="244"/>
      <c r="J742" s="245"/>
    </row>
    <row r="743" spans="1:10" x14ac:dyDescent="0.25">
      <c r="A743" s="243" t="s">
        <v>557</v>
      </c>
      <c r="B743" s="244">
        <v>1.1587647303602575</v>
      </c>
      <c r="C743" s="244">
        <v>1.0854096786599328</v>
      </c>
      <c r="D743" s="244">
        <v>1.0284698928866443</v>
      </c>
      <c r="E743" s="244">
        <f t="shared" si="82"/>
        <v>1.363594657351775</v>
      </c>
      <c r="F743" s="244"/>
      <c r="G743" s="244"/>
      <c r="H743" s="244"/>
      <c r="I743" s="244"/>
      <c r="J743" s="245"/>
    </row>
    <row r="744" spans="1:10" x14ac:dyDescent="0.25">
      <c r="A744" s="243" t="s">
        <v>558</v>
      </c>
      <c r="B744" s="256">
        <v>1.1587647303602575</v>
      </c>
      <c r="C744" s="256">
        <v>1.0854096786599328</v>
      </c>
      <c r="D744" s="256">
        <v>1.0284698928866443</v>
      </c>
      <c r="E744" s="256">
        <f t="shared" si="82"/>
        <v>1.3635946573517748</v>
      </c>
      <c r="F744" s="244"/>
      <c r="G744" s="244"/>
      <c r="H744" s="244"/>
      <c r="I744" s="244"/>
      <c r="J744" s="245"/>
    </row>
    <row r="745" spans="1:10" x14ac:dyDescent="0.25">
      <c r="A745" s="243" t="s">
        <v>559</v>
      </c>
      <c r="B745" s="42">
        <v>0.99410318905494366</v>
      </c>
      <c r="C745" s="42">
        <v>1.0095287120834378</v>
      </c>
      <c r="D745" s="42">
        <v>1.0031762373611459</v>
      </c>
      <c r="E745" s="42">
        <f t="shared" si="82"/>
        <v>0.97316968165904427</v>
      </c>
      <c r="F745" s="244"/>
      <c r="G745" s="244"/>
      <c r="H745" s="244"/>
      <c r="I745" s="244"/>
      <c r="J745" s="245"/>
    </row>
    <row r="746" spans="1:10" x14ac:dyDescent="0.25">
      <c r="A746" s="243" t="s">
        <v>560</v>
      </c>
      <c r="B746" s="273">
        <v>1.0099752422488564</v>
      </c>
      <c r="C746" s="273">
        <v>1.0050974522479115</v>
      </c>
      <c r="D746" s="273">
        <v>1.0016991507493038</v>
      </c>
      <c r="E746" s="273">
        <f t="shared" si="82"/>
        <v>0.99922998787640482</v>
      </c>
      <c r="F746" s="244"/>
      <c r="G746" s="244"/>
      <c r="H746" s="244"/>
      <c r="I746" s="244"/>
      <c r="J746" s="245"/>
    </row>
    <row r="747" spans="1:10" x14ac:dyDescent="0.25">
      <c r="A747" s="243" t="s">
        <v>309</v>
      </c>
      <c r="B747" s="258">
        <v>1.0099752422488564</v>
      </c>
      <c r="C747" s="258">
        <v>1.0050974522479115</v>
      </c>
      <c r="D747" s="258">
        <v>1.0016991507493038</v>
      </c>
      <c r="E747" s="258">
        <f t="shared" si="82"/>
        <v>0.99922998787640471</v>
      </c>
      <c r="F747" s="244"/>
      <c r="G747" s="244"/>
      <c r="H747" s="244"/>
      <c r="I747" s="244"/>
      <c r="J747" s="245"/>
    </row>
    <row r="748" spans="1:10" x14ac:dyDescent="0.25">
      <c r="A748" s="243"/>
      <c r="B748" s="244"/>
      <c r="C748" s="244"/>
      <c r="D748" s="244"/>
      <c r="E748" s="244"/>
      <c r="F748" s="244"/>
      <c r="G748" s="244"/>
      <c r="H748" s="244"/>
      <c r="I748" s="244"/>
      <c r="J748" s="245"/>
    </row>
    <row r="749" spans="1:10" x14ac:dyDescent="0.25">
      <c r="A749" s="243"/>
      <c r="B749" s="244"/>
      <c r="C749" s="244"/>
      <c r="D749" s="244"/>
      <c r="E749" s="1512" t="s">
        <v>561</v>
      </c>
      <c r="F749" s="1512"/>
      <c r="G749" s="1512"/>
      <c r="H749" s="1512"/>
      <c r="I749" s="1512"/>
      <c r="J749" s="246"/>
    </row>
    <row r="750" spans="1:10" x14ac:dyDescent="0.25">
      <c r="A750" s="243" t="s">
        <v>562</v>
      </c>
      <c r="B750" s="244"/>
      <c r="C750" s="244" t="s">
        <v>563</v>
      </c>
      <c r="D750" s="244" t="s">
        <v>563</v>
      </c>
      <c r="E750" s="244"/>
      <c r="F750" s="244"/>
      <c r="G750" s="244"/>
      <c r="H750" s="244"/>
      <c r="I750" s="244"/>
      <c r="J750" s="245"/>
    </row>
    <row r="751" spans="1:10" x14ac:dyDescent="0.25">
      <c r="A751" s="243"/>
      <c r="B751" s="244" t="s">
        <v>1022</v>
      </c>
      <c r="C751" s="244">
        <v>2000</v>
      </c>
      <c r="D751" s="244">
        <v>2005</v>
      </c>
      <c r="E751" s="244">
        <v>2020</v>
      </c>
      <c r="F751" s="244">
        <v>2035</v>
      </c>
      <c r="G751" s="244">
        <v>2050</v>
      </c>
      <c r="H751" s="244">
        <v>2065</v>
      </c>
      <c r="I751" s="244">
        <v>2080</v>
      </c>
      <c r="J751" s="245"/>
    </row>
    <row r="752" spans="1:10" x14ac:dyDescent="0.25">
      <c r="A752" s="243" t="s">
        <v>554</v>
      </c>
      <c r="B752" s="244" t="s">
        <v>564</v>
      </c>
      <c r="C752" s="244">
        <v>25.276500000000002</v>
      </c>
      <c r="D752" s="244">
        <v>25.071000000000002</v>
      </c>
      <c r="E752" s="244">
        <v>24.427484559</v>
      </c>
      <c r="F752" s="244">
        <v>26.147942478000001</v>
      </c>
      <c r="G752" s="244">
        <v>27.297862937999998</v>
      </c>
      <c r="H752" s="244">
        <v>28.074449492999999</v>
      </c>
      <c r="I752" s="244">
        <v>29.9967939</v>
      </c>
      <c r="J752" s="245"/>
    </row>
    <row r="753" spans="1:10" x14ac:dyDescent="0.25">
      <c r="A753" s="243" t="s">
        <v>555</v>
      </c>
      <c r="B753" s="244" t="s">
        <v>565</v>
      </c>
      <c r="C753" s="244">
        <v>3.83</v>
      </c>
      <c r="D753" s="244">
        <v>2.88</v>
      </c>
      <c r="E753" s="244">
        <v>3.1020351176470586</v>
      </c>
      <c r="F753" s="244">
        <v>3.5179781764705877</v>
      </c>
      <c r="G753" s="244">
        <v>4.2559817058823528</v>
      </c>
      <c r="H753" s="244">
        <v>4.9919869411764699</v>
      </c>
      <c r="I753" s="244">
        <v>5.7211905294117642</v>
      </c>
      <c r="J753" s="245"/>
    </row>
    <row r="754" spans="1:10" x14ac:dyDescent="0.25">
      <c r="A754" s="243" t="s">
        <v>556</v>
      </c>
      <c r="B754" s="244" t="s">
        <v>565</v>
      </c>
      <c r="C754" s="244">
        <v>4.333333333333333</v>
      </c>
      <c r="D754" s="244">
        <v>3.2058823529411766</v>
      </c>
      <c r="E754" s="244">
        <v>4.0727964705882354</v>
      </c>
      <c r="F754" s="244">
        <v>4.4965961764705868</v>
      </c>
      <c r="G754" s="244">
        <v>5.2600686470588229</v>
      </c>
      <c r="H754" s="244">
        <v>6.0413271764705883</v>
      </c>
      <c r="I754" s="244">
        <v>6.8262844117647052</v>
      </c>
      <c r="J754" s="245"/>
    </row>
    <row r="755" spans="1:10" x14ac:dyDescent="0.25">
      <c r="A755" s="243" t="s">
        <v>557</v>
      </c>
      <c r="B755" s="244" t="s">
        <v>566</v>
      </c>
      <c r="C755" s="244">
        <v>28.35</v>
      </c>
      <c r="D755" s="244">
        <v>23.27</v>
      </c>
      <c r="E755" s="244">
        <v>17.294973600000002</v>
      </c>
      <c r="F755" s="244">
        <v>23.583333599999996</v>
      </c>
      <c r="G755" s="244">
        <v>27.327535199999996</v>
      </c>
      <c r="H755" s="244">
        <v>29.661571199999997</v>
      </c>
      <c r="I755" s="244"/>
      <c r="J755" s="245"/>
    </row>
    <row r="756" spans="1:10" x14ac:dyDescent="0.25">
      <c r="A756" s="243" t="s">
        <v>558</v>
      </c>
      <c r="B756" s="244" t="s">
        <v>567</v>
      </c>
      <c r="C756" s="244">
        <v>1.5176666666666667</v>
      </c>
      <c r="D756" s="244">
        <v>1.2925714285714285</v>
      </c>
      <c r="E756" s="244">
        <v>0.93587519480519499</v>
      </c>
      <c r="F756" s="244">
        <v>1.2761544155844153</v>
      </c>
      <c r="G756" s="244">
        <v>1.4787627272727271</v>
      </c>
      <c r="H756" s="244">
        <v>1.6050633766233764</v>
      </c>
      <c r="I756" s="244"/>
      <c r="J756" s="245"/>
    </row>
    <row r="757" spans="1:10" x14ac:dyDescent="0.25">
      <c r="A757" s="243" t="s">
        <v>559</v>
      </c>
      <c r="B757" s="244" t="s">
        <v>568</v>
      </c>
      <c r="C757" s="244">
        <v>6.9</v>
      </c>
      <c r="D757" s="244">
        <v>6.4</v>
      </c>
      <c r="E757" s="244">
        <v>6.9130361604720001</v>
      </c>
      <c r="F757" s="244">
        <v>6.7275571995839982</v>
      </c>
      <c r="G757" s="244">
        <v>6.6878860666559987</v>
      </c>
      <c r="H757" s="244">
        <v>6.7516130074319989</v>
      </c>
      <c r="I757" s="244">
        <v>6.8294477356799987</v>
      </c>
      <c r="J757" s="245"/>
    </row>
    <row r="758" spans="1:10" x14ac:dyDescent="0.25">
      <c r="A758" s="243" t="s">
        <v>560</v>
      </c>
      <c r="B758" s="244" t="s">
        <v>569</v>
      </c>
      <c r="C758" s="244"/>
      <c r="D758" s="244"/>
      <c r="E758" s="244">
        <v>3.8637053999999993</v>
      </c>
      <c r="F758" s="244">
        <v>3.8607302999999993</v>
      </c>
      <c r="G758" s="244">
        <v>3.8992420199999995</v>
      </c>
      <c r="H758" s="244">
        <v>3.9191182199999997</v>
      </c>
      <c r="I758" s="244">
        <v>4.4580291000000001</v>
      </c>
      <c r="J758" s="245"/>
    </row>
    <row r="759" spans="1:10" x14ac:dyDescent="0.25">
      <c r="A759" s="243" t="s">
        <v>309</v>
      </c>
      <c r="B759" s="244" t="s">
        <v>569</v>
      </c>
      <c r="C759" s="244"/>
      <c r="D759" s="244"/>
      <c r="E759" s="244">
        <v>19.318526999999996</v>
      </c>
      <c r="F759" s="244">
        <v>19.303651499999994</v>
      </c>
      <c r="G759" s="244">
        <v>19.496210099999995</v>
      </c>
      <c r="H759" s="244">
        <v>19.595591099999996</v>
      </c>
      <c r="I759" s="244">
        <v>22.290145499999998</v>
      </c>
      <c r="J759" s="245"/>
    </row>
    <row r="760" spans="1:10" x14ac:dyDescent="0.25">
      <c r="A760" s="243"/>
      <c r="B760" s="244"/>
      <c r="C760" s="244"/>
      <c r="D760" s="244"/>
      <c r="E760" s="244"/>
      <c r="F760" s="244"/>
      <c r="G760" s="244"/>
      <c r="H760" s="244"/>
      <c r="I760" s="244"/>
      <c r="J760" s="245"/>
    </row>
    <row r="761" spans="1:10" ht="39.6" x14ac:dyDescent="0.25">
      <c r="A761" s="247" t="s">
        <v>570</v>
      </c>
      <c r="B761" s="244" t="s">
        <v>564</v>
      </c>
      <c r="C761" s="244"/>
      <c r="D761" s="244"/>
      <c r="E761" s="244">
        <v>76.455732879999985</v>
      </c>
      <c r="F761" s="244">
        <v>76.404561159999986</v>
      </c>
      <c r="G761" s="244">
        <v>77.066962743999994</v>
      </c>
      <c r="H761" s="244">
        <v>77.40883338399999</v>
      </c>
      <c r="I761" s="244">
        <v>86.678100520000001</v>
      </c>
      <c r="J761" s="245"/>
    </row>
    <row r="762" spans="1:10" ht="13.8" thickBot="1" x14ac:dyDescent="0.3">
      <c r="A762" s="248"/>
      <c r="B762" s="249">
        <v>17.2</v>
      </c>
      <c r="C762" s="249" t="s">
        <v>571</v>
      </c>
      <c r="D762" s="249"/>
      <c r="E762" s="249"/>
      <c r="F762" s="249"/>
      <c r="G762" s="249"/>
      <c r="H762" s="249"/>
      <c r="I762" s="249"/>
      <c r="J762" s="250"/>
    </row>
    <row r="763" spans="1:10" ht="13.8" thickTop="1" x14ac:dyDescent="0.25"/>
    <row r="764" spans="1:10" x14ac:dyDescent="0.25">
      <c r="A764" s="39" t="s">
        <v>798</v>
      </c>
    </row>
    <row r="765" spans="1:10" x14ac:dyDescent="0.25">
      <c r="A765" t="s">
        <v>792</v>
      </c>
    </row>
    <row r="766" spans="1:10" x14ac:dyDescent="0.25">
      <c r="A766" t="s">
        <v>793</v>
      </c>
    </row>
    <row r="767" spans="1:10" x14ac:dyDescent="0.25">
      <c r="A767" t="s">
        <v>794</v>
      </c>
    </row>
    <row r="769" spans="1:27" x14ac:dyDescent="0.25">
      <c r="A769" t="s">
        <v>433</v>
      </c>
    </row>
    <row r="770" spans="1:27" x14ac:dyDescent="0.25">
      <c r="A770" t="s">
        <v>707</v>
      </c>
    </row>
    <row r="773" spans="1:27" x14ac:dyDescent="0.25">
      <c r="AA773" t="s">
        <v>795</v>
      </c>
    </row>
    <row r="774" spans="1:27" x14ac:dyDescent="0.25">
      <c r="B774" t="s">
        <v>439</v>
      </c>
      <c r="C774" t="s">
        <v>440</v>
      </c>
      <c r="D774" t="s">
        <v>441</v>
      </c>
      <c r="E774" t="s">
        <v>442</v>
      </c>
      <c r="F774" t="s">
        <v>443</v>
      </c>
      <c r="G774" t="s">
        <v>444</v>
      </c>
      <c r="H774" t="s">
        <v>445</v>
      </c>
      <c r="I774" t="s">
        <v>446</v>
      </c>
      <c r="J774" t="s">
        <v>447</v>
      </c>
      <c r="K774" t="s">
        <v>448</v>
      </c>
      <c r="L774" t="s">
        <v>449</v>
      </c>
      <c r="M774" t="s">
        <v>450</v>
      </c>
      <c r="N774" t="s">
        <v>451</v>
      </c>
      <c r="O774" t="s">
        <v>452</v>
      </c>
      <c r="P774" t="s">
        <v>453</v>
      </c>
      <c r="Q774" t="s">
        <v>454</v>
      </c>
      <c r="R774" t="s">
        <v>455</v>
      </c>
      <c r="S774" t="s">
        <v>456</v>
      </c>
      <c r="T774" t="s">
        <v>457</v>
      </c>
      <c r="U774" t="s">
        <v>458</v>
      </c>
      <c r="V774" t="s">
        <v>589</v>
      </c>
      <c r="W774" t="s">
        <v>590</v>
      </c>
      <c r="X774" t="s">
        <v>591</v>
      </c>
      <c r="Y774" t="s">
        <v>592</v>
      </c>
      <c r="Z774" t="s">
        <v>593</v>
      </c>
      <c r="AA774" t="s">
        <v>593</v>
      </c>
    </row>
    <row r="777" spans="1:27" x14ac:dyDescent="0.25">
      <c r="A777" t="s">
        <v>459</v>
      </c>
    </row>
    <row r="778" spans="1:27" x14ac:dyDescent="0.25">
      <c r="A778" t="s">
        <v>594</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595</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496</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465</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466</v>
      </c>
    </row>
    <row r="784" spans="1:27" x14ac:dyDescent="0.25">
      <c r="A784" t="s">
        <v>594</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595</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708</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496</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465</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597</v>
      </c>
    </row>
    <row r="791" spans="1:27" x14ac:dyDescent="0.25">
      <c r="A791" t="s">
        <v>594</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595</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596</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598</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599</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600</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601</v>
      </c>
      <c r="B797" t="s">
        <v>773</v>
      </c>
      <c r="C797" t="s">
        <v>773</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773</v>
      </c>
    </row>
    <row r="798" spans="1:27" x14ac:dyDescent="0.25">
      <c r="A798" t="s">
        <v>465</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473</v>
      </c>
    </row>
    <row r="801" spans="1:27" x14ac:dyDescent="0.25">
      <c r="A801" t="s">
        <v>602</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603</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604</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605</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709</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596</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607</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465</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608</v>
      </c>
    </row>
    <row r="811" spans="1:27" x14ac:dyDescent="0.25">
      <c r="A811" t="s">
        <v>595</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596</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496</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609</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610</v>
      </c>
    </row>
    <row r="817" spans="1:27" x14ac:dyDescent="0.25">
      <c r="A817" t="s">
        <v>594</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603</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604</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611</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595</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596</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496</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599</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612</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601</v>
      </c>
      <c r="B826" t="s">
        <v>773</v>
      </c>
      <c r="C826" t="s">
        <v>773</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773</v>
      </c>
    </row>
    <row r="827" spans="1:27" x14ac:dyDescent="0.25">
      <c r="A827" t="s">
        <v>465</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499</v>
      </c>
    </row>
    <row r="830" spans="1:27" x14ac:dyDescent="0.25">
      <c r="A830" t="s">
        <v>710</v>
      </c>
    </row>
    <row r="831" spans="1:27" x14ac:dyDescent="0.25">
      <c r="A831" t="s">
        <v>459</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466</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501</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473</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502</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614</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504</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711</v>
      </c>
    </row>
    <row r="841" spans="1:27" x14ac:dyDescent="0.25">
      <c r="A841" t="s">
        <v>459</v>
      </c>
    </row>
    <row r="842" spans="1:27" x14ac:dyDescent="0.25">
      <c r="A842" t="s">
        <v>594</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595</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496</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465</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466</v>
      </c>
    </row>
    <row r="848" spans="1:27" x14ac:dyDescent="0.25">
      <c r="A848" t="s">
        <v>594</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595</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708</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496</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465</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597</v>
      </c>
    </row>
    <row r="855" spans="1:27" x14ac:dyDescent="0.25">
      <c r="A855" t="s">
        <v>594</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595</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596</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598</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599</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600</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601</v>
      </c>
      <c r="B861" t="s">
        <v>773</v>
      </c>
      <c r="C861" t="s">
        <v>773</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773</v>
      </c>
    </row>
    <row r="862" spans="1:27" x14ac:dyDescent="0.25">
      <c r="A862" t="s">
        <v>465</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281" t="s">
        <v>473</v>
      </c>
      <c r="B864" s="281"/>
      <c r="C864" s="281"/>
      <c r="D864" s="281"/>
      <c r="E864" s="281"/>
      <c r="F864" s="281"/>
      <c r="G864" s="281"/>
      <c r="H864" s="281"/>
      <c r="I864" s="281"/>
      <c r="J864" s="281"/>
      <c r="K864" s="281"/>
      <c r="L864" s="281"/>
      <c r="M864" s="281"/>
      <c r="N864" s="281"/>
      <c r="O864" s="281"/>
      <c r="P864" s="281"/>
      <c r="Q864" s="281"/>
      <c r="R864" s="281"/>
      <c r="S864" s="281"/>
      <c r="T864" s="281"/>
      <c r="U864" s="281"/>
      <c r="V864" s="281"/>
      <c r="W864" s="281"/>
      <c r="X864" s="281"/>
      <c r="Y864" s="281"/>
      <c r="Z864" s="281"/>
    </row>
    <row r="865" spans="1:27" x14ac:dyDescent="0.25">
      <c r="A865" t="s">
        <v>602</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603</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604</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605</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709</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596</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607</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465</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608</v>
      </c>
    </row>
    <row r="875" spans="1:27" x14ac:dyDescent="0.25">
      <c r="A875" t="s">
        <v>595</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596</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496</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609</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610</v>
      </c>
    </row>
    <row r="881" spans="1:27" x14ac:dyDescent="0.25">
      <c r="A881" t="s">
        <v>594</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603</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604</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611</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595</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596</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496</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599</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612</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601</v>
      </c>
      <c r="B890" t="s">
        <v>773</v>
      </c>
      <c r="C890" t="s">
        <v>773</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773</v>
      </c>
    </row>
    <row r="891" spans="1:27" x14ac:dyDescent="0.25">
      <c r="A891" t="s">
        <v>465</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499</v>
      </c>
    </row>
    <row r="894" spans="1:27" x14ac:dyDescent="0.25">
      <c r="A894" t="s">
        <v>712</v>
      </c>
    </row>
    <row r="895" spans="1:27" x14ac:dyDescent="0.25">
      <c r="A895" t="s">
        <v>459</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466</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501</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473</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502</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614</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504</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615</v>
      </c>
    </row>
    <row r="906" spans="1:27" x14ac:dyDescent="0.25">
      <c r="A906" t="s">
        <v>616</v>
      </c>
    </row>
    <row r="907" spans="1:27" x14ac:dyDescent="0.25">
      <c r="A907" t="s">
        <v>617</v>
      </c>
    </row>
    <row r="908" spans="1:27" x14ac:dyDescent="0.25">
      <c r="A908" t="s">
        <v>713</v>
      </c>
    </row>
    <row r="909" spans="1:27" x14ac:dyDescent="0.25">
      <c r="A909" t="s">
        <v>714</v>
      </c>
    </row>
    <row r="910" spans="1:27" x14ac:dyDescent="0.25">
      <c r="A910" t="s">
        <v>634</v>
      </c>
    </row>
    <row r="911" spans="1:27" x14ac:dyDescent="0.25">
      <c r="A911" t="s">
        <v>635</v>
      </c>
    </row>
    <row r="912" spans="1:27" x14ac:dyDescent="0.25">
      <c r="A912" t="s">
        <v>636</v>
      </c>
    </row>
    <row r="913" spans="1:1" x14ac:dyDescent="0.25">
      <c r="A913" t="s">
        <v>637</v>
      </c>
    </row>
    <row r="914" spans="1:1" x14ac:dyDescent="0.25">
      <c r="A914" t="s">
        <v>638</v>
      </c>
    </row>
    <row r="915" spans="1:1" x14ac:dyDescent="0.25">
      <c r="A915" t="s">
        <v>639</v>
      </c>
    </row>
    <row r="916" spans="1:1" x14ac:dyDescent="0.25">
      <c r="A916" t="s">
        <v>531</v>
      </c>
    </row>
    <row r="917" spans="1:1" x14ac:dyDescent="0.25">
      <c r="A917" t="s">
        <v>715</v>
      </c>
    </row>
    <row r="918" spans="1:1" x14ac:dyDescent="0.25">
      <c r="A918" t="s">
        <v>716</v>
      </c>
    </row>
    <row r="919" spans="1:1" x14ac:dyDescent="0.25">
      <c r="A919" t="s">
        <v>717</v>
      </c>
    </row>
    <row r="920" spans="1:1" x14ac:dyDescent="0.25">
      <c r="A920" t="s">
        <v>718</v>
      </c>
    </row>
    <row r="921" spans="1:1" x14ac:dyDescent="0.25">
      <c r="A921" t="s">
        <v>719</v>
      </c>
    </row>
    <row r="922" spans="1:1" x14ac:dyDescent="0.25">
      <c r="A922" t="s">
        <v>720</v>
      </c>
    </row>
    <row r="923" spans="1:1" x14ac:dyDescent="0.25">
      <c r="A923" t="s">
        <v>721</v>
      </c>
    </row>
    <row r="924" spans="1:1" x14ac:dyDescent="0.25">
      <c r="A924" t="s">
        <v>722</v>
      </c>
    </row>
    <row r="925" spans="1:1" x14ac:dyDescent="0.25">
      <c r="A925" t="s">
        <v>723</v>
      </c>
    </row>
    <row r="926" spans="1:1" x14ac:dyDescent="0.25">
      <c r="A926" t="s">
        <v>724</v>
      </c>
    </row>
    <row r="927" spans="1:1" x14ac:dyDescent="0.25">
      <c r="A927" t="s">
        <v>796</v>
      </c>
    </row>
    <row r="928" spans="1:1" x14ac:dyDescent="0.25">
      <c r="A928" t="s">
        <v>726</v>
      </c>
    </row>
    <row r="929" spans="1:1" x14ac:dyDescent="0.25">
      <c r="A929" t="s">
        <v>797</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91" workbookViewId="0">
      <selection activeCell="A94" sqref="A94:A123"/>
    </sheetView>
  </sheetViews>
  <sheetFormatPr defaultRowHeight="13.2" x14ac:dyDescent="0.25"/>
  <cols>
    <col min="1" max="1" width="33" customWidth="1"/>
    <col min="2" max="2" width="28.5546875" customWidth="1"/>
    <col min="3" max="3" width="14" customWidth="1"/>
    <col min="4" max="4" width="12.6640625" customWidth="1"/>
    <col min="5" max="5" width="15.33203125" customWidth="1"/>
    <col min="6" max="6" width="21.4414062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546875" customWidth="1"/>
    <col min="16" max="18" width="18.6640625" customWidth="1"/>
    <col min="19" max="20" width="13.44140625" customWidth="1"/>
    <col min="23" max="23" width="12.44140625" bestFit="1" customWidth="1"/>
  </cols>
  <sheetData>
    <row r="1" spans="1:23" ht="13.8" x14ac:dyDescent="0.25">
      <c r="A1" s="2" t="s">
        <v>298</v>
      </c>
    </row>
    <row r="2" spans="1:23" ht="12.75" customHeight="1" x14ac:dyDescent="0.3">
      <c r="A2" s="1562" t="s">
        <v>847</v>
      </c>
      <c r="B2" s="1563"/>
      <c r="C2" s="1563"/>
      <c r="D2" s="1563"/>
      <c r="E2" s="1563"/>
      <c r="F2" s="1563"/>
      <c r="G2" s="1563"/>
      <c r="H2" s="1563"/>
      <c r="I2" s="1563"/>
      <c r="J2" s="1563"/>
      <c r="K2" s="1563"/>
    </row>
    <row r="3" spans="1:23" ht="13.8" thickBot="1" x14ac:dyDescent="0.3">
      <c r="A3" s="1564"/>
      <c r="B3" s="1564"/>
      <c r="C3" s="1564"/>
      <c r="D3" s="1564"/>
      <c r="E3" s="1564"/>
      <c r="F3" s="1564"/>
      <c r="G3" s="1564"/>
      <c r="H3" s="1564"/>
      <c r="I3" s="1564"/>
      <c r="J3" s="1564"/>
      <c r="K3" s="1564"/>
    </row>
    <row r="4" spans="1:23" ht="13.8" x14ac:dyDescent="0.25">
      <c r="A4" s="3" t="s">
        <v>299</v>
      </c>
      <c r="B4" s="4"/>
      <c r="C4" s="1565" t="s">
        <v>300</v>
      </c>
      <c r="D4" s="1565"/>
      <c r="E4" s="1565"/>
      <c r="F4" s="5"/>
      <c r="G4" s="1565" t="s">
        <v>301</v>
      </c>
      <c r="H4" s="1565"/>
      <c r="I4" s="1565"/>
      <c r="J4" s="5"/>
      <c r="K4" s="6" t="s">
        <v>302</v>
      </c>
      <c r="O4" s="2" t="s">
        <v>618</v>
      </c>
    </row>
    <row r="5" spans="1:23" x14ac:dyDescent="0.25">
      <c r="A5" s="7" t="s">
        <v>848</v>
      </c>
      <c r="B5" s="8"/>
      <c r="C5" s="9" t="s">
        <v>849</v>
      </c>
      <c r="D5" s="9" t="s">
        <v>303</v>
      </c>
      <c r="E5" s="9" t="s">
        <v>304</v>
      </c>
      <c r="F5" s="9"/>
      <c r="G5" s="9" t="s">
        <v>849</v>
      </c>
      <c r="H5" s="9" t="s">
        <v>303</v>
      </c>
      <c r="I5" s="9" t="s">
        <v>304</v>
      </c>
      <c r="J5" s="9"/>
      <c r="K5" s="10" t="s">
        <v>850</v>
      </c>
      <c r="O5" s="1"/>
      <c r="P5" s="1"/>
      <c r="Q5" s="456"/>
      <c r="R5" s="456">
        <v>2005</v>
      </c>
      <c r="S5" s="456">
        <v>2007</v>
      </c>
      <c r="T5" s="456">
        <v>2005</v>
      </c>
      <c r="U5" s="456">
        <v>2007</v>
      </c>
      <c r="V5" s="455"/>
      <c r="W5" s="455"/>
    </row>
    <row r="6" spans="1:23" x14ac:dyDescent="0.25">
      <c r="A6" s="15" t="s">
        <v>515</v>
      </c>
      <c r="B6" s="12"/>
      <c r="C6" s="13">
        <v>983</v>
      </c>
      <c r="D6" s="14">
        <f>C6/$K6*453.59</f>
        <v>20267.225909090906</v>
      </c>
      <c r="E6" s="448">
        <f>D6*1.05506/1000*2.2046</f>
        <v>47.141269049911173</v>
      </c>
      <c r="F6" s="13"/>
      <c r="G6" s="13">
        <v>1089</v>
      </c>
      <c r="H6" s="14">
        <f>G6/$K6*453.59</f>
        <v>22452.704999999998</v>
      </c>
      <c r="I6" s="448">
        <f>H6*1.05506/1000*2.2046</f>
        <v>52.224661236371581</v>
      </c>
      <c r="J6" s="13"/>
      <c r="K6" s="449">
        <v>22</v>
      </c>
      <c r="O6" s="1" t="s">
        <v>245</v>
      </c>
      <c r="P6" s="1" t="s">
        <v>1022</v>
      </c>
      <c r="Q6" s="456" t="s">
        <v>622</v>
      </c>
      <c r="R6" s="456" t="s">
        <v>621</v>
      </c>
      <c r="S6" s="456" t="s">
        <v>621</v>
      </c>
      <c r="T6" s="456" t="s">
        <v>1011</v>
      </c>
      <c r="U6" s="456" t="s">
        <v>1011</v>
      </c>
      <c r="V6" s="455"/>
      <c r="W6" s="455"/>
    </row>
    <row r="7" spans="1:23" x14ac:dyDescent="0.25">
      <c r="A7" s="15" t="s">
        <v>851</v>
      </c>
      <c r="B7" s="16"/>
      <c r="C7" s="450">
        <v>290</v>
      </c>
      <c r="D7" s="17">
        <f t="shared" ref="D7:D40" si="0">C7/K7*453.59</f>
        <v>51682.028917177428</v>
      </c>
      <c r="E7" s="451">
        <f t="shared" ref="E7:E40" si="1">D7*1.05506/1000*2.2046</f>
        <v>120.21163829516094</v>
      </c>
      <c r="F7" s="18"/>
      <c r="G7" s="19">
        <v>343</v>
      </c>
      <c r="H7" s="17">
        <f t="shared" ref="H7:H40" si="2">G7/$K7*453.59</f>
        <v>61127.365236523648</v>
      </c>
      <c r="I7" s="451">
        <f t="shared" ref="I7:I40" si="3">H7*1.05506/1000*2.2046</f>
        <v>142.1813515008283</v>
      </c>
      <c r="J7" s="18"/>
      <c r="K7" s="452">
        <v>2.5451999999999999</v>
      </c>
      <c r="O7" t="s">
        <v>830</v>
      </c>
      <c r="P7" t="s">
        <v>623</v>
      </c>
      <c r="Q7" s="455">
        <v>930</v>
      </c>
      <c r="R7" s="455">
        <v>1027</v>
      </c>
      <c r="S7" s="455">
        <v>1030</v>
      </c>
      <c r="T7" s="455">
        <f>R7/Q7</f>
        <v>1.1043010752688172</v>
      </c>
      <c r="U7" s="455">
        <f>S7/Q7</f>
        <v>1.10752688172043</v>
      </c>
      <c r="V7" s="455"/>
      <c r="W7" s="455"/>
    </row>
    <row r="8" spans="1:23" x14ac:dyDescent="0.25">
      <c r="A8" s="15" t="s">
        <v>852</v>
      </c>
      <c r="B8" s="16"/>
      <c r="C8" s="450">
        <v>1458</v>
      </c>
      <c r="D8" s="17">
        <f t="shared" si="0"/>
        <v>20162.628658536585</v>
      </c>
      <c r="E8" s="448">
        <f t="shared" si="1"/>
        <v>46.897977385211739</v>
      </c>
      <c r="F8" s="18"/>
      <c r="G8" s="19">
        <v>1584</v>
      </c>
      <c r="H8" s="17">
        <f t="shared" si="2"/>
        <v>21905.078048780488</v>
      </c>
      <c r="I8" s="448">
        <f t="shared" si="3"/>
        <v>50.950889011094226</v>
      </c>
      <c r="J8" s="18"/>
      <c r="K8" s="20">
        <v>32.799999999999997</v>
      </c>
      <c r="O8" t="s">
        <v>831</v>
      </c>
      <c r="P8" t="s">
        <v>623</v>
      </c>
      <c r="Q8" s="455">
        <v>930</v>
      </c>
      <c r="R8" s="455">
        <v>1027</v>
      </c>
      <c r="S8" s="455">
        <v>1030</v>
      </c>
      <c r="T8" s="455">
        <f>R8/Q8</f>
        <v>1.1043010752688172</v>
      </c>
      <c r="U8" s="455">
        <f>S8/Q8</f>
        <v>1.10752688172043</v>
      </c>
      <c r="V8" s="455"/>
      <c r="W8" s="455"/>
    </row>
    <row r="9" spans="1:23" x14ac:dyDescent="0.25">
      <c r="A9" s="7" t="s">
        <v>305</v>
      </c>
      <c r="B9" s="8"/>
      <c r="C9" s="9" t="s">
        <v>306</v>
      </c>
      <c r="D9" s="9" t="s">
        <v>303</v>
      </c>
      <c r="E9" s="9" t="s">
        <v>304</v>
      </c>
      <c r="F9" s="9"/>
      <c r="G9" s="9" t="s">
        <v>306</v>
      </c>
      <c r="H9" s="9" t="s">
        <v>303</v>
      </c>
      <c r="I9" s="9" t="s">
        <v>304</v>
      </c>
      <c r="J9" s="9"/>
      <c r="K9" s="10" t="s">
        <v>307</v>
      </c>
      <c r="O9" t="s">
        <v>832</v>
      </c>
      <c r="P9" t="s">
        <v>623</v>
      </c>
      <c r="Q9" s="455">
        <v>930</v>
      </c>
      <c r="R9" s="455">
        <v>1027</v>
      </c>
      <c r="S9" s="455">
        <v>1030</v>
      </c>
      <c r="T9" s="455">
        <f>R9/Q9</f>
        <v>1.1043010752688172</v>
      </c>
      <c r="U9" s="455">
        <f>S9/Q9</f>
        <v>1.10752688172043</v>
      </c>
      <c r="V9" s="455"/>
      <c r="W9" s="455"/>
    </row>
    <row r="10" spans="1:23" x14ac:dyDescent="0.25">
      <c r="A10" s="11" t="s">
        <v>853</v>
      </c>
      <c r="B10" s="16"/>
      <c r="C10" s="19">
        <v>129670</v>
      </c>
      <c r="D10" s="17">
        <f t="shared" si="0"/>
        <v>18351.642839313572</v>
      </c>
      <c r="E10" s="448">
        <f t="shared" si="1"/>
        <v>42.685651034654214</v>
      </c>
      <c r="F10" s="18"/>
      <c r="G10" s="19">
        <v>138350</v>
      </c>
      <c r="H10" s="17">
        <f t="shared" si="2"/>
        <v>19580.086271450855</v>
      </c>
      <c r="I10" s="448">
        <f t="shared" si="3"/>
        <v>45.542992370204438</v>
      </c>
      <c r="J10" s="18"/>
      <c r="K10" s="21">
        <v>3205</v>
      </c>
      <c r="O10" t="s">
        <v>907</v>
      </c>
      <c r="Q10" s="455"/>
      <c r="R10" s="455"/>
      <c r="S10" s="455"/>
      <c r="T10" s="455">
        <v>1</v>
      </c>
      <c r="U10" s="455">
        <v>1</v>
      </c>
      <c r="V10" s="455"/>
      <c r="W10" s="455"/>
    </row>
    <row r="11" spans="1:23" x14ac:dyDescent="0.25">
      <c r="A11" s="11" t="s">
        <v>854</v>
      </c>
      <c r="B11" s="16"/>
      <c r="C11" s="19">
        <v>116090</v>
      </c>
      <c r="D11" s="17">
        <f t="shared" si="0"/>
        <v>18679.412238382403</v>
      </c>
      <c r="E11" s="448">
        <f t="shared" si="1"/>
        <v>43.448037830811678</v>
      </c>
      <c r="F11" s="18"/>
      <c r="G11" s="19">
        <v>124340</v>
      </c>
      <c r="H11" s="17">
        <f t="shared" si="2"/>
        <v>20006.874991131608</v>
      </c>
      <c r="I11" s="448">
        <f t="shared" si="3"/>
        <v>46.535696648144757</v>
      </c>
      <c r="J11" s="18"/>
      <c r="K11" s="21">
        <v>2819</v>
      </c>
      <c r="O11" t="s">
        <v>909</v>
      </c>
      <c r="Q11" s="455"/>
      <c r="R11" s="455"/>
      <c r="S11" s="455"/>
      <c r="T11" s="455">
        <v>1</v>
      </c>
      <c r="U11" s="455">
        <v>1</v>
      </c>
      <c r="V11" s="455"/>
      <c r="W11" s="455"/>
    </row>
    <row r="12" spans="1:23" x14ac:dyDescent="0.25">
      <c r="A12" s="11" t="s">
        <v>855</v>
      </c>
      <c r="B12" s="16"/>
      <c r="C12" s="19">
        <v>113601.50975397152</v>
      </c>
      <c r="D12" s="17">
        <f t="shared" si="0"/>
        <v>18210.67343395916</v>
      </c>
      <c r="E12" s="448">
        <f t="shared" si="1"/>
        <v>42.357758273433376</v>
      </c>
      <c r="F12" s="18"/>
      <c r="G12" s="19">
        <v>121848.38036482914</v>
      </c>
      <c r="H12" s="17">
        <f t="shared" si="2"/>
        <v>19532.672304147527</v>
      </c>
      <c r="I12" s="448">
        <f t="shared" si="3"/>
        <v>45.432708180380153</v>
      </c>
      <c r="J12" s="18"/>
      <c r="K12" s="21">
        <v>2829.5773353012783</v>
      </c>
      <c r="O12" t="s">
        <v>833</v>
      </c>
      <c r="P12" t="s">
        <v>624</v>
      </c>
      <c r="Q12" s="457">
        <v>19546300</v>
      </c>
      <c r="R12" s="457">
        <v>20754000</v>
      </c>
      <c r="S12" s="457">
        <v>20231000</v>
      </c>
      <c r="T12" s="455">
        <f>R12/Q12</f>
        <v>1.0617866296946226</v>
      </c>
      <c r="U12" s="455">
        <f>S12/Q12</f>
        <v>1.0350296475547802</v>
      </c>
      <c r="V12" s="455"/>
      <c r="W12" s="455"/>
    </row>
    <row r="13" spans="1:23" x14ac:dyDescent="0.25">
      <c r="A13" s="11" t="s">
        <v>856</v>
      </c>
      <c r="B13" s="16"/>
      <c r="C13" s="19">
        <v>113927.15396104372</v>
      </c>
      <c r="D13" s="17">
        <f t="shared" si="0"/>
        <v>18271.813278014368</v>
      </c>
      <c r="E13" s="448">
        <f t="shared" si="1"/>
        <v>42.499968650482714</v>
      </c>
      <c r="F13" s="18"/>
      <c r="G13" s="19">
        <v>122174.43408423416</v>
      </c>
      <c r="H13" s="17">
        <f t="shared" si="2"/>
        <v>19594.524828536756</v>
      </c>
      <c r="I13" s="448">
        <f t="shared" si="3"/>
        <v>45.576576241392928</v>
      </c>
      <c r="J13" s="18"/>
      <c r="K13" s="21">
        <v>2828.193183616288</v>
      </c>
      <c r="O13" t="s">
        <v>890</v>
      </c>
      <c r="P13" t="s">
        <v>625</v>
      </c>
      <c r="Q13" s="457">
        <v>128450</v>
      </c>
      <c r="R13" s="457">
        <f>5825000/42</f>
        <v>138690.47619047618</v>
      </c>
      <c r="S13" s="457">
        <f>5799000/42</f>
        <v>138071.42857142858</v>
      </c>
      <c r="T13" s="455">
        <f>R13/Q13</f>
        <v>1.0797234425105191</v>
      </c>
      <c r="U13" s="455">
        <f>S13/Q13</f>
        <v>1.0749040760718458</v>
      </c>
      <c r="V13" s="455"/>
      <c r="W13" s="455"/>
    </row>
    <row r="14" spans="1:23" x14ac:dyDescent="0.25">
      <c r="A14" s="11" t="s">
        <v>857</v>
      </c>
      <c r="B14" s="16"/>
      <c r="C14" s="19">
        <v>128450</v>
      </c>
      <c r="D14" s="17">
        <f t="shared" si="0"/>
        <v>18397.106251973477</v>
      </c>
      <c r="E14" s="448">
        <f t="shared" si="1"/>
        <v>42.791398263097854</v>
      </c>
      <c r="F14" s="18"/>
      <c r="G14" s="19">
        <v>137380</v>
      </c>
      <c r="H14" s="17">
        <f t="shared" si="2"/>
        <v>19676.095421534574</v>
      </c>
      <c r="I14" s="448">
        <f t="shared" si="3"/>
        <v>45.766308239660439</v>
      </c>
      <c r="J14" s="18"/>
      <c r="K14" s="21">
        <v>3167</v>
      </c>
      <c r="O14" t="s">
        <v>888</v>
      </c>
      <c r="P14" t="s">
        <v>625</v>
      </c>
      <c r="Q14" s="457">
        <v>86668</v>
      </c>
      <c r="R14" s="457">
        <v>94706</v>
      </c>
      <c r="S14" s="457">
        <v>94854</v>
      </c>
      <c r="T14" s="455">
        <f>R14/Q14</f>
        <v>1.0927447270041999</v>
      </c>
      <c r="U14" s="455">
        <f>S14/Q14</f>
        <v>1.0944523930401071</v>
      </c>
      <c r="V14" s="455"/>
      <c r="W14" s="455"/>
    </row>
    <row r="15" spans="1:23" x14ac:dyDescent="0.25">
      <c r="A15" s="11" t="s">
        <v>514</v>
      </c>
      <c r="B15" s="16"/>
      <c r="C15" s="19">
        <v>129487.84757606639</v>
      </c>
      <c r="D15" s="17">
        <f t="shared" si="0"/>
        <v>18320.147467881456</v>
      </c>
      <c r="E15" s="448">
        <f t="shared" si="1"/>
        <v>42.612393264440954</v>
      </c>
      <c r="F15" s="18"/>
      <c r="G15" s="19">
        <v>138490</v>
      </c>
      <c r="H15" s="17">
        <f t="shared" si="2"/>
        <v>19593.786369307545</v>
      </c>
      <c r="I15" s="448">
        <f t="shared" si="3"/>
        <v>45.574858596098856</v>
      </c>
      <c r="J15" s="18"/>
      <c r="K15" s="21">
        <v>3206</v>
      </c>
      <c r="O15" t="s">
        <v>834</v>
      </c>
      <c r="P15" t="s">
        <v>625</v>
      </c>
      <c r="Q15" s="457"/>
      <c r="R15" s="457"/>
      <c r="S15" s="457"/>
      <c r="T15" s="455">
        <f>$I$19/$E$19</f>
        <v>1.1388646288209607</v>
      </c>
      <c r="U15" s="455">
        <f>$I$19/$E$19</f>
        <v>1.1388646288209607</v>
      </c>
      <c r="V15" s="455"/>
      <c r="W15" s="455"/>
    </row>
    <row r="16" spans="1:23" x14ac:dyDescent="0.25">
      <c r="A16" s="11" t="s">
        <v>858</v>
      </c>
      <c r="B16" s="16"/>
      <c r="C16" s="19">
        <v>116920</v>
      </c>
      <c r="D16" s="17">
        <f t="shared" si="0"/>
        <v>19320.124881602911</v>
      </c>
      <c r="E16" s="448">
        <f t="shared" si="1"/>
        <v>44.938326005089621</v>
      </c>
      <c r="F16" s="18"/>
      <c r="G16" s="19">
        <v>125080</v>
      </c>
      <c r="H16" s="17">
        <f t="shared" si="2"/>
        <v>20668.501712204008</v>
      </c>
      <c r="I16" s="448">
        <f t="shared" si="3"/>
        <v>48.074630659567319</v>
      </c>
      <c r="J16" s="18"/>
      <c r="K16" s="22">
        <v>2745</v>
      </c>
      <c r="O16" t="s">
        <v>893</v>
      </c>
      <c r="P16" t="s">
        <v>625</v>
      </c>
      <c r="Q16" s="457">
        <v>116090</v>
      </c>
      <c r="R16" s="457">
        <f>5194000/42</f>
        <v>123666.66666666667</v>
      </c>
      <c r="S16" s="457">
        <f>5218000/42</f>
        <v>124238.09523809524</v>
      </c>
      <c r="T16" s="455">
        <f>R16/Q16</f>
        <v>1.0652654549631033</v>
      </c>
      <c r="U16" s="455">
        <f>S16/Q16</f>
        <v>1.0701877443198831</v>
      </c>
      <c r="V16" s="455"/>
      <c r="W16" s="455"/>
    </row>
    <row r="17" spans="1:23" x14ac:dyDescent="0.25">
      <c r="A17" s="11" t="s">
        <v>859</v>
      </c>
      <c r="B17" s="16"/>
      <c r="C17" s="19">
        <v>111520</v>
      </c>
      <c r="D17" s="17">
        <f t="shared" si="0"/>
        <v>19081.236061863448</v>
      </c>
      <c r="E17" s="448">
        <f t="shared" si="1"/>
        <v>44.382674127774621</v>
      </c>
      <c r="F17" s="18"/>
      <c r="G17" s="19">
        <v>119740</v>
      </c>
      <c r="H17" s="17">
        <f t="shared" si="2"/>
        <v>20487.69015465862</v>
      </c>
      <c r="I17" s="448">
        <f t="shared" si="3"/>
        <v>47.654065638986118</v>
      </c>
      <c r="J17" s="18"/>
      <c r="K17" s="21">
        <v>2651</v>
      </c>
      <c r="O17" t="s">
        <v>835</v>
      </c>
      <c r="P17" t="s">
        <v>624</v>
      </c>
      <c r="Q17" s="457">
        <v>16811000</v>
      </c>
      <c r="R17" s="457">
        <v>17200000</v>
      </c>
      <c r="S17" s="457">
        <v>17200000</v>
      </c>
      <c r="T17" s="455">
        <f>R17/Q17</f>
        <v>1.0231396109690083</v>
      </c>
      <c r="U17" s="455">
        <f>S17/Q17</f>
        <v>1.0231396109690083</v>
      </c>
      <c r="V17" s="455"/>
      <c r="W17" s="455"/>
    </row>
    <row r="18" spans="1:23" x14ac:dyDescent="0.25">
      <c r="A18" s="11" t="s">
        <v>860</v>
      </c>
      <c r="B18" s="16"/>
      <c r="C18" s="19">
        <v>140352.52220119376</v>
      </c>
      <c r="D18" s="17">
        <f t="shared" si="0"/>
        <v>16967.617416108602</v>
      </c>
      <c r="E18" s="448">
        <f t="shared" si="1"/>
        <v>39.466428278669781</v>
      </c>
      <c r="F18" s="18"/>
      <c r="G18" s="19">
        <v>150110</v>
      </c>
      <c r="H18" s="17">
        <f t="shared" si="2"/>
        <v>18147.226785714287</v>
      </c>
      <c r="I18" s="448">
        <f t="shared" si="3"/>
        <v>42.210182303804245</v>
      </c>
      <c r="J18" s="18"/>
      <c r="K18" s="21">
        <v>3752</v>
      </c>
      <c r="O18" t="s">
        <v>836</v>
      </c>
      <c r="P18" t="s">
        <v>626</v>
      </c>
      <c r="Q18" s="458">
        <v>2.8300000000000001E-3</v>
      </c>
      <c r="R18" s="457"/>
      <c r="S18" s="457"/>
      <c r="T18" s="455">
        <v>1</v>
      </c>
      <c r="U18" s="455">
        <v>1</v>
      </c>
      <c r="V18" s="455"/>
      <c r="W18" s="455"/>
    </row>
    <row r="19" spans="1:23" x14ac:dyDescent="0.25">
      <c r="A19" s="11" t="s">
        <v>308</v>
      </c>
      <c r="B19" s="23"/>
      <c r="C19" s="19">
        <v>57250</v>
      </c>
      <c r="D19" s="17">
        <f t="shared" si="0"/>
        <v>8638.7317032601459</v>
      </c>
      <c r="E19" s="448">
        <f t="shared" si="1"/>
        <v>20.093562745097504</v>
      </c>
      <c r="F19" s="18"/>
      <c r="G19" s="19">
        <v>65200</v>
      </c>
      <c r="H19" s="17">
        <f t="shared" si="2"/>
        <v>9838.345974717231</v>
      </c>
      <c r="I19" s="448">
        <f t="shared" si="3"/>
        <v>22.883847877386152</v>
      </c>
      <c r="J19" s="18"/>
      <c r="K19" s="22">
        <v>3006</v>
      </c>
      <c r="Q19" s="455"/>
      <c r="R19" s="455"/>
      <c r="S19" s="455"/>
      <c r="T19" s="455"/>
      <c r="U19" s="455"/>
      <c r="V19" s="455"/>
      <c r="W19" s="455"/>
    </row>
    <row r="20" spans="1:23" x14ac:dyDescent="0.25">
      <c r="A20" s="11" t="s">
        <v>309</v>
      </c>
      <c r="B20" s="23"/>
      <c r="C20" s="19">
        <v>76330</v>
      </c>
      <c r="D20" s="17">
        <f t="shared" si="0"/>
        <v>11587.19032797858</v>
      </c>
      <c r="E20" s="448">
        <f t="shared" si="1"/>
        <v>26.95163409308779</v>
      </c>
      <c r="F20" s="18"/>
      <c r="G20" s="19">
        <v>84530</v>
      </c>
      <c r="H20" s="17">
        <f t="shared" si="2"/>
        <v>12831.982161981257</v>
      </c>
      <c r="I20" s="448">
        <f t="shared" si="3"/>
        <v>29.847001570663057</v>
      </c>
      <c r="J20" s="18"/>
      <c r="K20" s="22">
        <v>2988</v>
      </c>
      <c r="Q20" s="455"/>
      <c r="R20" s="455"/>
      <c r="S20" s="455"/>
      <c r="T20" s="455"/>
      <c r="U20" s="455"/>
      <c r="V20" s="455"/>
      <c r="W20" s="455"/>
    </row>
    <row r="21" spans="1:23" x14ac:dyDescent="0.25">
      <c r="A21" s="11" t="s">
        <v>941</v>
      </c>
      <c r="B21" s="23"/>
      <c r="C21" s="19">
        <v>99837</v>
      </c>
      <c r="D21" s="17">
        <f t="shared" si="0"/>
        <v>14774.898802610114</v>
      </c>
      <c r="E21" s="448">
        <f t="shared" si="1"/>
        <v>34.366197069261162</v>
      </c>
      <c r="F21" s="18"/>
      <c r="G21" s="19">
        <v>108458</v>
      </c>
      <c r="H21" s="17">
        <f t="shared" si="2"/>
        <v>16050.722420880913</v>
      </c>
      <c r="I21" s="448">
        <f t="shared" si="3"/>
        <v>37.33374402013208</v>
      </c>
      <c r="J21" s="18"/>
      <c r="K21" s="22">
        <v>3065</v>
      </c>
      <c r="Q21" s="455"/>
      <c r="R21" s="455"/>
      <c r="S21" s="455"/>
      <c r="T21" s="455"/>
      <c r="U21" s="455"/>
      <c r="V21" s="455"/>
      <c r="W21" s="455"/>
    </row>
    <row r="22" spans="1:23" x14ac:dyDescent="0.25">
      <c r="A22" s="11" t="s">
        <v>942</v>
      </c>
      <c r="B22" s="23"/>
      <c r="C22" s="19">
        <v>83127</v>
      </c>
      <c r="D22" s="17">
        <f t="shared" si="0"/>
        <v>12721.179463562754</v>
      </c>
      <c r="E22" s="448">
        <f t="shared" si="1"/>
        <v>29.589276125600549</v>
      </c>
      <c r="F22" s="18"/>
      <c r="G22" s="19">
        <v>89511</v>
      </c>
      <c r="H22" s="17">
        <f t="shared" si="2"/>
        <v>13698.142540485829</v>
      </c>
      <c r="I22" s="448">
        <f t="shared" si="3"/>
        <v>31.861677857719279</v>
      </c>
      <c r="J22" s="18"/>
      <c r="K22" s="22">
        <v>2964</v>
      </c>
      <c r="Q22" s="455"/>
      <c r="R22" s="455"/>
      <c r="S22" s="455"/>
      <c r="T22" s="455"/>
      <c r="U22" s="455"/>
      <c r="V22" s="455"/>
      <c r="W22" s="455"/>
    </row>
    <row r="23" spans="1:23" x14ac:dyDescent="0.25">
      <c r="A23" s="11" t="s">
        <v>861</v>
      </c>
      <c r="B23" s="23"/>
      <c r="C23" s="19">
        <v>116090</v>
      </c>
      <c r="D23" s="17">
        <f t="shared" si="0"/>
        <v>18679.412238382403</v>
      </c>
      <c r="E23" s="448">
        <f t="shared" si="1"/>
        <v>43.448037830811678</v>
      </c>
      <c r="F23" s="18"/>
      <c r="G23" s="19">
        <v>124340</v>
      </c>
      <c r="H23" s="17">
        <f t="shared" si="2"/>
        <v>20006.874991131608</v>
      </c>
      <c r="I23" s="448">
        <f t="shared" si="3"/>
        <v>46.535696648144757</v>
      </c>
      <c r="J23" s="18"/>
      <c r="K23" s="22">
        <v>2819</v>
      </c>
      <c r="Q23" s="455"/>
      <c r="R23" s="455"/>
      <c r="S23" s="455"/>
      <c r="T23" s="455"/>
      <c r="U23" s="455"/>
      <c r="V23" s="455"/>
      <c r="W23" s="455"/>
    </row>
    <row r="24" spans="1:23" x14ac:dyDescent="0.25">
      <c r="A24" s="11" t="s">
        <v>862</v>
      </c>
      <c r="B24" s="23"/>
      <c r="C24" s="19">
        <v>84950</v>
      </c>
      <c r="D24" s="17">
        <f t="shared" si="0"/>
        <v>20037.686167446696</v>
      </c>
      <c r="E24" s="448">
        <f t="shared" si="1"/>
        <v>46.607362990589891</v>
      </c>
      <c r="F24" s="18"/>
      <c r="G24" s="19">
        <v>91410</v>
      </c>
      <c r="H24" s="17">
        <f t="shared" si="2"/>
        <v>21561.446645865835</v>
      </c>
      <c r="I24" s="448">
        <f t="shared" si="3"/>
        <v>50.151607427543532</v>
      </c>
      <c r="J24" s="18"/>
      <c r="K24" s="22">
        <v>1923</v>
      </c>
      <c r="Q24" s="455"/>
      <c r="R24" s="455"/>
      <c r="S24" s="455"/>
      <c r="T24" s="455"/>
      <c r="U24" s="455"/>
      <c r="V24" s="455"/>
      <c r="W24" s="455"/>
    </row>
    <row r="25" spans="1:23" x14ac:dyDescent="0.25">
      <c r="A25" s="11" t="s">
        <v>863</v>
      </c>
      <c r="B25" s="23"/>
      <c r="C25" s="19">
        <v>74720</v>
      </c>
      <c r="D25" s="17">
        <f t="shared" si="0"/>
        <v>20908.23244910549</v>
      </c>
      <c r="E25" s="448">
        <f t="shared" si="1"/>
        <v>48.632240823804793</v>
      </c>
      <c r="F25" s="18"/>
      <c r="G25" s="19">
        <v>84820</v>
      </c>
      <c r="H25" s="17">
        <f t="shared" si="2"/>
        <v>23734.425539790249</v>
      </c>
      <c r="I25" s="448">
        <f t="shared" si="3"/>
        <v>55.205924339870478</v>
      </c>
      <c r="J25" s="18"/>
      <c r="K25" s="22">
        <v>1621</v>
      </c>
      <c r="Q25" s="455"/>
      <c r="R25" s="455"/>
      <c r="S25" s="455"/>
      <c r="T25" s="455"/>
      <c r="U25" s="455"/>
      <c r="V25" s="455"/>
      <c r="W25" s="455"/>
    </row>
    <row r="26" spans="1:23" x14ac:dyDescent="0.25">
      <c r="A26" s="11" t="s">
        <v>864</v>
      </c>
      <c r="B26" s="23"/>
      <c r="C26" s="19">
        <v>68930</v>
      </c>
      <c r="D26" s="17">
        <f t="shared" si="0"/>
        <v>12416.981215250198</v>
      </c>
      <c r="E26" s="448">
        <f t="shared" si="1"/>
        <v>28.881715479040551</v>
      </c>
      <c r="F26" s="18"/>
      <c r="G26" s="19">
        <v>75610</v>
      </c>
      <c r="H26" s="17">
        <f t="shared" si="2"/>
        <v>13620.3097299444</v>
      </c>
      <c r="I26" s="448">
        <f t="shared" si="3"/>
        <v>31.680639886410216</v>
      </c>
      <c r="J26" s="18"/>
      <c r="K26" s="22">
        <v>2518</v>
      </c>
      <c r="Q26" s="455"/>
      <c r="R26" s="455"/>
      <c r="S26" s="455"/>
      <c r="T26" s="455"/>
      <c r="U26" s="455"/>
      <c r="V26" s="455"/>
      <c r="W26" s="455"/>
    </row>
    <row r="27" spans="1:23" x14ac:dyDescent="0.25">
      <c r="A27" s="11" t="s">
        <v>865</v>
      </c>
      <c r="B27" s="23"/>
      <c r="C27" s="19">
        <v>72200</v>
      </c>
      <c r="D27" s="17">
        <f t="shared" si="0"/>
        <v>10061.197542242702</v>
      </c>
      <c r="E27" s="448">
        <f t="shared" si="1"/>
        <v>23.402197342183918</v>
      </c>
      <c r="F27" s="18"/>
      <c r="G27" s="19">
        <v>79196.89540113158</v>
      </c>
      <c r="H27" s="17">
        <f t="shared" si="2"/>
        <v>11036.227276497471</v>
      </c>
      <c r="I27" s="448">
        <f t="shared" si="3"/>
        <v>25.670102147722705</v>
      </c>
      <c r="J27" s="18"/>
      <c r="K27" s="22">
        <v>3255</v>
      </c>
      <c r="Q27" s="455"/>
      <c r="R27" s="455"/>
      <c r="S27" s="455"/>
      <c r="T27" s="455"/>
      <c r="U27" s="455"/>
      <c r="V27" s="455"/>
      <c r="W27" s="455"/>
    </row>
    <row r="28" spans="1:23" x14ac:dyDescent="0.25">
      <c r="A28" s="11" t="s">
        <v>866</v>
      </c>
      <c r="B28" s="23"/>
      <c r="C28" s="19">
        <v>119550</v>
      </c>
      <c r="D28" s="17">
        <f t="shared" si="0"/>
        <v>16134.09238321928</v>
      </c>
      <c r="E28" s="448">
        <f t="shared" si="1"/>
        <v>37.527661324991804</v>
      </c>
      <c r="F28" s="18"/>
      <c r="G28" s="19">
        <v>127960</v>
      </c>
      <c r="H28" s="17">
        <f t="shared" si="2"/>
        <v>17269.079559654863</v>
      </c>
      <c r="I28" s="448">
        <f t="shared" si="3"/>
        <v>40.167624785829787</v>
      </c>
      <c r="J28" s="18"/>
      <c r="K28" s="22">
        <v>3361</v>
      </c>
      <c r="Q28" s="455"/>
      <c r="R28" s="455"/>
      <c r="S28" s="455"/>
      <c r="T28" s="455"/>
      <c r="U28" s="455"/>
      <c r="V28" s="455"/>
      <c r="W28" s="455"/>
    </row>
    <row r="29" spans="1:23" x14ac:dyDescent="0.25">
      <c r="A29" s="11" t="s">
        <v>867</v>
      </c>
      <c r="B29" s="23"/>
      <c r="C29" s="19">
        <v>123670</v>
      </c>
      <c r="D29" s="17">
        <f t="shared" si="0"/>
        <v>18593.130692741131</v>
      </c>
      <c r="E29" s="448">
        <f t="shared" si="1"/>
        <v>43.247348226059557</v>
      </c>
      <c r="F29" s="18"/>
      <c r="G29" s="19">
        <v>130030</v>
      </c>
      <c r="H29" s="17">
        <f t="shared" si="2"/>
        <v>19549.323069274113</v>
      </c>
      <c r="I29" s="448">
        <f t="shared" si="3"/>
        <v>45.471437614898726</v>
      </c>
      <c r="J29" s="18"/>
      <c r="K29" s="22">
        <v>3017</v>
      </c>
      <c r="Q29" s="455"/>
      <c r="R29" s="455"/>
      <c r="S29" s="455"/>
      <c r="T29" s="455"/>
      <c r="U29" s="455"/>
      <c r="V29" s="455"/>
      <c r="W29" s="455"/>
    </row>
    <row r="30" spans="1:23" x14ac:dyDescent="0.25">
      <c r="A30" s="11" t="s">
        <v>943</v>
      </c>
      <c r="B30" s="23"/>
      <c r="C30" s="19">
        <v>117059</v>
      </c>
      <c r="D30" s="17">
        <f t="shared" si="0"/>
        <v>18729.027093474426</v>
      </c>
      <c r="E30" s="448">
        <f t="shared" si="1"/>
        <v>43.563441253226593</v>
      </c>
      <c r="F30" s="18"/>
      <c r="G30" s="19">
        <v>125294</v>
      </c>
      <c r="H30" s="17">
        <f t="shared" si="2"/>
        <v>20046.598045855379</v>
      </c>
      <c r="I30" s="448">
        <f t="shared" si="3"/>
        <v>46.628091888549989</v>
      </c>
      <c r="J30" s="18"/>
      <c r="K30" s="22">
        <v>2835</v>
      </c>
      <c r="Q30" s="455"/>
      <c r="R30" s="455"/>
      <c r="S30" s="455"/>
      <c r="T30" s="455"/>
      <c r="U30" s="455"/>
      <c r="V30" s="455"/>
      <c r="W30" s="455"/>
    </row>
    <row r="31" spans="1:23" x14ac:dyDescent="0.25">
      <c r="A31" s="11" t="s">
        <v>944</v>
      </c>
      <c r="B31" s="23"/>
      <c r="C31" s="19">
        <v>122887</v>
      </c>
      <c r="D31" s="17">
        <f t="shared" si="0"/>
        <v>18907.840681818183</v>
      </c>
      <c r="E31" s="448">
        <f t="shared" si="1"/>
        <v>43.979359026862895</v>
      </c>
      <c r="F31" s="18"/>
      <c r="G31" s="19">
        <v>130817</v>
      </c>
      <c r="H31" s="17">
        <f t="shared" si="2"/>
        <v>20127.979318181817</v>
      </c>
      <c r="I31" s="448">
        <f t="shared" si="3"/>
        <v>46.817383529723436</v>
      </c>
      <c r="J31" s="18"/>
      <c r="K31" s="22">
        <v>2948</v>
      </c>
      <c r="Q31" s="455"/>
      <c r="R31" s="455"/>
      <c r="S31" s="455"/>
      <c r="T31" s="455"/>
      <c r="U31" s="455"/>
      <c r="V31" s="455"/>
      <c r="W31" s="455"/>
    </row>
    <row r="32" spans="1:23" x14ac:dyDescent="0.25">
      <c r="A32" s="11" t="s">
        <v>945</v>
      </c>
      <c r="B32" s="23"/>
      <c r="C32" s="19">
        <v>115983</v>
      </c>
      <c r="D32" s="17">
        <f t="shared" si="0"/>
        <v>18589.656879858656</v>
      </c>
      <c r="E32" s="448">
        <f t="shared" si="1"/>
        <v>43.23926818844334</v>
      </c>
      <c r="F32" s="18"/>
      <c r="G32" s="19">
        <v>124230</v>
      </c>
      <c r="H32" s="17">
        <f t="shared" si="2"/>
        <v>19911.479045936394</v>
      </c>
      <c r="I32" s="448">
        <f t="shared" si="3"/>
        <v>46.313807084230582</v>
      </c>
      <c r="J32" s="18"/>
      <c r="K32" s="22">
        <v>2830</v>
      </c>
      <c r="Q32" s="455"/>
      <c r="R32" s="455"/>
      <c r="S32" s="455"/>
      <c r="T32" s="455"/>
      <c r="U32" s="455"/>
      <c r="V32" s="455"/>
      <c r="W32" s="455"/>
    </row>
    <row r="33" spans="1:23" x14ac:dyDescent="0.25">
      <c r="A33" s="11" t="s">
        <v>868</v>
      </c>
      <c r="B33" s="23"/>
      <c r="C33" s="19">
        <v>30500</v>
      </c>
      <c r="D33" s="17">
        <f t="shared" si="0"/>
        <v>51621.249999999993</v>
      </c>
      <c r="E33" s="451">
        <f t="shared" si="1"/>
        <v>120.070267428715</v>
      </c>
      <c r="F33" s="18"/>
      <c r="G33" s="19">
        <v>36020</v>
      </c>
      <c r="H33" s="17">
        <f t="shared" si="2"/>
        <v>60963.849999999991</v>
      </c>
      <c r="I33" s="451">
        <f t="shared" si="3"/>
        <v>141.80101746827262</v>
      </c>
      <c r="J33" s="18"/>
      <c r="K33" s="22">
        <v>268</v>
      </c>
      <c r="Q33" s="455"/>
      <c r="R33" s="455"/>
      <c r="S33" s="455"/>
      <c r="T33" s="455"/>
      <c r="U33" s="455"/>
      <c r="V33" s="455"/>
      <c r="W33" s="455"/>
    </row>
    <row r="34" spans="1:23" x14ac:dyDescent="0.25">
      <c r="A34" s="11" t="s">
        <v>869</v>
      </c>
      <c r="B34" s="23"/>
      <c r="C34" s="19">
        <v>93540</v>
      </c>
      <c r="D34" s="17">
        <f t="shared" si="0"/>
        <v>15093.848665955175</v>
      </c>
      <c r="E34" s="448">
        <f t="shared" si="1"/>
        <v>35.108069755183983</v>
      </c>
      <c r="F34" s="18"/>
      <c r="G34" s="19">
        <v>101130</v>
      </c>
      <c r="H34" s="17">
        <f t="shared" si="2"/>
        <v>16318.59007470651</v>
      </c>
      <c r="I34" s="448">
        <f t="shared" si="3"/>
        <v>37.95680023884708</v>
      </c>
      <c r="J34" s="18"/>
      <c r="K34" s="22">
        <v>2811</v>
      </c>
      <c r="Q34" s="455"/>
      <c r="R34" s="455"/>
      <c r="S34" s="455"/>
      <c r="T34" s="455"/>
      <c r="U34" s="455"/>
      <c r="V34" s="455"/>
      <c r="W34" s="455"/>
    </row>
    <row r="35" spans="1:23" x14ac:dyDescent="0.25">
      <c r="A35" s="11" t="s">
        <v>870</v>
      </c>
      <c r="B35" s="16"/>
      <c r="C35" s="19">
        <v>96720</v>
      </c>
      <c r="D35" s="17">
        <f t="shared" si="0"/>
        <v>15612.535516014234</v>
      </c>
      <c r="E35" s="448">
        <f t="shared" si="1"/>
        <v>36.314527731276172</v>
      </c>
      <c r="F35" s="18"/>
      <c r="G35" s="19">
        <v>104530</v>
      </c>
      <c r="H35" s="17">
        <f t="shared" si="2"/>
        <v>16873.225160142349</v>
      </c>
      <c r="I35" s="448">
        <f t="shared" si="3"/>
        <v>39.246873281123854</v>
      </c>
      <c r="J35" s="18"/>
      <c r="K35" s="21">
        <v>2810</v>
      </c>
      <c r="Q35" s="455"/>
      <c r="R35" s="455"/>
      <c r="S35" s="455"/>
      <c r="T35" s="455"/>
      <c r="U35" s="455"/>
      <c r="V35" s="455"/>
      <c r="W35" s="455"/>
    </row>
    <row r="36" spans="1:23" x14ac:dyDescent="0.25">
      <c r="A36" s="11" t="s">
        <v>871</v>
      </c>
      <c r="B36" s="16"/>
      <c r="C36" s="19">
        <v>100480</v>
      </c>
      <c r="D36" s="17">
        <f t="shared" si="0"/>
        <v>15645.974322004806</v>
      </c>
      <c r="E36" s="448">
        <f t="shared" si="1"/>
        <v>36.392305901657274</v>
      </c>
      <c r="F36" s="18"/>
      <c r="G36" s="19">
        <v>108570</v>
      </c>
      <c r="H36" s="17">
        <f t="shared" si="2"/>
        <v>16905.687023686918</v>
      </c>
      <c r="I36" s="448">
        <f t="shared" si="3"/>
        <v>39.322379097760042</v>
      </c>
      <c r="J36" s="18"/>
      <c r="K36" s="21">
        <v>2913</v>
      </c>
      <c r="Q36" s="455"/>
      <c r="R36" s="455"/>
      <c r="S36" s="455"/>
      <c r="T36" s="455"/>
      <c r="U36" s="455"/>
      <c r="V36" s="455"/>
      <c r="W36" s="455"/>
    </row>
    <row r="37" spans="1:23" x14ac:dyDescent="0.25">
      <c r="A37" s="11" t="s">
        <v>872</v>
      </c>
      <c r="B37" s="16"/>
      <c r="C37" s="19">
        <v>94970</v>
      </c>
      <c r="D37" s="17">
        <f t="shared" si="0"/>
        <v>19465.631405332126</v>
      </c>
      <c r="E37" s="448">
        <f t="shared" si="1"/>
        <v>45.27677203684572</v>
      </c>
      <c r="F37" s="18"/>
      <c r="G37" s="19">
        <v>103220</v>
      </c>
      <c r="H37" s="17">
        <f t="shared" si="2"/>
        <v>21156.601807501127</v>
      </c>
      <c r="I37" s="448">
        <f t="shared" si="3"/>
        <v>49.209944294442614</v>
      </c>
      <c r="J37" s="18"/>
      <c r="K37" s="21">
        <v>2213</v>
      </c>
      <c r="Q37" s="455"/>
      <c r="R37" s="455"/>
      <c r="S37" s="455"/>
      <c r="T37" s="455"/>
      <c r="U37" s="455"/>
      <c r="V37" s="455"/>
      <c r="W37" s="455"/>
    </row>
    <row r="38" spans="1:23" x14ac:dyDescent="0.25">
      <c r="A38" s="11" t="s">
        <v>873</v>
      </c>
      <c r="B38" s="16"/>
      <c r="C38" s="19">
        <v>90060</v>
      </c>
      <c r="D38" s="17">
        <f t="shared" si="0"/>
        <v>19287.212181303115</v>
      </c>
      <c r="E38" s="448">
        <f t="shared" si="1"/>
        <v>44.861771548798892</v>
      </c>
      <c r="F38" s="18"/>
      <c r="G38" s="19">
        <v>98560</v>
      </c>
      <c r="H38" s="17">
        <f t="shared" si="2"/>
        <v>21107.568649669498</v>
      </c>
      <c r="I38" s="448">
        <f t="shared" si="3"/>
        <v>49.095893891290459</v>
      </c>
      <c r="J38" s="18"/>
      <c r="K38" s="21">
        <v>2118</v>
      </c>
      <c r="Q38" s="455"/>
      <c r="R38" s="455"/>
      <c r="S38" s="455"/>
      <c r="T38" s="455"/>
      <c r="U38" s="455"/>
      <c r="V38" s="455"/>
      <c r="W38" s="455"/>
    </row>
    <row r="39" spans="1:23" x14ac:dyDescent="0.25">
      <c r="A39" s="11" t="s">
        <v>874</v>
      </c>
      <c r="B39" s="16"/>
      <c r="C39" s="19">
        <v>95720</v>
      </c>
      <c r="D39" s="17">
        <f t="shared" si="0"/>
        <v>19271.031868619615</v>
      </c>
      <c r="E39" s="448">
        <f t="shared" si="1"/>
        <v>44.824136379735997</v>
      </c>
      <c r="F39" s="18"/>
      <c r="G39" s="19">
        <v>103010</v>
      </c>
      <c r="H39" s="17">
        <f t="shared" si="2"/>
        <v>20738.706569019083</v>
      </c>
      <c r="I39" s="448">
        <f t="shared" si="3"/>
        <v>48.237926122822877</v>
      </c>
      <c r="J39" s="18"/>
      <c r="K39" s="21">
        <v>2253</v>
      </c>
      <c r="Q39" s="455"/>
      <c r="R39" s="455"/>
      <c r="S39" s="455"/>
      <c r="T39" s="455"/>
      <c r="U39" s="455"/>
      <c r="V39" s="455"/>
      <c r="W39" s="455"/>
    </row>
    <row r="40" spans="1:23" x14ac:dyDescent="0.25">
      <c r="A40" s="11" t="s">
        <v>310</v>
      </c>
      <c r="B40" s="16"/>
      <c r="C40" s="19">
        <v>84250</v>
      </c>
      <c r="D40" s="17">
        <f t="shared" si="0"/>
        <v>19903.623697916668</v>
      </c>
      <c r="E40" s="448">
        <f t="shared" si="1"/>
        <v>46.295535660398848</v>
      </c>
      <c r="F40" s="18"/>
      <c r="G40" s="19">
        <v>91420</v>
      </c>
      <c r="H40" s="17">
        <f t="shared" si="2"/>
        <v>21597.498854166668</v>
      </c>
      <c r="I40" s="448">
        <f t="shared" si="3"/>
        <v>50.235464333218552</v>
      </c>
      <c r="J40" s="18"/>
      <c r="K40" s="21">
        <v>1920</v>
      </c>
      <c r="Q40" s="455"/>
      <c r="R40" s="455"/>
      <c r="S40" s="455"/>
      <c r="T40" s="455"/>
      <c r="U40" s="455"/>
      <c r="V40" s="455"/>
      <c r="W40" s="455"/>
    </row>
    <row r="41" spans="1:23" x14ac:dyDescent="0.25">
      <c r="A41" s="7" t="s">
        <v>311</v>
      </c>
      <c r="B41" s="8"/>
      <c r="C41" s="9" t="s">
        <v>312</v>
      </c>
      <c r="D41" s="9" t="s">
        <v>313</v>
      </c>
      <c r="E41" s="9" t="s">
        <v>304</v>
      </c>
      <c r="F41" s="9"/>
      <c r="G41" s="9" t="s">
        <v>312</v>
      </c>
      <c r="H41" s="9" t="s">
        <v>313</v>
      </c>
      <c r="I41" s="9" t="s">
        <v>304</v>
      </c>
      <c r="J41" s="9"/>
      <c r="K41" s="10"/>
      <c r="Q41" s="455"/>
      <c r="R41" s="455"/>
      <c r="S41" s="455"/>
      <c r="T41" s="455"/>
      <c r="U41" s="455"/>
      <c r="V41" s="455"/>
      <c r="W41" s="455"/>
    </row>
    <row r="42" spans="1:23" x14ac:dyDescent="0.25">
      <c r="A42" s="15" t="s">
        <v>875</v>
      </c>
      <c r="B42" s="16"/>
      <c r="C42" s="24">
        <v>19546300</v>
      </c>
      <c r="D42" s="17">
        <f t="shared" ref="D42:D50" si="4">C42/2000</f>
        <v>9773.15</v>
      </c>
      <c r="E42" s="448">
        <f t="shared" ref="E42:E50" si="5">D42*1.05506/1000*2.2046</f>
        <v>22.7322030001394</v>
      </c>
      <c r="F42" s="18"/>
      <c r="G42" s="19">
        <v>20608570</v>
      </c>
      <c r="H42" s="17">
        <f>G42/2000</f>
        <v>10304.285</v>
      </c>
      <c r="I42" s="448">
        <f t="shared" ref="I42:I50" si="6">H42*1.05506/1000*2.2046</f>
        <v>23.967615189707661</v>
      </c>
      <c r="J42" s="18"/>
      <c r="K42" s="22"/>
      <c r="Q42" s="455"/>
      <c r="R42" s="455"/>
      <c r="S42" s="455"/>
      <c r="T42" s="455"/>
      <c r="U42" s="455"/>
      <c r="V42" s="455"/>
      <c r="W42" s="455"/>
    </row>
    <row r="43" spans="1:23" x14ac:dyDescent="0.25">
      <c r="A43" s="15" t="s">
        <v>876</v>
      </c>
      <c r="B43" s="16"/>
      <c r="C43" s="24">
        <v>22460600</v>
      </c>
      <c r="D43" s="17">
        <f t="shared" si="4"/>
        <v>11230.3</v>
      </c>
      <c r="E43" s="448">
        <f t="shared" si="5"/>
        <v>26.121512445062798</v>
      </c>
      <c r="F43" s="18"/>
      <c r="G43" s="19">
        <v>23445900</v>
      </c>
      <c r="H43" s="17">
        <f t="shared" ref="H43:H50" si="7">G43/2000</f>
        <v>11722.95</v>
      </c>
      <c r="I43" s="448">
        <f t="shared" si="6"/>
        <v>27.267409091284208</v>
      </c>
      <c r="J43" s="18"/>
      <c r="K43" s="22"/>
      <c r="Q43" s="455"/>
      <c r="R43" s="455"/>
      <c r="S43" s="455"/>
      <c r="T43" s="455"/>
      <c r="U43" s="455"/>
      <c r="V43" s="455"/>
      <c r="W43" s="455"/>
    </row>
    <row r="44" spans="1:23" x14ac:dyDescent="0.25">
      <c r="A44" s="11" t="s">
        <v>877</v>
      </c>
      <c r="B44" s="12"/>
      <c r="C44" s="24">
        <v>24600497.144575384</v>
      </c>
      <c r="D44" s="17">
        <f t="shared" si="4"/>
        <v>12300.248572287692</v>
      </c>
      <c r="E44" s="448">
        <f t="shared" si="5"/>
        <v>28.610197070281195</v>
      </c>
      <c r="F44" s="18"/>
      <c r="G44" s="19">
        <v>25679670</v>
      </c>
      <c r="H44" s="17">
        <f t="shared" si="7"/>
        <v>12839.834999999999</v>
      </c>
      <c r="I44" s="448">
        <f t="shared" si="6"/>
        <v>29.865267156269461</v>
      </c>
      <c r="J44" s="18"/>
      <c r="K44" s="22"/>
    </row>
    <row r="45" spans="1:23" x14ac:dyDescent="0.25">
      <c r="A45" s="15" t="s">
        <v>878</v>
      </c>
      <c r="B45" s="16"/>
      <c r="C45" s="24">
        <v>16811000</v>
      </c>
      <c r="D45" s="17">
        <f t="shared" si="4"/>
        <v>8405.5</v>
      </c>
      <c r="E45" s="448">
        <f t="shared" si="5"/>
        <v>19.551069237418005</v>
      </c>
      <c r="F45" s="18"/>
      <c r="G45" s="19">
        <v>17703170</v>
      </c>
      <c r="H45" s="17">
        <f t="shared" si="7"/>
        <v>8851.5849999999991</v>
      </c>
      <c r="I45" s="448">
        <f t="shared" si="6"/>
        <v>20.588656379262464</v>
      </c>
      <c r="J45" s="18"/>
      <c r="K45" s="22"/>
    </row>
    <row r="46" spans="1:23" x14ac:dyDescent="0.25">
      <c r="A46" s="15" t="s">
        <v>879</v>
      </c>
      <c r="B46" s="16"/>
      <c r="C46" s="24">
        <v>14797554.763920812</v>
      </c>
      <c r="D46" s="17">
        <f t="shared" si="4"/>
        <v>7398.7773819604063</v>
      </c>
      <c r="E46" s="448">
        <f t="shared" si="5"/>
        <v>17.209447250841734</v>
      </c>
      <c r="F46" s="18"/>
      <c r="G46" s="19">
        <v>15582870</v>
      </c>
      <c r="H46" s="17">
        <f t="shared" si="7"/>
        <v>7791.4350000000004</v>
      </c>
      <c r="I46" s="448">
        <f t="shared" si="6"/>
        <v>18.122763088911064</v>
      </c>
      <c r="J46" s="18"/>
      <c r="K46" s="22"/>
    </row>
    <row r="47" spans="1:23" x14ac:dyDescent="0.25">
      <c r="A47" s="15" t="s">
        <v>880</v>
      </c>
      <c r="B47" s="16"/>
      <c r="C47" s="24">
        <v>14075990</v>
      </c>
      <c r="D47" s="17">
        <f t="shared" si="4"/>
        <v>7037.9949999999999</v>
      </c>
      <c r="E47" s="448">
        <f t="shared" si="5"/>
        <v>16.370272742561625</v>
      </c>
      <c r="F47" s="18"/>
      <c r="G47" s="19">
        <v>14974460</v>
      </c>
      <c r="H47" s="17">
        <f t="shared" si="7"/>
        <v>7487.23</v>
      </c>
      <c r="I47" s="448">
        <f t="shared" si="6"/>
        <v>17.415186738025483</v>
      </c>
      <c r="J47" s="18"/>
      <c r="K47" s="22"/>
    </row>
    <row r="48" spans="1:23" x14ac:dyDescent="0.25">
      <c r="A48" s="15" t="s">
        <v>881</v>
      </c>
      <c r="B48" s="16"/>
      <c r="C48" s="24">
        <v>13243490</v>
      </c>
      <c r="D48" s="17">
        <f t="shared" si="4"/>
        <v>6621.7449999999999</v>
      </c>
      <c r="E48" s="448">
        <f t="shared" si="5"/>
        <v>15.40208137142662</v>
      </c>
      <c r="F48" s="18"/>
      <c r="G48" s="19">
        <v>14164160</v>
      </c>
      <c r="H48" s="17">
        <f t="shared" si="7"/>
        <v>7082.08</v>
      </c>
      <c r="I48" s="448">
        <f t="shared" si="6"/>
        <v>16.472813803454081</v>
      </c>
      <c r="J48" s="18"/>
      <c r="K48" s="22"/>
    </row>
    <row r="49" spans="1:11" x14ac:dyDescent="0.25">
      <c r="A49" s="15" t="s">
        <v>946</v>
      </c>
      <c r="B49" s="16"/>
      <c r="C49" s="24">
        <v>12947318</v>
      </c>
      <c r="D49" s="17">
        <f t="shared" si="4"/>
        <v>6473.6589999999997</v>
      </c>
      <c r="E49" s="448">
        <f t="shared" si="5"/>
        <v>15.057635515844886</v>
      </c>
      <c r="F49" s="18"/>
      <c r="G49" s="19">
        <v>14062678</v>
      </c>
      <c r="H49" s="17">
        <f t="shared" si="7"/>
        <v>7031.3389999999999</v>
      </c>
      <c r="I49" s="448">
        <f t="shared" si="6"/>
        <v>16.354790984564566</v>
      </c>
      <c r="J49" s="18"/>
      <c r="K49" s="22"/>
    </row>
    <row r="50" spans="1:11" x14ac:dyDescent="0.25">
      <c r="A50" s="15" t="s">
        <v>947</v>
      </c>
      <c r="B50" s="16"/>
      <c r="C50" s="24">
        <v>25370000</v>
      </c>
      <c r="D50" s="17">
        <f t="shared" si="4"/>
        <v>12685</v>
      </c>
      <c r="E50" s="448">
        <f t="shared" si="5"/>
        <v>29.505123226060004</v>
      </c>
      <c r="F50" s="18"/>
      <c r="G50" s="19">
        <v>26920000</v>
      </c>
      <c r="H50" s="17">
        <f t="shared" si="7"/>
        <v>13460</v>
      </c>
      <c r="I50" s="448">
        <f t="shared" si="6"/>
        <v>31.307761814960006</v>
      </c>
      <c r="J50" s="18"/>
      <c r="K50" s="22"/>
    </row>
    <row r="51" spans="1:11" x14ac:dyDescent="0.25">
      <c r="A51" s="1559" t="s">
        <v>314</v>
      </c>
      <c r="B51" s="1560"/>
      <c r="C51" s="1560"/>
      <c r="D51" s="1560"/>
      <c r="E51" s="1560"/>
      <c r="F51" s="1560"/>
      <c r="G51" s="1560"/>
      <c r="H51" s="1560"/>
      <c r="I51" s="1560"/>
      <c r="J51" s="1560"/>
      <c r="K51" s="1561"/>
    </row>
    <row r="52" spans="1:11" x14ac:dyDescent="0.25">
      <c r="A52" s="1556" t="s">
        <v>882</v>
      </c>
      <c r="B52" s="1557"/>
      <c r="C52" s="1557"/>
      <c r="D52" s="1557"/>
      <c r="E52" s="1557"/>
      <c r="F52" s="1557"/>
      <c r="G52" s="1557"/>
      <c r="H52" s="1557"/>
      <c r="I52" s="1557"/>
      <c r="J52" s="1557"/>
      <c r="K52" s="1558"/>
    </row>
    <row r="53" spans="1:11" x14ac:dyDescent="0.25">
      <c r="A53" s="1545" t="s">
        <v>883</v>
      </c>
      <c r="B53" s="1546"/>
      <c r="C53" s="1546"/>
      <c r="D53" s="1546"/>
      <c r="E53" s="1546"/>
      <c r="F53" s="1546"/>
      <c r="G53" s="1546"/>
      <c r="H53" s="1546"/>
      <c r="I53" s="1546"/>
      <c r="J53" s="1546"/>
      <c r="K53" s="1547"/>
    </row>
    <row r="54" spans="1:11" x14ac:dyDescent="0.25">
      <c r="A54" s="1545" t="s">
        <v>884</v>
      </c>
      <c r="B54" s="1546"/>
      <c r="C54" s="1546"/>
      <c r="D54" s="1546"/>
      <c r="E54" s="1546"/>
      <c r="F54" s="1546"/>
      <c r="G54" s="1546"/>
      <c r="H54" s="1546"/>
      <c r="I54" s="1546"/>
      <c r="J54" s="1546"/>
      <c r="K54" s="1547"/>
    </row>
    <row r="55" spans="1:11" x14ac:dyDescent="0.25">
      <c r="A55" s="1545" t="s">
        <v>885</v>
      </c>
      <c r="B55" s="1546"/>
      <c r="C55" s="1546"/>
      <c r="D55" s="1546"/>
      <c r="E55" s="1546"/>
      <c r="F55" s="1546"/>
      <c r="G55" s="1546"/>
      <c r="H55" s="1546"/>
      <c r="I55" s="1546"/>
      <c r="J55" s="1546"/>
      <c r="K55" s="1547"/>
    </row>
    <row r="56" spans="1:11" x14ac:dyDescent="0.25">
      <c r="A56" s="1566" t="s">
        <v>315</v>
      </c>
      <c r="B56" s="1567"/>
      <c r="C56" s="1567"/>
      <c r="D56" s="1567"/>
      <c r="E56" s="1567"/>
      <c r="F56" s="1567"/>
      <c r="G56" s="1567"/>
      <c r="H56" s="1567"/>
      <c r="I56" s="1567"/>
      <c r="J56" s="1567"/>
      <c r="K56" s="1568"/>
    </row>
    <row r="57" spans="1:11" x14ac:dyDescent="0.25">
      <c r="A57" s="1545" t="s">
        <v>316</v>
      </c>
      <c r="B57" s="1546"/>
      <c r="C57" s="1546"/>
      <c r="D57" s="1546"/>
      <c r="E57" s="1546"/>
      <c r="F57" s="1546"/>
      <c r="G57" s="1546"/>
      <c r="H57" s="1546"/>
      <c r="I57" s="1546"/>
      <c r="J57" s="1546"/>
      <c r="K57" s="1547"/>
    </row>
    <row r="58" spans="1:11" x14ac:dyDescent="0.25">
      <c r="A58" s="1545" t="s">
        <v>886</v>
      </c>
      <c r="B58" s="1546"/>
      <c r="C58" s="1546"/>
      <c r="D58" s="1546"/>
      <c r="E58" s="1546"/>
      <c r="F58" s="1546"/>
      <c r="G58" s="1546"/>
      <c r="H58" s="1546"/>
      <c r="I58" s="1546"/>
      <c r="J58" s="1546"/>
      <c r="K58" s="1547"/>
    </row>
    <row r="59" spans="1:11" x14ac:dyDescent="0.25">
      <c r="A59" s="1545" t="s">
        <v>887</v>
      </c>
      <c r="B59" s="1546"/>
      <c r="C59" s="1546"/>
      <c r="D59" s="1546"/>
      <c r="E59" s="1546"/>
      <c r="F59" s="1546"/>
      <c r="G59" s="1546"/>
      <c r="H59" s="1546"/>
      <c r="I59" s="1546"/>
      <c r="J59" s="1546"/>
      <c r="K59" s="1547"/>
    </row>
    <row r="60" spans="1:11" x14ac:dyDescent="0.25">
      <c r="A60" s="25"/>
      <c r="B60" s="26"/>
      <c r="C60" s="26"/>
      <c r="D60" s="26"/>
      <c r="E60" s="26"/>
      <c r="F60" s="26"/>
      <c r="G60" s="26"/>
      <c r="H60" s="26"/>
      <c r="I60" s="26"/>
      <c r="J60" s="26"/>
      <c r="K60" s="27"/>
    </row>
    <row r="61" spans="1:11" x14ac:dyDescent="0.25">
      <c r="A61" s="1545" t="s">
        <v>317</v>
      </c>
      <c r="B61" s="1546"/>
      <c r="C61" s="1546"/>
      <c r="D61" s="1546"/>
      <c r="E61" s="1546"/>
      <c r="F61" s="1546"/>
      <c r="G61" s="1546"/>
      <c r="H61" s="1546"/>
      <c r="I61" s="1546"/>
      <c r="J61" s="1546"/>
      <c r="K61" s="1547"/>
    </row>
    <row r="62" spans="1:11" ht="13.8" thickBot="1" x14ac:dyDescent="0.3">
      <c r="A62" s="1551" t="s">
        <v>948</v>
      </c>
      <c r="B62" s="1552"/>
      <c r="C62" s="1552"/>
      <c r="D62" s="1552"/>
      <c r="E62" s="1552"/>
      <c r="F62" s="1552"/>
      <c r="G62" s="1552"/>
      <c r="H62" s="1552"/>
      <c r="I62" s="1552"/>
      <c r="J62" s="1552"/>
      <c r="K62" s="1553"/>
    </row>
    <row r="63" spans="1:11" x14ac:dyDescent="0.25">
      <c r="A63" s="446"/>
      <c r="B63" s="447"/>
      <c r="C63" s="447"/>
      <c r="D63" s="447"/>
      <c r="E63" s="447"/>
      <c r="F63" s="447"/>
      <c r="G63" s="447"/>
      <c r="H63" s="447"/>
      <c r="I63" s="447"/>
      <c r="J63" s="447"/>
      <c r="K63" s="447"/>
    </row>
    <row r="64" spans="1:11" x14ac:dyDescent="0.25">
      <c r="A64" s="446"/>
      <c r="B64" s="447"/>
      <c r="C64" s="447"/>
      <c r="D64" s="447"/>
      <c r="E64" s="447"/>
      <c r="F64" s="447"/>
      <c r="G64" s="447"/>
      <c r="H64" s="447"/>
      <c r="I64" s="447"/>
      <c r="J64" s="447"/>
      <c r="K64" s="447"/>
    </row>
    <row r="65" spans="1:14" x14ac:dyDescent="0.25">
      <c r="A65" s="446"/>
      <c r="B65" s="447"/>
      <c r="C65" s="447"/>
      <c r="D65" s="447"/>
      <c r="E65" s="447"/>
      <c r="F65" s="447"/>
      <c r="G65" s="447"/>
      <c r="H65" s="447"/>
      <c r="I65" s="447"/>
      <c r="J65" s="447"/>
      <c r="K65" s="447"/>
    </row>
    <row r="66" spans="1:14" x14ac:dyDescent="0.25">
      <c r="A66" s="446"/>
      <c r="B66" s="447"/>
      <c r="C66" s="447"/>
      <c r="D66" s="447"/>
      <c r="E66" s="447"/>
      <c r="F66" s="447"/>
      <c r="G66" s="447"/>
      <c r="H66" s="447"/>
      <c r="I66" s="447"/>
      <c r="J66" s="447"/>
      <c r="K66" s="447"/>
    </row>
    <row r="68" spans="1:14" ht="13.8" thickBot="1" x14ac:dyDescent="0.3"/>
    <row r="69" spans="1:14" ht="43.5" customHeight="1" thickTop="1" thickBot="1" x14ac:dyDescent="0.3">
      <c r="A69" s="334" t="s">
        <v>1056</v>
      </c>
      <c r="B69" s="335"/>
      <c r="C69" s="335"/>
      <c r="D69" s="335"/>
      <c r="E69" s="335"/>
      <c r="F69" s="335"/>
      <c r="G69" s="335"/>
      <c r="H69" s="335"/>
      <c r="I69" s="335"/>
      <c r="J69" s="335"/>
      <c r="K69" s="336"/>
      <c r="L69" s="336"/>
      <c r="M69" s="521"/>
      <c r="N69" s="46"/>
    </row>
    <row r="70" spans="1:14" ht="55.8" thickTop="1" x14ac:dyDescent="0.25">
      <c r="A70" s="522" t="s">
        <v>1063</v>
      </c>
      <c r="B70" s="523" t="s">
        <v>1004</v>
      </c>
      <c r="C70" s="524" t="s">
        <v>1013</v>
      </c>
      <c r="D70" s="524" t="s">
        <v>1014</v>
      </c>
      <c r="E70" s="523" t="s">
        <v>187</v>
      </c>
      <c r="F70" s="523" t="s">
        <v>1012</v>
      </c>
      <c r="G70" s="525" t="s">
        <v>1011</v>
      </c>
      <c r="H70" s="526" t="s">
        <v>264</v>
      </c>
      <c r="I70" s="523" t="s">
        <v>688</v>
      </c>
      <c r="J70" s="523" t="s">
        <v>1029</v>
      </c>
      <c r="K70" s="527" t="s">
        <v>687</v>
      </c>
      <c r="L70" s="527" t="s">
        <v>910</v>
      </c>
      <c r="M70" s="522" t="s">
        <v>519</v>
      </c>
      <c r="N70" s="528" t="s">
        <v>520</v>
      </c>
    </row>
    <row r="71" spans="1:14" ht="52.8" x14ac:dyDescent="0.25">
      <c r="A71" s="706" t="s">
        <v>1058</v>
      </c>
      <c r="B71" s="533" t="s">
        <v>844</v>
      </c>
      <c r="C71" s="707" t="s">
        <v>684</v>
      </c>
      <c r="D71" s="533">
        <v>2007</v>
      </c>
      <c r="E71" s="708" t="s">
        <v>685</v>
      </c>
      <c r="F71" s="534"/>
      <c r="G71" s="533"/>
      <c r="H71" s="708" t="s">
        <v>843</v>
      </c>
      <c r="I71" s="673">
        <f>mmBTU_to_GJ</f>
        <v>1.0549999999999999</v>
      </c>
      <c r="J71" s="529" t="s">
        <v>1031</v>
      </c>
      <c r="K71" s="530">
        <v>56.31533863997597</v>
      </c>
      <c r="L71" s="530" t="s">
        <v>911</v>
      </c>
      <c r="M71" s="531"/>
      <c r="N71" s="532"/>
    </row>
    <row r="72" spans="1:14" ht="52.8" x14ac:dyDescent="0.25">
      <c r="A72" s="706" t="s">
        <v>280</v>
      </c>
      <c r="B72" s="533" t="s">
        <v>844</v>
      </c>
      <c r="C72" s="707" t="s">
        <v>684</v>
      </c>
      <c r="D72" s="533">
        <v>2007</v>
      </c>
      <c r="E72" s="708" t="s">
        <v>685</v>
      </c>
      <c r="F72" s="534"/>
      <c r="G72" s="533"/>
      <c r="H72" s="708" t="s">
        <v>843</v>
      </c>
      <c r="I72" s="673">
        <f>mmBTU_to_GJ</f>
        <v>1.0549999999999999</v>
      </c>
      <c r="J72" s="529" t="s">
        <v>1031</v>
      </c>
      <c r="K72" s="530">
        <v>56.31533863997597</v>
      </c>
      <c r="L72" s="530" t="s">
        <v>911</v>
      </c>
      <c r="M72" s="531"/>
      <c r="N72" s="532"/>
    </row>
    <row r="73" spans="1:14" ht="52.8" x14ac:dyDescent="0.25">
      <c r="A73" s="706" t="s">
        <v>666</v>
      </c>
      <c r="B73" s="533" t="s">
        <v>844</v>
      </c>
      <c r="C73" s="707" t="s">
        <v>684</v>
      </c>
      <c r="D73" s="533">
        <v>2007</v>
      </c>
      <c r="E73" s="708" t="s">
        <v>685</v>
      </c>
      <c r="F73" s="534"/>
      <c r="G73" s="533"/>
      <c r="H73" s="708" t="s">
        <v>843</v>
      </c>
      <c r="I73" s="673">
        <f>mmBTU_to_GJ</f>
        <v>1.0549999999999999</v>
      </c>
      <c r="J73" s="529" t="s">
        <v>1031</v>
      </c>
      <c r="K73" s="530">
        <v>56.31533863997597</v>
      </c>
      <c r="L73" s="530" t="s">
        <v>911</v>
      </c>
      <c r="M73" s="531"/>
      <c r="N73" s="532"/>
    </row>
    <row r="74" spans="1:14" ht="52.8" x14ac:dyDescent="0.25">
      <c r="A74" s="706" t="s">
        <v>1059</v>
      </c>
      <c r="B74" s="533" t="s">
        <v>844</v>
      </c>
      <c r="C74" s="707" t="s">
        <v>684</v>
      </c>
      <c r="D74" s="533">
        <v>2007</v>
      </c>
      <c r="E74" s="708" t="s">
        <v>685</v>
      </c>
      <c r="F74" s="534"/>
      <c r="G74" s="533"/>
      <c r="H74" s="708" t="s">
        <v>843</v>
      </c>
      <c r="I74" s="673">
        <f>mmBTU_to_GJ</f>
        <v>1.0549999999999999</v>
      </c>
      <c r="J74" s="529" t="s">
        <v>1031</v>
      </c>
      <c r="K74" s="530">
        <v>56.31533863997597</v>
      </c>
      <c r="L74" s="530" t="s">
        <v>911</v>
      </c>
      <c r="M74" s="531"/>
      <c r="N74" s="532"/>
    </row>
    <row r="75" spans="1:14" ht="26.4" x14ac:dyDescent="0.25">
      <c r="A75" s="706" t="s">
        <v>667</v>
      </c>
      <c r="B75" s="533"/>
      <c r="C75" s="707" t="s">
        <v>684</v>
      </c>
      <c r="D75" s="533">
        <v>2007</v>
      </c>
      <c r="E75" s="708" t="s">
        <v>685</v>
      </c>
      <c r="F75" s="534"/>
      <c r="G75" s="533"/>
      <c r="H75" s="708" t="s">
        <v>843</v>
      </c>
      <c r="I75" s="673">
        <f>mmBTU_to_GJ</f>
        <v>1.0549999999999999</v>
      </c>
      <c r="J75" s="529" t="s">
        <v>1031</v>
      </c>
      <c r="K75" s="530">
        <v>56.31533863997597</v>
      </c>
      <c r="L75" s="530" t="s">
        <v>911</v>
      </c>
      <c r="M75" s="531"/>
      <c r="N75" s="532"/>
    </row>
    <row r="76" spans="1:14" ht="52.8" x14ac:dyDescent="0.25">
      <c r="A76" s="706" t="s">
        <v>668</v>
      </c>
      <c r="B76" s="533" t="s">
        <v>844</v>
      </c>
      <c r="C76" s="707" t="s">
        <v>684</v>
      </c>
      <c r="D76" s="533">
        <v>2007</v>
      </c>
      <c r="E76" s="708" t="s">
        <v>686</v>
      </c>
      <c r="F76" s="533"/>
      <c r="G76" s="533"/>
      <c r="H76" s="529" t="s">
        <v>293</v>
      </c>
      <c r="I76" s="673">
        <f>1/MJ_to_kWh/1000</f>
        <v>3.5999999999999995E-3</v>
      </c>
      <c r="J76" s="529" t="s">
        <v>1044</v>
      </c>
      <c r="K76" s="530">
        <v>0</v>
      </c>
      <c r="L76" s="530" t="s">
        <v>911</v>
      </c>
      <c r="M76" s="531"/>
      <c r="N76" s="532"/>
    </row>
    <row r="77" spans="1:14" ht="52.8" x14ac:dyDescent="0.25">
      <c r="A77" s="706" t="s">
        <v>683</v>
      </c>
      <c r="B77" s="533" t="s">
        <v>844</v>
      </c>
      <c r="C77" s="707" t="s">
        <v>684</v>
      </c>
      <c r="D77" s="533">
        <v>2007</v>
      </c>
      <c r="E77" s="708" t="s">
        <v>686</v>
      </c>
      <c r="F77" s="533"/>
      <c r="G77" s="533"/>
      <c r="H77" s="529" t="s">
        <v>293</v>
      </c>
      <c r="I77" s="673">
        <f>1/MJ_to_kWh/1000</f>
        <v>3.5999999999999995E-3</v>
      </c>
      <c r="J77" s="529" t="s">
        <v>1044</v>
      </c>
      <c r="K77" s="530">
        <v>0</v>
      </c>
      <c r="L77" s="530" t="s">
        <v>911</v>
      </c>
      <c r="M77" s="531"/>
      <c r="N77" s="532"/>
    </row>
    <row r="78" spans="1:14" ht="52.8" x14ac:dyDescent="0.25">
      <c r="A78" s="706" t="s">
        <v>669</v>
      </c>
      <c r="B78" s="533" t="s">
        <v>844</v>
      </c>
      <c r="C78" s="707" t="s">
        <v>684</v>
      </c>
      <c r="D78" s="533">
        <v>2007</v>
      </c>
      <c r="E78" s="708" t="s">
        <v>686</v>
      </c>
      <c r="F78" s="533"/>
      <c r="G78" s="533"/>
      <c r="H78" s="529" t="s">
        <v>293</v>
      </c>
      <c r="I78" s="673">
        <f>1/MJ_to_kWh/1000</f>
        <v>3.5999999999999995E-3</v>
      </c>
      <c r="J78" s="529" t="s">
        <v>1044</v>
      </c>
      <c r="K78" s="530">
        <v>0</v>
      </c>
      <c r="L78" s="530" t="s">
        <v>911</v>
      </c>
      <c r="M78" s="531"/>
      <c r="N78" s="532"/>
    </row>
    <row r="79" spans="1:14" ht="52.8" x14ac:dyDescent="0.25">
      <c r="A79" s="706" t="s">
        <v>1060</v>
      </c>
      <c r="B79" s="533" t="s">
        <v>844</v>
      </c>
      <c r="C79" s="707" t="s">
        <v>684</v>
      </c>
      <c r="D79" s="533">
        <v>2007</v>
      </c>
      <c r="E79" s="708" t="s">
        <v>685</v>
      </c>
      <c r="F79" s="534"/>
      <c r="G79" s="533"/>
      <c r="H79" s="529" t="s">
        <v>265</v>
      </c>
      <c r="I79" s="673">
        <f>$C$42/2000/lb_to_kg/1000000*mmBTU_to_GJ</f>
        <v>2.2735034516249999E-2</v>
      </c>
      <c r="J79" s="529" t="s">
        <v>1025</v>
      </c>
      <c r="K79" s="530">
        <v>102.75287348239476</v>
      </c>
      <c r="L79" s="530" t="s">
        <v>911</v>
      </c>
      <c r="M79" s="531"/>
      <c r="N79" s="532"/>
    </row>
    <row r="80" spans="1:14" ht="52.8" x14ac:dyDescent="0.25">
      <c r="A80" s="706" t="s">
        <v>701</v>
      </c>
      <c r="B80" s="533" t="s">
        <v>844</v>
      </c>
      <c r="C80" s="707" t="s">
        <v>684</v>
      </c>
      <c r="D80" s="533">
        <v>2007</v>
      </c>
      <c r="E80" s="708" t="s">
        <v>685</v>
      </c>
      <c r="F80" s="534"/>
      <c r="G80" s="533"/>
      <c r="H80" s="529" t="s">
        <v>265</v>
      </c>
      <c r="I80" s="673">
        <f>$C$42/2000/lb_to_kg/1000000*mmBTU_to_GJ</f>
        <v>2.2735034516249999E-2</v>
      </c>
      <c r="J80" s="529" t="s">
        <v>1025</v>
      </c>
      <c r="K80" s="530">
        <v>102.75287348239476</v>
      </c>
      <c r="L80" s="530" t="s">
        <v>911</v>
      </c>
      <c r="M80" s="531"/>
      <c r="N80" s="532"/>
    </row>
    <row r="81" spans="1:14" ht="52.8" x14ac:dyDescent="0.25">
      <c r="A81" s="706" t="s">
        <v>702</v>
      </c>
      <c r="B81" s="533" t="s">
        <v>844</v>
      </c>
      <c r="C81" s="707" t="s">
        <v>684</v>
      </c>
      <c r="D81" s="533">
        <v>2007</v>
      </c>
      <c r="E81" s="708" t="s">
        <v>685</v>
      </c>
      <c r="F81" s="534"/>
      <c r="G81" s="533"/>
      <c r="H81" s="529" t="s">
        <v>265</v>
      </c>
      <c r="I81" s="673">
        <f>$C$42/2000/lb_to_kg/1000000*mmBTU_to_GJ</f>
        <v>2.2735034516249999E-2</v>
      </c>
      <c r="J81" s="529" t="s">
        <v>1025</v>
      </c>
      <c r="K81" s="530">
        <v>102.75287348239476</v>
      </c>
      <c r="L81" s="530" t="s">
        <v>911</v>
      </c>
      <c r="M81" s="531"/>
      <c r="N81" s="532"/>
    </row>
    <row r="82" spans="1:14" ht="52.8" x14ac:dyDescent="0.25">
      <c r="A82" s="706" t="s">
        <v>891</v>
      </c>
      <c r="B82" s="533" t="s">
        <v>844</v>
      </c>
      <c r="C82" s="707" t="s">
        <v>684</v>
      </c>
      <c r="D82" s="533">
        <v>2007</v>
      </c>
      <c r="E82" s="708" t="s">
        <v>685</v>
      </c>
      <c r="F82" s="534"/>
      <c r="G82" s="533"/>
      <c r="H82" s="529" t="s">
        <v>266</v>
      </c>
      <c r="I82" s="673">
        <f>$C$14/gal_to_liters*mmBTU_to_GJ/1000000</f>
        <v>3.5803104359313075E-2</v>
      </c>
      <c r="J82" s="529" t="s">
        <v>1031</v>
      </c>
      <c r="K82" s="530">
        <v>74.122324937568308</v>
      </c>
      <c r="L82" s="530" t="s">
        <v>911</v>
      </c>
      <c r="M82" s="531"/>
      <c r="N82" s="532"/>
    </row>
    <row r="83" spans="1:14" ht="52.8" x14ac:dyDescent="0.25">
      <c r="A83" s="706" t="s">
        <v>889</v>
      </c>
      <c r="B83" s="533" t="s">
        <v>844</v>
      </c>
      <c r="C83" s="707" t="s">
        <v>684</v>
      </c>
      <c r="D83" s="533">
        <v>2007</v>
      </c>
      <c r="E83" s="708" t="s">
        <v>685</v>
      </c>
      <c r="F83" s="534"/>
      <c r="G83" s="533"/>
      <c r="H83" s="529" t="s">
        <v>266</v>
      </c>
      <c r="I83" s="673">
        <f>$Q$14/gal_to_liters*mmBTU_to_GJ/1000000</f>
        <v>2.4157130779392338E-2</v>
      </c>
      <c r="J83" s="529" t="s">
        <v>1025</v>
      </c>
      <c r="K83" s="530">
        <v>71.019041167591709</v>
      </c>
      <c r="L83" s="530" t="s">
        <v>911</v>
      </c>
      <c r="M83" s="531"/>
      <c r="N83" s="532"/>
    </row>
    <row r="84" spans="1:14" ht="52.8" x14ac:dyDescent="0.25">
      <c r="A84" s="706" t="s">
        <v>892</v>
      </c>
      <c r="B84" s="533" t="s">
        <v>844</v>
      </c>
      <c r="C84" s="707" t="s">
        <v>684</v>
      </c>
      <c r="D84" s="533">
        <v>2007</v>
      </c>
      <c r="E84" s="708" t="s">
        <v>685</v>
      </c>
      <c r="F84" s="534"/>
      <c r="G84" s="533"/>
      <c r="H84" s="529" t="s">
        <v>266</v>
      </c>
      <c r="I84" s="673">
        <f>$C$11/gal_to_liters*mmBTU_to_GJ/1000000</f>
        <v>3.2357978863936591E-2</v>
      </c>
      <c r="J84" s="529" t="s">
        <v>1025</v>
      </c>
      <c r="K84" s="530">
        <v>72.833307273582633</v>
      </c>
      <c r="L84" s="530" t="s">
        <v>911</v>
      </c>
      <c r="M84" s="531"/>
      <c r="N84" s="532"/>
    </row>
    <row r="85" spans="1:14" ht="290.39999999999998" x14ac:dyDescent="0.25">
      <c r="A85" s="706" t="s">
        <v>1054</v>
      </c>
      <c r="B85" s="533" t="s">
        <v>423</v>
      </c>
      <c r="C85" s="707" t="s">
        <v>684</v>
      </c>
      <c r="D85" s="533">
        <v>2007</v>
      </c>
      <c r="E85" s="708" t="s">
        <v>686</v>
      </c>
      <c r="F85" s="534"/>
      <c r="G85" s="533"/>
      <c r="H85" s="529" t="s">
        <v>265</v>
      </c>
      <c r="I85" s="673">
        <f>$E$45/1000</f>
        <v>1.9551069237418006E-2</v>
      </c>
      <c r="J85" s="529" t="s">
        <v>1025</v>
      </c>
      <c r="K85" s="530">
        <v>97.876597052612851</v>
      </c>
      <c r="L85" s="530" t="s">
        <v>911</v>
      </c>
      <c r="M85" s="531"/>
      <c r="N85" s="532"/>
    </row>
    <row r="86" spans="1:14" x14ac:dyDescent="0.25">
      <c r="A86" s="706" t="s">
        <v>800</v>
      </c>
      <c r="B86" s="533"/>
      <c r="C86" s="707"/>
      <c r="D86" s="533"/>
      <c r="E86" s="708" t="s">
        <v>686</v>
      </c>
      <c r="F86" s="534"/>
      <c r="G86" s="533"/>
      <c r="H86" s="529" t="s">
        <v>265</v>
      </c>
      <c r="I86" s="673">
        <f>$E$45/1000</f>
        <v>1.9551069237418006E-2</v>
      </c>
      <c r="J86" s="529" t="s">
        <v>1025</v>
      </c>
      <c r="K86" s="530">
        <v>97.876597052612851</v>
      </c>
      <c r="L86" s="530" t="s">
        <v>911</v>
      </c>
      <c r="M86" s="531"/>
      <c r="N86" s="532"/>
    </row>
    <row r="87" spans="1:14" ht="79.2" x14ac:dyDescent="0.25">
      <c r="A87" s="706" t="s">
        <v>806</v>
      </c>
      <c r="B87" s="707" t="s">
        <v>812</v>
      </c>
      <c r="C87" s="707"/>
      <c r="D87" s="533"/>
      <c r="E87" s="708" t="s">
        <v>686</v>
      </c>
      <c r="F87" s="534"/>
      <c r="G87" s="533"/>
      <c r="H87" s="529" t="s">
        <v>265</v>
      </c>
      <c r="I87" s="673">
        <f>18.608/1000</f>
        <v>1.8608E-2</v>
      </c>
      <c r="J87" s="529" t="s">
        <v>1025</v>
      </c>
      <c r="K87" s="530">
        <v>97.876597052612851</v>
      </c>
      <c r="L87" s="530" t="s">
        <v>911</v>
      </c>
      <c r="M87" s="531"/>
      <c r="N87" s="532"/>
    </row>
    <row r="88" spans="1:14" ht="79.2" x14ac:dyDescent="0.25">
      <c r="A88" s="706" t="s">
        <v>1061</v>
      </c>
      <c r="B88" s="533" t="s">
        <v>1062</v>
      </c>
      <c r="C88" s="707" t="s">
        <v>684</v>
      </c>
      <c r="D88" s="533">
        <v>2007</v>
      </c>
      <c r="E88" s="708" t="s">
        <v>686</v>
      </c>
      <c r="F88" s="534"/>
      <c r="G88" s="533"/>
      <c r="H88" s="529" t="s">
        <v>265</v>
      </c>
      <c r="I88" s="673">
        <v>2.8300000000000001E-3</v>
      </c>
      <c r="J88" s="529" t="s">
        <v>1044</v>
      </c>
      <c r="K88" s="530">
        <v>0</v>
      </c>
      <c r="L88" s="530" t="s">
        <v>911</v>
      </c>
      <c r="M88" s="531"/>
      <c r="N88" s="532"/>
    </row>
    <row r="90" spans="1:14" ht="13.8" thickBot="1" x14ac:dyDescent="0.3"/>
    <row r="91" spans="1:14" ht="33.75" customHeight="1" thickTop="1" x14ac:dyDescent="0.25">
      <c r="A91" s="1543" t="s">
        <v>967</v>
      </c>
      <c r="B91" s="1544"/>
      <c r="D91" s="1543" t="s">
        <v>670</v>
      </c>
      <c r="E91" s="1544"/>
      <c r="G91" s="1543" t="s">
        <v>671</v>
      </c>
      <c r="H91" s="1544"/>
      <c r="K91" s="1554" t="s">
        <v>673</v>
      </c>
      <c r="L91" s="1555"/>
    </row>
    <row r="92" spans="1:14" ht="41.25" customHeight="1" thickBot="1" x14ac:dyDescent="0.3">
      <c r="A92" s="956" t="s">
        <v>1072</v>
      </c>
      <c r="B92" s="783"/>
      <c r="D92" s="1541" t="s">
        <v>672</v>
      </c>
      <c r="E92" s="1542"/>
      <c r="G92" s="956" t="s">
        <v>1073</v>
      </c>
      <c r="H92" s="783"/>
      <c r="K92" s="1541" t="s">
        <v>674</v>
      </c>
      <c r="L92" s="1542"/>
      <c r="N92" s="987"/>
    </row>
    <row r="93" spans="1:14" ht="13.8" x14ac:dyDescent="0.25">
      <c r="A93" s="30" t="s">
        <v>1057</v>
      </c>
      <c r="B93" s="31" t="s">
        <v>1065</v>
      </c>
      <c r="D93" s="30" t="s">
        <v>1057</v>
      </c>
      <c r="E93" s="31" t="s">
        <v>1065</v>
      </c>
      <c r="G93" s="30" t="s">
        <v>1057</v>
      </c>
      <c r="H93" s="31" t="s">
        <v>1065</v>
      </c>
      <c r="K93" s="30" t="s">
        <v>1057</v>
      </c>
      <c r="L93" s="31" t="s">
        <v>1065</v>
      </c>
    </row>
    <row r="94" spans="1:14" x14ac:dyDescent="0.25">
      <c r="A94" s="781">
        <v>1992</v>
      </c>
      <c r="B94" s="782">
        <v>70.800676680058203</v>
      </c>
      <c r="C94" s="685"/>
      <c r="D94" s="957">
        <v>1992</v>
      </c>
      <c r="E94" s="958">
        <v>358.2</v>
      </c>
      <c r="F94" s="988"/>
      <c r="G94" s="957">
        <v>1992</v>
      </c>
      <c r="H94" s="959">
        <v>13.7</v>
      </c>
      <c r="K94" s="957">
        <v>1992</v>
      </c>
      <c r="L94" s="960">
        <v>80.280791320995533</v>
      </c>
    </row>
    <row r="95" spans="1:14" x14ac:dyDescent="0.25">
      <c r="A95" s="781">
        <v>1993</v>
      </c>
      <c r="B95" s="782">
        <v>72.480274460589698</v>
      </c>
      <c r="D95" s="957">
        <v>1993</v>
      </c>
      <c r="E95" s="958">
        <v>359.2</v>
      </c>
      <c r="F95" s="988"/>
      <c r="G95" s="957">
        <v>1993</v>
      </c>
      <c r="H95" s="959">
        <v>13.97</v>
      </c>
      <c r="K95" s="957">
        <v>1993</v>
      </c>
      <c r="L95" s="960">
        <v>81.174218251435875</v>
      </c>
    </row>
    <row r="96" spans="1:14" x14ac:dyDescent="0.25">
      <c r="A96" s="781">
        <v>1994</v>
      </c>
      <c r="B96" s="782">
        <v>74.02700932145197</v>
      </c>
      <c r="D96" s="957">
        <v>1994</v>
      </c>
      <c r="E96" s="958">
        <v>368.1</v>
      </c>
      <c r="F96" s="988"/>
      <c r="G96" s="957">
        <v>1994</v>
      </c>
      <c r="H96" s="959">
        <v>14.33</v>
      </c>
      <c r="K96" s="957">
        <v>1994</v>
      </c>
      <c r="L96" s="960">
        <v>82.961072112316543</v>
      </c>
    </row>
    <row r="97" spans="1:15" x14ac:dyDescent="0.25">
      <c r="A97" s="781">
        <v>1995</v>
      </c>
      <c r="B97" s="782">
        <v>75.581637029027263</v>
      </c>
      <c r="D97" s="957">
        <v>1995</v>
      </c>
      <c r="E97" s="958">
        <v>381.1</v>
      </c>
      <c r="F97" s="988"/>
      <c r="G97" s="957">
        <v>1995</v>
      </c>
      <c r="H97" s="959">
        <v>14.86</v>
      </c>
      <c r="K97" s="957">
        <v>1995</v>
      </c>
      <c r="L97" s="960">
        <v>91.512444160816855</v>
      </c>
    </row>
    <row r="98" spans="1:15" x14ac:dyDescent="0.25">
      <c r="A98" s="781">
        <v>1996</v>
      </c>
      <c r="B98" s="782">
        <v>76.96367448847775</v>
      </c>
      <c r="D98" s="957">
        <v>1996</v>
      </c>
      <c r="E98" s="958">
        <v>381.7</v>
      </c>
      <c r="F98" s="988"/>
      <c r="G98" s="957">
        <v>1996</v>
      </c>
      <c r="H98" s="959">
        <v>15.37</v>
      </c>
      <c r="K98" s="957">
        <v>1996</v>
      </c>
      <c r="L98" s="960">
        <v>93.044033184428855</v>
      </c>
    </row>
    <row r="99" spans="1:15" x14ac:dyDescent="0.25">
      <c r="A99" s="781">
        <v>1997</v>
      </c>
      <c r="B99" s="782">
        <v>78.291514400498826</v>
      </c>
      <c r="D99" s="957">
        <v>1997</v>
      </c>
      <c r="E99" s="958">
        <v>386.5</v>
      </c>
      <c r="F99" s="988"/>
      <c r="G99" s="957">
        <v>1997</v>
      </c>
      <c r="H99" s="959">
        <v>15.78</v>
      </c>
      <c r="K99" s="957">
        <v>1997</v>
      </c>
      <c r="L99" s="960">
        <v>93.873643905552015</v>
      </c>
      <c r="M99" s="988"/>
    </row>
    <row r="100" spans="1:15" x14ac:dyDescent="0.25">
      <c r="A100" s="781">
        <v>1998</v>
      </c>
      <c r="B100" s="782">
        <v>79.172882283453163</v>
      </c>
      <c r="D100" s="957">
        <v>1998</v>
      </c>
      <c r="E100" s="958">
        <v>389.5</v>
      </c>
      <c r="F100" s="988"/>
      <c r="G100" s="957">
        <v>1998</v>
      </c>
      <c r="H100" s="959">
        <v>16.23</v>
      </c>
      <c r="K100" s="957">
        <v>1998</v>
      </c>
      <c r="L100" s="960">
        <v>94.894703254626677</v>
      </c>
      <c r="M100" s="988"/>
      <c r="N100" s="989"/>
      <c r="O100" s="989"/>
    </row>
    <row r="101" spans="1:15" x14ac:dyDescent="0.25">
      <c r="A101" s="781">
        <v>1999</v>
      </c>
      <c r="B101" s="782">
        <v>80.287352239332165</v>
      </c>
      <c r="D101" s="957">
        <v>1999</v>
      </c>
      <c r="E101" s="958">
        <v>390.6</v>
      </c>
      <c r="F101" s="988"/>
      <c r="G101" s="957">
        <v>1999</v>
      </c>
      <c r="H101" s="959">
        <v>16.399999999999999</v>
      </c>
      <c r="K101" s="957">
        <v>1999</v>
      </c>
      <c r="L101" s="960">
        <v>95.532865347798349</v>
      </c>
      <c r="M101" s="988"/>
      <c r="N101" s="989"/>
      <c r="O101" s="989"/>
    </row>
    <row r="102" spans="1:15" x14ac:dyDescent="0.25">
      <c r="A102" s="781">
        <v>2000</v>
      </c>
      <c r="B102" s="782">
        <v>82.107442691355487</v>
      </c>
      <c r="D102" s="957">
        <v>2000</v>
      </c>
      <c r="E102" s="958">
        <v>394.1</v>
      </c>
      <c r="F102" s="988"/>
      <c r="G102" s="957">
        <v>2000</v>
      </c>
      <c r="H102" s="959">
        <v>17.09</v>
      </c>
      <c r="K102" s="957">
        <v>2000</v>
      </c>
      <c r="L102" s="960">
        <v>100</v>
      </c>
      <c r="M102" s="988"/>
      <c r="N102" s="989"/>
      <c r="O102" s="989"/>
    </row>
    <row r="103" spans="1:15" x14ac:dyDescent="0.25">
      <c r="A103" s="781">
        <v>2001</v>
      </c>
      <c r="B103" s="782">
        <v>83.960946194463943</v>
      </c>
      <c r="D103" s="957">
        <v>2001</v>
      </c>
      <c r="E103" s="958">
        <v>394.3</v>
      </c>
      <c r="F103" s="988"/>
      <c r="G103" s="957">
        <v>2001</v>
      </c>
      <c r="H103" s="959">
        <v>17.57</v>
      </c>
      <c r="K103" s="957">
        <v>2001</v>
      </c>
      <c r="L103" s="960">
        <v>101.08487555839186</v>
      </c>
      <c r="M103" s="988"/>
      <c r="N103" s="989"/>
      <c r="O103" s="989"/>
    </row>
    <row r="104" spans="1:15" x14ac:dyDescent="0.25">
      <c r="A104" s="781">
        <v>2002</v>
      </c>
      <c r="B104" s="782">
        <v>85.268264705031157</v>
      </c>
      <c r="D104" s="957">
        <v>2002</v>
      </c>
      <c r="E104" s="958">
        <v>395.6</v>
      </c>
      <c r="F104" s="988"/>
      <c r="G104" s="957">
        <v>2002</v>
      </c>
      <c r="H104" s="959">
        <v>17.97</v>
      </c>
      <c r="K104" s="957">
        <v>2002</v>
      </c>
      <c r="L104" s="960">
        <v>100.38289725590302</v>
      </c>
      <c r="M104" s="988"/>
      <c r="N104" s="989"/>
      <c r="O104" s="989"/>
    </row>
    <row r="105" spans="1:15" x14ac:dyDescent="0.25">
      <c r="A105" s="781">
        <v>2003</v>
      </c>
      <c r="B105" s="782">
        <v>86.946283916220068</v>
      </c>
      <c r="D105" s="957">
        <v>2003</v>
      </c>
      <c r="E105" s="958">
        <v>402</v>
      </c>
      <c r="F105" s="988"/>
      <c r="G105" s="957">
        <v>2003</v>
      </c>
      <c r="H105" s="959">
        <v>18.5</v>
      </c>
      <c r="K105" s="957">
        <v>2003</v>
      </c>
      <c r="L105" s="960">
        <v>105.04148053605616</v>
      </c>
      <c r="M105" s="988"/>
      <c r="N105" s="989"/>
      <c r="O105" s="989"/>
    </row>
    <row r="106" spans="1:15" x14ac:dyDescent="0.25">
      <c r="A106" s="781">
        <v>2004</v>
      </c>
      <c r="B106" s="782">
        <v>89.280198689261255</v>
      </c>
      <c r="D106" s="957">
        <v>2004</v>
      </c>
      <c r="E106" s="958">
        <v>444.2</v>
      </c>
      <c r="F106" s="988"/>
      <c r="G106" s="957">
        <v>2004</v>
      </c>
      <c r="H106" s="959">
        <v>19.170000000000002</v>
      </c>
      <c r="K106" s="957">
        <v>2004</v>
      </c>
      <c r="L106" s="960">
        <v>110.27440970006384</v>
      </c>
      <c r="M106" s="988"/>
      <c r="N106" s="989"/>
      <c r="O106" s="989"/>
    </row>
    <row r="107" spans="1:15" x14ac:dyDescent="0.25">
      <c r="A107" s="781">
        <v>2005</v>
      </c>
      <c r="B107" s="782">
        <v>92.081633082603915</v>
      </c>
      <c r="D107" s="957">
        <v>2005</v>
      </c>
      <c r="E107" s="958">
        <v>468.2</v>
      </c>
      <c r="F107" s="988"/>
      <c r="G107" s="957">
        <v>2005</v>
      </c>
      <c r="H107" s="1012">
        <v>19.670000000000002</v>
      </c>
      <c r="K107" s="957">
        <v>2005</v>
      </c>
      <c r="L107" s="960">
        <v>119.52776005105299</v>
      </c>
      <c r="M107" s="988"/>
      <c r="N107" s="989"/>
      <c r="O107" s="989"/>
    </row>
    <row r="108" spans="1:15" x14ac:dyDescent="0.25">
      <c r="A108" s="781">
        <v>2006</v>
      </c>
      <c r="B108" s="782">
        <v>94.92568884819687</v>
      </c>
      <c r="D108" s="957">
        <v>2006</v>
      </c>
      <c r="E108" s="958">
        <v>499.6</v>
      </c>
      <c r="F108" s="988"/>
      <c r="G108" s="957">
        <v>2006</v>
      </c>
      <c r="H108" s="959">
        <v>19.600000000000001</v>
      </c>
      <c r="K108" s="957">
        <v>2006</v>
      </c>
      <c r="L108" s="960">
        <v>125.5902999361838</v>
      </c>
      <c r="M108" s="988"/>
      <c r="N108" s="989"/>
      <c r="O108" s="989"/>
    </row>
    <row r="109" spans="1:15" x14ac:dyDescent="0.25">
      <c r="A109" s="781">
        <v>2007</v>
      </c>
      <c r="B109" s="782">
        <v>97.490337840148811</v>
      </c>
      <c r="D109" s="957">
        <v>2007</v>
      </c>
      <c r="E109" s="958">
        <v>525.4</v>
      </c>
      <c r="F109" s="993"/>
      <c r="G109" s="957">
        <v>2007</v>
      </c>
      <c r="H109" s="959">
        <v>19.55</v>
      </c>
      <c r="K109" s="957">
        <v>2007</v>
      </c>
      <c r="L109" s="960">
        <v>129.73835354179963</v>
      </c>
      <c r="M109" s="988"/>
      <c r="N109" s="989"/>
      <c r="O109" s="989"/>
    </row>
    <row r="110" spans="1:15" x14ac:dyDescent="0.25">
      <c r="A110" s="781">
        <v>2008</v>
      </c>
      <c r="B110" s="782">
        <v>99.368309168067654</v>
      </c>
      <c r="D110" s="957">
        <v>2008</v>
      </c>
      <c r="E110" s="958">
        <v>575.4</v>
      </c>
      <c r="F110" s="988"/>
      <c r="G110" s="957">
        <v>2008</v>
      </c>
      <c r="H110" s="959">
        <v>19.5</v>
      </c>
      <c r="K110" s="957">
        <v>2008</v>
      </c>
      <c r="L110" s="960">
        <v>145.6285896617741</v>
      </c>
      <c r="M110" s="988"/>
      <c r="N110" s="989"/>
      <c r="O110" s="989"/>
    </row>
    <row r="111" spans="1:15" ht="14.4" x14ac:dyDescent="0.3">
      <c r="A111" s="781">
        <v>2009</v>
      </c>
      <c r="B111" s="782">
        <v>100</v>
      </c>
      <c r="D111" s="684">
        <v>2009</v>
      </c>
      <c r="E111" s="958">
        <v>521.9</v>
      </c>
      <c r="F111" s="988"/>
      <c r="G111" s="684">
        <v>2009</v>
      </c>
      <c r="H111" s="784">
        <v>20.3</v>
      </c>
      <c r="K111" s="957">
        <v>2009</v>
      </c>
      <c r="L111" s="961">
        <v>143.39502233567327</v>
      </c>
      <c r="M111" s="988"/>
      <c r="N111" s="989"/>
      <c r="O111" s="989"/>
    </row>
    <row r="112" spans="1:15" ht="14.4" x14ac:dyDescent="0.3">
      <c r="A112" s="781">
        <v>2010</v>
      </c>
      <c r="B112" s="782">
        <v>101.19839722592747</v>
      </c>
      <c r="D112" s="684">
        <v>2010</v>
      </c>
      <c r="E112" s="958">
        <v>550.79999999999995</v>
      </c>
      <c r="F112" s="988"/>
      <c r="G112" s="684">
        <v>2010</v>
      </c>
      <c r="H112" s="784">
        <v>21.07</v>
      </c>
      <c r="K112" s="957">
        <v>2010</v>
      </c>
      <c r="L112" s="961">
        <v>149.13848117421827</v>
      </c>
      <c r="M112" s="988"/>
      <c r="N112" s="989"/>
      <c r="O112" s="989"/>
    </row>
    <row r="113" spans="1:15" ht="14.4" x14ac:dyDescent="0.3">
      <c r="A113" s="781">
        <v>2011</v>
      </c>
      <c r="B113" s="782">
        <v>103.30263015961967</v>
      </c>
      <c r="D113" s="684">
        <v>2011</v>
      </c>
      <c r="E113" s="958">
        <v>585.70000000000005</v>
      </c>
      <c r="F113" s="988"/>
      <c r="G113" s="684">
        <v>2011</v>
      </c>
      <c r="H113" s="784">
        <v>21.45</v>
      </c>
      <c r="K113" s="957">
        <v>2011</v>
      </c>
      <c r="L113" s="961">
        <v>160.8806636885769</v>
      </c>
      <c r="M113" s="988"/>
      <c r="N113" s="989"/>
      <c r="O113" s="989"/>
    </row>
    <row r="114" spans="1:15" ht="14.4" x14ac:dyDescent="0.3">
      <c r="A114" s="781">
        <v>2012</v>
      </c>
      <c r="B114" s="782">
        <v>105.23637760431055</v>
      </c>
      <c r="D114" s="684">
        <v>2012</v>
      </c>
      <c r="E114" s="958">
        <v>584.6</v>
      </c>
      <c r="F114" s="988"/>
      <c r="G114" s="684">
        <v>2012</v>
      </c>
      <c r="H114" s="784">
        <v>21.447500000000002</v>
      </c>
      <c r="K114" s="957">
        <v>2012</v>
      </c>
      <c r="L114" s="961">
        <v>166.11359285258459</v>
      </c>
      <c r="M114" s="988"/>
      <c r="N114" s="989"/>
      <c r="O114" s="989"/>
    </row>
    <row r="115" spans="1:15" ht="14.4" x14ac:dyDescent="0.3">
      <c r="A115" s="781">
        <v>2013</v>
      </c>
      <c r="B115" s="782">
        <v>107.07698945778775</v>
      </c>
      <c r="D115" s="684">
        <v>2013</v>
      </c>
      <c r="E115" s="958">
        <v>567.29999999999995</v>
      </c>
      <c r="F115" s="988"/>
      <c r="G115" s="684">
        <v>2013</v>
      </c>
      <c r="H115" s="784">
        <v>21.4025</v>
      </c>
      <c r="K115" s="957">
        <v>2013</v>
      </c>
      <c r="L115" s="961">
        <v>168.41097638800255</v>
      </c>
      <c r="M115" s="988"/>
      <c r="N115" s="989"/>
      <c r="O115" s="989"/>
    </row>
    <row r="116" spans="1:15" ht="14.4" x14ac:dyDescent="0.3">
      <c r="A116" s="781">
        <v>2014</v>
      </c>
      <c r="B116" s="782">
        <v>109.07756300464888</v>
      </c>
      <c r="D116" s="684">
        <v>2014</v>
      </c>
      <c r="E116" s="958">
        <v>576.1</v>
      </c>
      <c r="F116" s="988"/>
      <c r="G116" s="684">
        <v>2014</v>
      </c>
      <c r="H116" s="784">
        <v>21.488333333333333</v>
      </c>
      <c r="K116" s="957">
        <v>2014</v>
      </c>
      <c r="L116" s="961">
        <v>171.79323548181239</v>
      </c>
      <c r="M116" s="988"/>
      <c r="N116" s="989"/>
      <c r="O116" s="989"/>
    </row>
    <row r="117" spans="1:15" ht="14.4" x14ac:dyDescent="0.3">
      <c r="A117" s="781">
        <v>2015</v>
      </c>
      <c r="B117" s="782">
        <v>110.1730901284166</v>
      </c>
      <c r="D117" s="684">
        <v>2015</v>
      </c>
      <c r="E117" s="958">
        <v>556.79999999999995</v>
      </c>
      <c r="F117" s="988"/>
      <c r="G117" s="684">
        <v>2015</v>
      </c>
      <c r="H117" s="784">
        <v>21.754999999999999</v>
      </c>
      <c r="K117" s="957">
        <v>2015</v>
      </c>
      <c r="L117" s="961">
        <v>168.98532227185709</v>
      </c>
      <c r="M117" s="988"/>
      <c r="N117" s="989"/>
      <c r="O117" s="989"/>
    </row>
    <row r="118" spans="1:15" ht="14.4" x14ac:dyDescent="0.3">
      <c r="A118" s="781">
        <v>2016</v>
      </c>
      <c r="B118" s="782">
        <v>111.27519462444519</v>
      </c>
      <c r="D118" s="684">
        <f>+D117+1</f>
        <v>2016</v>
      </c>
      <c r="E118" s="958">
        <v>541.70000000000005</v>
      </c>
      <c r="F118" s="988"/>
      <c r="G118" s="684">
        <v>2016</v>
      </c>
      <c r="H118" s="784">
        <v>22.714999999999993</v>
      </c>
      <c r="K118" s="957">
        <v>2016</v>
      </c>
      <c r="L118" s="961">
        <v>170.4530950861519</v>
      </c>
      <c r="M118" s="988"/>
      <c r="N118" s="989"/>
      <c r="O118" s="989"/>
    </row>
    <row r="119" spans="1:15" ht="14.4" x14ac:dyDescent="0.3">
      <c r="A119" s="781">
        <v>2017</v>
      </c>
      <c r="B119" s="782">
        <v>113.38521564572694</v>
      </c>
      <c r="D119" s="1097">
        <f t="shared" ref="D119:D122" si="8">+D118+1</f>
        <v>2017</v>
      </c>
      <c r="E119" s="1098">
        <v>567.5</v>
      </c>
      <c r="G119" s="1097">
        <v>2017</v>
      </c>
      <c r="H119" s="1100">
        <v>24.275833333333328</v>
      </c>
      <c r="K119" s="1097">
        <f>+K118+1</f>
        <v>2017</v>
      </c>
      <c r="L119" s="1107">
        <v>177.13905876096783</v>
      </c>
      <c r="M119" s="988"/>
      <c r="N119" s="989"/>
      <c r="O119" s="989"/>
    </row>
    <row r="120" spans="1:15" ht="14.4" x14ac:dyDescent="0.3">
      <c r="A120" s="1102">
        <v>2018</v>
      </c>
      <c r="B120" s="1103">
        <v>116.09509301719851</v>
      </c>
      <c r="D120" s="1097">
        <f t="shared" si="8"/>
        <v>2018</v>
      </c>
      <c r="E120" s="1098">
        <v>603.1</v>
      </c>
      <c r="G120" s="1097">
        <v>2018</v>
      </c>
      <c r="H120" s="1100">
        <v>25.462500000000002</v>
      </c>
      <c r="K120" s="1097">
        <f>+K119+1</f>
        <v>2018</v>
      </c>
      <c r="L120" s="1107">
        <v>185.15820260568998</v>
      </c>
      <c r="M120" s="988"/>
      <c r="N120" s="989"/>
      <c r="O120" s="989"/>
    </row>
    <row r="121" spans="1:15" ht="14.4" x14ac:dyDescent="0.3">
      <c r="A121" s="1102">
        <v>2019</v>
      </c>
      <c r="B121" s="1103">
        <v>118.17196408228557</v>
      </c>
      <c r="D121" s="1097">
        <f t="shared" si="8"/>
        <v>2019</v>
      </c>
      <c r="E121" s="1098">
        <v>607.5</v>
      </c>
      <c r="G121" s="1097">
        <v>2019</v>
      </c>
      <c r="H121" s="1100">
        <v>25.46083333333333</v>
      </c>
      <c r="K121" s="1097">
        <f>+K120+1</f>
        <v>2019</v>
      </c>
      <c r="L121" s="1107">
        <v>186.37596383940442</v>
      </c>
      <c r="M121" s="988"/>
      <c r="N121" s="989"/>
      <c r="O121" s="989"/>
    </row>
    <row r="122" spans="1:15" ht="14.4" x14ac:dyDescent="0.3">
      <c r="A122" s="1102">
        <v>2020</v>
      </c>
      <c r="B122" s="1103">
        <v>119.58504673880728</v>
      </c>
      <c r="D122" s="1097">
        <f t="shared" si="8"/>
        <v>2020</v>
      </c>
      <c r="E122" s="1098">
        <v>596.20000000000005</v>
      </c>
      <c r="G122" s="1097">
        <v>2020</v>
      </c>
      <c r="H122" s="1100">
        <v>26.035833333333333</v>
      </c>
      <c r="K122" s="1097">
        <f>+K121+1</f>
        <v>2020</v>
      </c>
      <c r="L122" s="1107">
        <v>184.41371975538419</v>
      </c>
      <c r="M122" s="988"/>
      <c r="N122" s="989"/>
      <c r="O122" s="989"/>
    </row>
    <row r="123" spans="1:15" ht="15" thickBot="1" x14ac:dyDescent="0.35">
      <c r="A123" s="1104">
        <v>2021</v>
      </c>
      <c r="B123" s="1105">
        <v>124.54122828480547</v>
      </c>
      <c r="D123" s="1095">
        <v>2021</v>
      </c>
      <c r="E123" s="1096">
        <v>708.01666666666677</v>
      </c>
      <c r="G123" s="1095">
        <v>2021</v>
      </c>
      <c r="H123" s="1101">
        <v>26.685000000000002</v>
      </c>
      <c r="K123" s="1095">
        <f>+K122+1</f>
        <v>2021</v>
      </c>
      <c r="L123" s="1108">
        <v>205.95490561021009</v>
      </c>
      <c r="M123" s="988"/>
      <c r="N123" s="989"/>
      <c r="O123" s="989"/>
    </row>
    <row r="124" spans="1:15" ht="13.8" thickTop="1" x14ac:dyDescent="0.25">
      <c r="A124" s="281" t="s">
        <v>1285</v>
      </c>
      <c r="D124" s="281" t="s">
        <v>1286</v>
      </c>
      <c r="G124" s="281" t="s">
        <v>1284</v>
      </c>
      <c r="K124" s="281" t="s">
        <v>1175</v>
      </c>
      <c r="M124" s="988"/>
      <c r="N124" s="989"/>
      <c r="O124" s="989"/>
    </row>
    <row r="125" spans="1:15" x14ac:dyDescent="0.25">
      <c r="K125" s="281" t="s">
        <v>1177</v>
      </c>
      <c r="M125" s="988"/>
      <c r="N125" s="989"/>
      <c r="O125" s="989"/>
    </row>
    <row r="126" spans="1:15" x14ac:dyDescent="0.25">
      <c r="K126" s="281" t="s">
        <v>1283</v>
      </c>
      <c r="M126" s="988"/>
      <c r="N126" s="989"/>
      <c r="O126" s="989"/>
    </row>
    <row r="127" spans="1:15" x14ac:dyDescent="0.25">
      <c r="M127" s="988"/>
      <c r="N127" s="989"/>
      <c r="O127" s="989"/>
    </row>
    <row r="128" spans="1:15" x14ac:dyDescent="0.25">
      <c r="B128">
        <f>+B120/B113</f>
        <v>1.123834822383635</v>
      </c>
      <c r="M128" s="988"/>
      <c r="N128" s="989"/>
      <c r="O128" s="989"/>
    </row>
    <row r="129" spans="1:15" x14ac:dyDescent="0.25">
      <c r="B129">
        <f>+B120/B119</f>
        <v>1.0238997417435673</v>
      </c>
      <c r="M129" s="988"/>
      <c r="N129" s="989"/>
      <c r="O129" s="989"/>
    </row>
    <row r="130" spans="1:15" x14ac:dyDescent="0.25">
      <c r="M130" s="988"/>
      <c r="N130" s="989"/>
      <c r="O130" s="989"/>
    </row>
    <row r="131" spans="1:15" x14ac:dyDescent="0.25">
      <c r="M131" s="988"/>
      <c r="N131" s="989"/>
    </row>
    <row r="132" spans="1:15" ht="13.8" thickBot="1" x14ac:dyDescent="0.3">
      <c r="M132" s="988"/>
      <c r="N132" s="989"/>
    </row>
    <row r="133" spans="1:15" ht="28.2" thickBot="1" x14ac:dyDescent="0.3">
      <c r="A133" s="1051" t="s">
        <v>1074</v>
      </c>
      <c r="B133" s="1052"/>
      <c r="C133" s="1052"/>
      <c r="D133" s="1052"/>
      <c r="E133" s="1052"/>
      <c r="F133" s="1052"/>
      <c r="G133" s="1052"/>
      <c r="H133" s="1052"/>
      <c r="I133" s="1053"/>
      <c r="M133" s="988"/>
      <c r="N133" s="989"/>
    </row>
    <row r="134" spans="1:15" ht="52.8" x14ac:dyDescent="0.25">
      <c r="A134" s="1035"/>
      <c r="B134" s="496"/>
      <c r="C134" s="1548" t="s">
        <v>121</v>
      </c>
      <c r="D134" s="1548"/>
      <c r="E134" s="1548"/>
      <c r="F134" s="1549" t="s">
        <v>122</v>
      </c>
      <c r="G134" s="1548"/>
      <c r="H134" s="1550"/>
      <c r="I134" s="1036" t="s">
        <v>123</v>
      </c>
    </row>
    <row r="135" spans="1:15" ht="30" customHeight="1" thickBot="1" x14ac:dyDescent="0.3">
      <c r="A135" s="473" t="s">
        <v>124</v>
      </c>
      <c r="B135" s="475" t="s">
        <v>125</v>
      </c>
      <c r="C135" s="474" t="s">
        <v>126</v>
      </c>
      <c r="D135" s="474" t="s">
        <v>393</v>
      </c>
      <c r="E135" s="474" t="s">
        <v>394</v>
      </c>
      <c r="F135" s="473" t="s">
        <v>398</v>
      </c>
      <c r="G135" s="474" t="s">
        <v>399</v>
      </c>
      <c r="H135" s="475" t="s">
        <v>400</v>
      </c>
      <c r="I135" s="1037" t="s">
        <v>127</v>
      </c>
    </row>
    <row r="136" spans="1:15" x14ac:dyDescent="0.25">
      <c r="A136" s="1038" t="s">
        <v>1058</v>
      </c>
      <c r="B136" s="497" t="s">
        <v>128</v>
      </c>
      <c r="C136" s="674">
        <f t="shared" ref="C136:I145" si="9">+AVERAGEIFS(D$165:D$524,$B$165:$B$524,$A136,$C$165:$C$524,"&gt;="&amp;startup_year,$C$165:$C$524,"&lt;="&amp;(startup_year+anal_period))</f>
        <v>1092333.3333333333</v>
      </c>
      <c r="D136" s="675">
        <f t="shared" si="9"/>
        <v>1092000</v>
      </c>
      <c r="E136" s="676">
        <f t="shared" si="9"/>
        <v>3983.1111111111113</v>
      </c>
      <c r="F136" s="677">
        <f t="shared" si="9"/>
        <v>5.7637</v>
      </c>
      <c r="G136" s="677">
        <f t="shared" si="9"/>
        <v>0.18463255555555558</v>
      </c>
      <c r="H136" s="677">
        <f t="shared" si="9"/>
        <v>8.6144444444444441E-4</v>
      </c>
      <c r="I136" s="1039">
        <f t="shared" si="9"/>
        <v>11.590077777777779</v>
      </c>
    </row>
    <row r="137" spans="1:15" ht="16.5" customHeight="1" x14ac:dyDescent="0.25">
      <c r="A137" s="1040" t="s">
        <v>280</v>
      </c>
      <c r="B137" s="498" t="s">
        <v>128</v>
      </c>
      <c r="C137" s="678">
        <f t="shared" si="9"/>
        <v>1092333.3333333333</v>
      </c>
      <c r="D137" s="679">
        <f t="shared" si="9"/>
        <v>1092000</v>
      </c>
      <c r="E137" s="680">
        <f t="shared" si="9"/>
        <v>3983.1111111111113</v>
      </c>
      <c r="F137" s="681">
        <f t="shared" si="9"/>
        <v>5.7637</v>
      </c>
      <c r="G137" s="681">
        <f t="shared" si="9"/>
        <v>0.18463255555555558</v>
      </c>
      <c r="H137" s="681">
        <f t="shared" si="9"/>
        <v>8.6144444444444441E-4</v>
      </c>
      <c r="I137" s="1041">
        <f t="shared" si="9"/>
        <v>11.590077777777779</v>
      </c>
    </row>
    <row r="138" spans="1:15" x14ac:dyDescent="0.25">
      <c r="A138" s="1042" t="s">
        <v>1059</v>
      </c>
      <c r="B138" s="1030" t="s">
        <v>128</v>
      </c>
      <c r="C138" s="1031">
        <f t="shared" si="9"/>
        <v>1092333.3333333333</v>
      </c>
      <c r="D138" s="1032">
        <f t="shared" si="9"/>
        <v>1092000</v>
      </c>
      <c r="E138" s="1033">
        <f t="shared" si="9"/>
        <v>3983.1111111111113</v>
      </c>
      <c r="F138" s="1034">
        <f t="shared" si="9"/>
        <v>5.7637</v>
      </c>
      <c r="G138" s="1034">
        <f t="shared" si="9"/>
        <v>0.18463255555555558</v>
      </c>
      <c r="H138" s="1034">
        <f t="shared" si="9"/>
        <v>8.6144444444444441E-4</v>
      </c>
      <c r="I138" s="1043">
        <f t="shared" si="9"/>
        <v>11.590077777777779</v>
      </c>
    </row>
    <row r="139" spans="1:15" x14ac:dyDescent="0.25">
      <c r="A139" s="1040" t="s">
        <v>666</v>
      </c>
      <c r="B139" s="499" t="s">
        <v>128</v>
      </c>
      <c r="C139" s="679">
        <f t="shared" si="9"/>
        <v>1092333.3333333333</v>
      </c>
      <c r="D139" s="679">
        <f t="shared" si="9"/>
        <v>1092000</v>
      </c>
      <c r="E139" s="679">
        <f t="shared" si="9"/>
        <v>3983.1111111111113</v>
      </c>
      <c r="F139" s="682">
        <f t="shared" si="9"/>
        <v>5.7637</v>
      </c>
      <c r="G139" s="681">
        <f t="shared" si="9"/>
        <v>0.18463255555555558</v>
      </c>
      <c r="H139" s="683">
        <f t="shared" si="9"/>
        <v>8.6144444444444441E-4</v>
      </c>
      <c r="I139" s="1041">
        <f t="shared" si="9"/>
        <v>11.590077777777779</v>
      </c>
      <c r="K139" s="1099"/>
      <c r="M139" s="281"/>
    </row>
    <row r="140" spans="1:15" x14ac:dyDescent="0.25">
      <c r="A140" s="1040" t="s">
        <v>667</v>
      </c>
      <c r="B140" s="499" t="s">
        <v>1192</v>
      </c>
      <c r="C140" s="679">
        <f t="shared" si="9"/>
        <v>-1186000</v>
      </c>
      <c r="D140" s="679">
        <f t="shared" si="9"/>
        <v>0</v>
      </c>
      <c r="E140" s="679">
        <f t="shared" si="9"/>
        <v>0</v>
      </c>
      <c r="F140" s="682">
        <f t="shared" si="9"/>
        <v>-85.798888888888868</v>
      </c>
      <c r="G140" s="681">
        <f t="shared" si="9"/>
        <v>0.54695555555555553</v>
      </c>
      <c r="H140" s="683">
        <f t="shared" si="9"/>
        <v>-1.8301999999999997E-3</v>
      </c>
      <c r="I140" s="1041">
        <f t="shared" si="9"/>
        <v>-70.082222222222228</v>
      </c>
      <c r="K140" s="1106"/>
      <c r="M140" s="281"/>
    </row>
    <row r="141" spans="1:15" x14ac:dyDescent="0.25">
      <c r="A141" s="1040" t="s">
        <v>668</v>
      </c>
      <c r="B141" s="499" t="s">
        <v>129</v>
      </c>
      <c r="C141" s="679">
        <f t="shared" si="9"/>
        <v>1787000</v>
      </c>
      <c r="D141" s="679">
        <f t="shared" si="9"/>
        <v>1370111.111111111</v>
      </c>
      <c r="E141" s="679">
        <f t="shared" si="9"/>
        <v>21116.666666666668</v>
      </c>
      <c r="F141" s="682">
        <f t="shared" si="9"/>
        <v>140.12111111111111</v>
      </c>
      <c r="G141" s="681">
        <f t="shared" si="9"/>
        <v>0.2125671111111111</v>
      </c>
      <c r="H141" s="683">
        <f t="shared" si="9"/>
        <v>2.0498222222222226E-3</v>
      </c>
      <c r="I141" s="1041">
        <f t="shared" si="9"/>
        <v>145.54777777777775</v>
      </c>
      <c r="K141" s="1099"/>
      <c r="M141" s="281"/>
    </row>
    <row r="142" spans="1:15" x14ac:dyDescent="0.25">
      <c r="A142" s="1040" t="s">
        <v>683</v>
      </c>
      <c r="B142" s="499" t="s">
        <v>129</v>
      </c>
      <c r="C142" s="679">
        <f t="shared" si="9"/>
        <v>1787000</v>
      </c>
      <c r="D142" s="679">
        <f t="shared" si="9"/>
        <v>1370111.111111111</v>
      </c>
      <c r="E142" s="679">
        <f t="shared" si="9"/>
        <v>21116.666666666668</v>
      </c>
      <c r="F142" s="682">
        <f t="shared" si="9"/>
        <v>140.12111111111111</v>
      </c>
      <c r="G142" s="681">
        <f t="shared" si="9"/>
        <v>0.2125671111111111</v>
      </c>
      <c r="H142" s="683">
        <f t="shared" si="9"/>
        <v>2.0498222222222226E-3</v>
      </c>
      <c r="I142" s="1041">
        <f t="shared" si="9"/>
        <v>145.54777777777775</v>
      </c>
    </row>
    <row r="143" spans="1:15" x14ac:dyDescent="0.25">
      <c r="A143" s="1040" t="s">
        <v>669</v>
      </c>
      <c r="B143" s="499" t="s">
        <v>129</v>
      </c>
      <c r="C143" s="679">
        <f t="shared" si="9"/>
        <v>1787000</v>
      </c>
      <c r="D143" s="679">
        <f t="shared" si="9"/>
        <v>1370111.111111111</v>
      </c>
      <c r="E143" s="679">
        <f t="shared" si="9"/>
        <v>21116.666666666668</v>
      </c>
      <c r="F143" s="682">
        <f t="shared" si="9"/>
        <v>140.12111111111111</v>
      </c>
      <c r="G143" s="681">
        <f t="shared" si="9"/>
        <v>0.2125671111111111</v>
      </c>
      <c r="H143" s="683">
        <f t="shared" si="9"/>
        <v>2.0498222222222226E-3</v>
      </c>
      <c r="I143" s="1041">
        <f t="shared" si="9"/>
        <v>145.54777777777775</v>
      </c>
    </row>
    <row r="144" spans="1:15" x14ac:dyDescent="0.25">
      <c r="A144" s="1040" t="s">
        <v>1060</v>
      </c>
      <c r="B144" s="499" t="s">
        <v>130</v>
      </c>
      <c r="C144" s="679">
        <f t="shared" si="9"/>
        <v>1022000</v>
      </c>
      <c r="D144" s="679">
        <f t="shared" si="9"/>
        <v>1021000</v>
      </c>
      <c r="E144" s="679">
        <f t="shared" si="9"/>
        <v>15525.555555555555</v>
      </c>
      <c r="F144" s="682">
        <f t="shared" si="9"/>
        <v>1.7266111111111111</v>
      </c>
      <c r="G144" s="681">
        <f t="shared" si="9"/>
        <v>0.1409730933333333</v>
      </c>
      <c r="H144" s="683">
        <f t="shared" si="9"/>
        <v>3.3298666666666667E-5</v>
      </c>
      <c r="I144" s="1041">
        <f t="shared" si="9"/>
        <v>5.9858888888888888</v>
      </c>
    </row>
    <row r="145" spans="1:9" x14ac:dyDescent="0.25">
      <c r="A145" s="1040" t="s">
        <v>701</v>
      </c>
      <c r="B145" s="499" t="s">
        <v>130</v>
      </c>
      <c r="C145" s="679">
        <f t="shared" si="9"/>
        <v>1022000</v>
      </c>
      <c r="D145" s="679">
        <f t="shared" si="9"/>
        <v>1021000</v>
      </c>
      <c r="E145" s="679">
        <f t="shared" si="9"/>
        <v>15525.555555555555</v>
      </c>
      <c r="F145" s="682">
        <f t="shared" si="9"/>
        <v>1.7266111111111111</v>
      </c>
      <c r="G145" s="681">
        <f t="shared" si="9"/>
        <v>0.1409730933333333</v>
      </c>
      <c r="H145" s="683">
        <f t="shared" si="9"/>
        <v>3.3298666666666667E-5</v>
      </c>
      <c r="I145" s="1041">
        <f t="shared" si="9"/>
        <v>5.9858888888888888</v>
      </c>
    </row>
    <row r="146" spans="1:9" x14ac:dyDescent="0.25">
      <c r="A146" s="1040" t="s">
        <v>702</v>
      </c>
      <c r="B146" s="499" t="s">
        <v>130</v>
      </c>
      <c r="C146" s="679">
        <f t="shared" ref="C146:I153" si="10">+AVERAGEIFS(D$165:D$524,$B$165:$B$524,$A146,$C$165:$C$524,"&gt;="&amp;startup_year,$C$165:$C$524,"&lt;="&amp;(startup_year+anal_period))</f>
        <v>1022000</v>
      </c>
      <c r="D146" s="679">
        <f t="shared" si="10"/>
        <v>1021000</v>
      </c>
      <c r="E146" s="679">
        <f t="shared" si="10"/>
        <v>15525.555555555555</v>
      </c>
      <c r="F146" s="682">
        <f t="shared" si="10"/>
        <v>1.7266111111111111</v>
      </c>
      <c r="G146" s="681">
        <f t="shared" si="10"/>
        <v>0.1409730933333333</v>
      </c>
      <c r="H146" s="683">
        <f t="shared" si="10"/>
        <v>3.3298666666666667E-5</v>
      </c>
      <c r="I146" s="1041">
        <f t="shared" si="10"/>
        <v>5.9858888888888888</v>
      </c>
    </row>
    <row r="147" spans="1:9" x14ac:dyDescent="0.25">
      <c r="A147" s="1040" t="s">
        <v>891</v>
      </c>
      <c r="B147" s="499" t="s">
        <v>131</v>
      </c>
      <c r="C147" s="679">
        <f t="shared" si="10"/>
        <v>1209444.4444444445</v>
      </c>
      <c r="D147" s="679">
        <f t="shared" si="10"/>
        <v>1202666.6666666667</v>
      </c>
      <c r="E147" s="679">
        <f t="shared" si="10"/>
        <v>1052111.111111111</v>
      </c>
      <c r="F147" s="682">
        <f t="shared" si="10"/>
        <v>18.180666666666667</v>
      </c>
      <c r="G147" s="681">
        <f t="shared" si="10"/>
        <v>0.16397644444444445</v>
      </c>
      <c r="H147" s="683">
        <f t="shared" si="10"/>
        <v>2.936588888888889E-4</v>
      </c>
      <c r="I147" s="1041">
        <f t="shared" si="10"/>
        <v>23.206555555555557</v>
      </c>
    </row>
    <row r="148" spans="1:9" x14ac:dyDescent="0.25">
      <c r="A148" s="1040" t="s">
        <v>889</v>
      </c>
      <c r="B148" s="499" t="s">
        <v>1075</v>
      </c>
      <c r="C148" s="679">
        <f t="shared" si="10"/>
        <v>1592777.7777777778</v>
      </c>
      <c r="D148" s="679">
        <f t="shared" si="10"/>
        <v>700588.88888888888</v>
      </c>
      <c r="E148" s="679">
        <f t="shared" si="10"/>
        <v>286633.33333333331</v>
      </c>
      <c r="F148" s="682">
        <f t="shared" si="10"/>
        <v>38.703111111111113</v>
      </c>
      <c r="G148" s="681">
        <f t="shared" si="10"/>
        <v>0.1123</v>
      </c>
      <c r="H148" s="683">
        <f t="shared" si="10"/>
        <v>2.5603333333333339E-2</v>
      </c>
      <c r="I148" s="1041">
        <f t="shared" si="10"/>
        <v>45.774444444444448</v>
      </c>
    </row>
    <row r="149" spans="1:9" x14ac:dyDescent="0.25">
      <c r="A149" s="1040" t="s">
        <v>892</v>
      </c>
      <c r="B149" s="499" t="s">
        <v>131</v>
      </c>
      <c r="C149" s="679">
        <f t="shared" si="10"/>
        <v>1250222.2222222222</v>
      </c>
      <c r="D149" s="679">
        <f t="shared" si="10"/>
        <v>1242777.7777777778</v>
      </c>
      <c r="E149" s="679">
        <f t="shared" si="10"/>
        <v>1078333.3333333333</v>
      </c>
      <c r="F149" s="682">
        <f t="shared" si="10"/>
        <v>24.072999999999997</v>
      </c>
      <c r="G149" s="681">
        <f t="shared" si="10"/>
        <v>0.16967222222222225</v>
      </c>
      <c r="H149" s="683">
        <f t="shared" si="10"/>
        <v>3.8183666666666668E-4</v>
      </c>
      <c r="I149" s="1041">
        <f t="shared" si="10"/>
        <v>29.393666666666668</v>
      </c>
    </row>
    <row r="150" spans="1:9" x14ac:dyDescent="0.25">
      <c r="A150" s="1040" t="s">
        <v>1054</v>
      </c>
      <c r="B150" s="499" t="s">
        <v>1193</v>
      </c>
      <c r="C150" s="679">
        <f t="shared" si="10"/>
        <v>1190111.111111111</v>
      </c>
      <c r="D150" s="679">
        <f t="shared" si="10"/>
        <v>51895.555555555555</v>
      </c>
      <c r="E150" s="679">
        <f t="shared" si="10"/>
        <v>29306.666666666668</v>
      </c>
      <c r="F150" s="682">
        <f t="shared" si="10"/>
        <v>3.8090555555555556</v>
      </c>
      <c r="G150" s="681">
        <f t="shared" si="10"/>
        <v>8.4619555555555549E-3</v>
      </c>
      <c r="H150" s="683">
        <f t="shared" si="10"/>
        <v>-3.8254046666666669E-3</v>
      </c>
      <c r="I150" s="1041">
        <f t="shared" si="10"/>
        <v>3.0600888888888895</v>
      </c>
    </row>
    <row r="151" spans="1:9" x14ac:dyDescent="0.25">
      <c r="A151" s="1040" t="s">
        <v>800</v>
      </c>
      <c r="B151" s="499" t="s">
        <v>1193</v>
      </c>
      <c r="C151" s="679">
        <f t="shared" si="10"/>
        <v>1190111.111111111</v>
      </c>
      <c r="D151" s="679">
        <f t="shared" si="10"/>
        <v>51895.555555555555</v>
      </c>
      <c r="E151" s="679">
        <f t="shared" si="10"/>
        <v>29306.666666666668</v>
      </c>
      <c r="F151" s="682">
        <f t="shared" si="10"/>
        <v>3.8090555555555556</v>
      </c>
      <c r="G151" s="681">
        <f t="shared" si="10"/>
        <v>8.4619555555555549E-3</v>
      </c>
      <c r="H151" s="683">
        <f t="shared" si="10"/>
        <v>-3.8254046666666669E-3</v>
      </c>
      <c r="I151" s="1041">
        <f t="shared" si="10"/>
        <v>3.0600888888888895</v>
      </c>
    </row>
    <row r="152" spans="1:9" x14ac:dyDescent="0.25">
      <c r="A152" s="1040" t="s">
        <v>806</v>
      </c>
      <c r="B152" s="499" t="s">
        <v>1193</v>
      </c>
      <c r="C152" s="679">
        <f t="shared" si="10"/>
        <v>1190111.111111111</v>
      </c>
      <c r="D152" s="679">
        <f t="shared" si="10"/>
        <v>51895.555555555555</v>
      </c>
      <c r="E152" s="679">
        <f t="shared" si="10"/>
        <v>29306.666666666668</v>
      </c>
      <c r="F152" s="682">
        <f t="shared" si="10"/>
        <v>3.8090555555555556</v>
      </c>
      <c r="G152" s="681">
        <f t="shared" si="10"/>
        <v>8.4619555555555549E-3</v>
      </c>
      <c r="H152" s="683">
        <f t="shared" si="10"/>
        <v>-3.8254046666666669E-3</v>
      </c>
      <c r="I152" s="1041">
        <f t="shared" si="10"/>
        <v>3.0600888888888895</v>
      </c>
    </row>
    <row r="153" spans="1:9" ht="13.8" thickBot="1" x14ac:dyDescent="0.3">
      <c r="A153" s="1044" t="s">
        <v>1061</v>
      </c>
      <c r="B153" s="1045" t="s">
        <v>1194</v>
      </c>
      <c r="C153" s="1046">
        <f t="shared" si="10"/>
        <v>1384111.111111111</v>
      </c>
      <c r="D153" s="1046">
        <f t="shared" si="10"/>
        <v>1383222.2222222222</v>
      </c>
      <c r="E153" s="1046">
        <f t="shared" si="10"/>
        <v>5049.1111111111113</v>
      </c>
      <c r="F153" s="1047">
        <f t="shared" si="10"/>
        <v>78.603844444444448</v>
      </c>
      <c r="G153" s="1048">
        <f t="shared" si="10"/>
        <v>0.27492888888888889</v>
      </c>
      <c r="H153" s="1049">
        <f t="shared" si="10"/>
        <v>2.3310333333333333E-3</v>
      </c>
      <c r="I153" s="1050">
        <f t="shared" si="10"/>
        <v>87.627188888888881</v>
      </c>
    </row>
    <row r="162" spans="2:10" ht="13.8" thickBot="1" x14ac:dyDescent="0.3">
      <c r="B162" s="281" t="s">
        <v>1191</v>
      </c>
    </row>
    <row r="163" spans="2:10" ht="39.6" x14ac:dyDescent="0.25">
      <c r="D163" s="1015" t="s">
        <v>121</v>
      </c>
      <c r="E163" s="1016"/>
      <c r="F163" s="1017"/>
      <c r="G163" s="1015" t="s">
        <v>122</v>
      </c>
      <c r="H163" s="1016"/>
      <c r="I163" s="1016"/>
      <c r="J163" s="1017" t="s">
        <v>123</v>
      </c>
    </row>
    <row r="164" spans="2:10" ht="13.8" thickBot="1" x14ac:dyDescent="0.3">
      <c r="B164" s="1" t="s">
        <v>245</v>
      </c>
      <c r="C164" s="1" t="s">
        <v>1057</v>
      </c>
      <c r="D164" s="1005" t="s">
        <v>126</v>
      </c>
      <c r="E164" s="1" t="s">
        <v>393</v>
      </c>
      <c r="F164" s="1002" t="s">
        <v>394</v>
      </c>
      <c r="G164" s="1005" t="s">
        <v>398</v>
      </c>
      <c r="H164" s="1" t="s">
        <v>399</v>
      </c>
      <c r="I164" s="1" t="s">
        <v>400</v>
      </c>
      <c r="J164" s="1002" t="s">
        <v>127</v>
      </c>
    </row>
    <row r="165" spans="2:10" x14ac:dyDescent="0.25">
      <c r="B165" s="1018" t="s">
        <v>1058</v>
      </c>
      <c r="C165" s="1019">
        <v>2005</v>
      </c>
      <c r="D165" s="1018">
        <v>1094000</v>
      </c>
      <c r="E165" s="1020">
        <v>1094000</v>
      </c>
      <c r="F165" s="1021">
        <v>4252</v>
      </c>
      <c r="G165" s="1018">
        <v>5.9984999999999999</v>
      </c>
      <c r="H165" s="1020">
        <v>0.18232600000000002</v>
      </c>
      <c r="I165" s="1020">
        <v>8.8801999999999994E-5</v>
      </c>
      <c r="J165" s="1021">
        <v>11.536999999999999</v>
      </c>
    </row>
    <row r="166" spans="2:10" x14ac:dyDescent="0.25">
      <c r="B166" s="1022" t="s">
        <v>280</v>
      </c>
      <c r="C166" s="1023">
        <v>2005</v>
      </c>
      <c r="D166" s="1022">
        <v>1094000</v>
      </c>
      <c r="E166" s="1024">
        <v>1094000</v>
      </c>
      <c r="F166" s="1025">
        <v>4252</v>
      </c>
      <c r="G166" s="1022">
        <v>5.9984999999999999</v>
      </c>
      <c r="H166" s="1024">
        <v>0.18232600000000002</v>
      </c>
      <c r="I166" s="1024">
        <v>8.8801999999999994E-5</v>
      </c>
      <c r="J166" s="1025">
        <v>11.536999999999999</v>
      </c>
    </row>
    <row r="167" spans="2:10" x14ac:dyDescent="0.25">
      <c r="B167" s="1022" t="s">
        <v>1059</v>
      </c>
      <c r="C167" s="1023">
        <v>2005</v>
      </c>
      <c r="D167" s="1022">
        <v>1094000</v>
      </c>
      <c r="E167" s="1024">
        <v>1094000</v>
      </c>
      <c r="F167" s="1025">
        <v>4252</v>
      </c>
      <c r="G167" s="1022">
        <v>5.9984999999999999</v>
      </c>
      <c r="H167" s="1024">
        <v>0.18232600000000002</v>
      </c>
      <c r="I167" s="1024">
        <v>8.8801999999999994E-5</v>
      </c>
      <c r="J167" s="1025">
        <v>11.536999999999999</v>
      </c>
    </row>
    <row r="168" spans="2:10" x14ac:dyDescent="0.25">
      <c r="B168" s="1022" t="s">
        <v>666</v>
      </c>
      <c r="C168" s="1023">
        <v>2005</v>
      </c>
      <c r="D168" s="1022">
        <v>1094000</v>
      </c>
      <c r="E168" s="1024">
        <v>1094000</v>
      </c>
      <c r="F168" s="1025">
        <v>4252</v>
      </c>
      <c r="G168" s="1022">
        <v>5.9984999999999999</v>
      </c>
      <c r="H168" s="1024">
        <v>0.18232600000000002</v>
      </c>
      <c r="I168" s="1024">
        <v>8.8801999999999994E-5</v>
      </c>
      <c r="J168" s="1025">
        <v>11.536999999999999</v>
      </c>
    </row>
    <row r="169" spans="2:10" x14ac:dyDescent="0.25">
      <c r="B169" s="1022" t="s">
        <v>667</v>
      </c>
      <c r="C169" s="1023">
        <v>2005</v>
      </c>
      <c r="D169" s="1022">
        <v>-1208000</v>
      </c>
      <c r="E169" s="1024">
        <v>0</v>
      </c>
      <c r="F169" s="1025">
        <v>0</v>
      </c>
      <c r="G169" s="1022">
        <v>-85.789999999999992</v>
      </c>
      <c r="H169" s="1024">
        <v>0.54689999999999994</v>
      </c>
      <c r="I169" s="1024">
        <v>-1.4884E-3</v>
      </c>
      <c r="J169" s="1025">
        <v>-70</v>
      </c>
    </row>
    <row r="170" spans="2:10" x14ac:dyDescent="0.25">
      <c r="B170" s="1022" t="s">
        <v>668</v>
      </c>
      <c r="C170" s="1023">
        <v>2005</v>
      </c>
      <c r="D170" s="1022">
        <v>2475000</v>
      </c>
      <c r="E170" s="1024">
        <v>2129000</v>
      </c>
      <c r="F170" s="1025">
        <v>124000</v>
      </c>
      <c r="G170" s="1022">
        <v>251.83</v>
      </c>
      <c r="H170" s="1024">
        <v>0.31369799999999998</v>
      </c>
      <c r="I170" s="1024">
        <v>3.6604999999999997E-3</v>
      </c>
      <c r="J170" s="1025">
        <v>255.85999999999999</v>
      </c>
    </row>
    <row r="171" spans="2:10" x14ac:dyDescent="0.25">
      <c r="B171" s="1022" t="s">
        <v>683</v>
      </c>
      <c r="C171" s="1023">
        <v>2005</v>
      </c>
      <c r="D171" s="1022">
        <v>2475000</v>
      </c>
      <c r="E171" s="1024">
        <v>2129000</v>
      </c>
      <c r="F171" s="1025">
        <v>124000</v>
      </c>
      <c r="G171" s="1022">
        <v>251.83</v>
      </c>
      <c r="H171" s="1024">
        <v>0.31369799999999998</v>
      </c>
      <c r="I171" s="1024">
        <v>3.6604999999999997E-3</v>
      </c>
      <c r="J171" s="1025">
        <v>255.85999999999999</v>
      </c>
    </row>
    <row r="172" spans="2:10" x14ac:dyDescent="0.25">
      <c r="B172" s="1022" t="s">
        <v>669</v>
      </c>
      <c r="C172" s="1023">
        <v>2005</v>
      </c>
      <c r="D172" s="1022">
        <v>2475000</v>
      </c>
      <c r="E172" s="1024">
        <v>2129000</v>
      </c>
      <c r="F172" s="1025">
        <v>124000</v>
      </c>
      <c r="G172" s="1022">
        <v>251.83</v>
      </c>
      <c r="H172" s="1024">
        <v>0.31369799999999998</v>
      </c>
      <c r="I172" s="1024">
        <v>3.6604999999999997E-3</v>
      </c>
      <c r="J172" s="1025">
        <v>255.85999999999999</v>
      </c>
    </row>
    <row r="173" spans="2:10" x14ac:dyDescent="0.25">
      <c r="B173" s="1022" t="s">
        <v>1060</v>
      </c>
      <c r="C173" s="1023">
        <v>2005</v>
      </c>
      <c r="D173" s="1022">
        <v>1023000</v>
      </c>
      <c r="E173" s="1024">
        <v>1022000</v>
      </c>
      <c r="F173" s="1025">
        <v>15840</v>
      </c>
      <c r="G173" s="1022">
        <v>1.9352</v>
      </c>
      <c r="H173" s="1024">
        <v>0.14136591000000001</v>
      </c>
      <c r="I173" s="1024">
        <v>3.6392E-5</v>
      </c>
      <c r="J173" s="1025">
        <v>6.2023000000000001</v>
      </c>
    </row>
    <row r="174" spans="2:10" x14ac:dyDescent="0.25">
      <c r="B174" s="1022" t="s">
        <v>701</v>
      </c>
      <c r="C174" s="1023">
        <v>2005</v>
      </c>
      <c r="D174" s="1022">
        <v>1023000</v>
      </c>
      <c r="E174" s="1024">
        <v>1022000</v>
      </c>
      <c r="F174" s="1025">
        <v>15840</v>
      </c>
      <c r="G174" s="1022">
        <v>1.9352</v>
      </c>
      <c r="H174" s="1024">
        <v>0.14136591000000001</v>
      </c>
      <c r="I174" s="1024">
        <v>3.6392E-5</v>
      </c>
      <c r="J174" s="1025">
        <v>6.2023000000000001</v>
      </c>
    </row>
    <row r="175" spans="2:10" x14ac:dyDescent="0.25">
      <c r="B175" s="1022" t="s">
        <v>702</v>
      </c>
      <c r="C175" s="1023">
        <v>2005</v>
      </c>
      <c r="D175" s="1022">
        <v>1023000</v>
      </c>
      <c r="E175" s="1024">
        <v>1022000</v>
      </c>
      <c r="F175" s="1025">
        <v>15840</v>
      </c>
      <c r="G175" s="1022">
        <v>1.9352</v>
      </c>
      <c r="H175" s="1024">
        <v>0.14136591000000001</v>
      </c>
      <c r="I175" s="1024">
        <v>3.6392E-5</v>
      </c>
      <c r="J175" s="1025">
        <v>6.2023000000000001</v>
      </c>
    </row>
    <row r="176" spans="2:10" x14ac:dyDescent="0.25">
      <c r="B176" s="1022" t="s">
        <v>891</v>
      </c>
      <c r="C176" s="1023">
        <v>2005</v>
      </c>
      <c r="D176" s="1022">
        <v>1205000</v>
      </c>
      <c r="E176" s="1024">
        <v>1200000</v>
      </c>
      <c r="F176" s="1025">
        <v>1056000</v>
      </c>
      <c r="G176" s="1022">
        <v>18.433</v>
      </c>
      <c r="H176" s="1024">
        <v>0.18217</v>
      </c>
      <c r="I176" s="1024">
        <v>2.0549999999999998E-4</v>
      </c>
      <c r="J176" s="1025">
        <v>23.908999999999999</v>
      </c>
    </row>
    <row r="177" spans="2:10" x14ac:dyDescent="0.25">
      <c r="B177" s="1022" t="s">
        <v>889</v>
      </c>
      <c r="C177" s="1023">
        <v>2005</v>
      </c>
      <c r="D177" s="1022">
        <v>1760000</v>
      </c>
      <c r="E177" s="1024">
        <v>783400</v>
      </c>
      <c r="F177" s="1025">
        <v>307400</v>
      </c>
      <c r="G177" s="1022">
        <v>47.923999999999999</v>
      </c>
      <c r="H177" s="1024">
        <v>0.13161500000000001</v>
      </c>
      <c r="I177" s="1024">
        <v>3.3619999999999997E-2</v>
      </c>
      <c r="J177" s="1025">
        <v>56.43</v>
      </c>
    </row>
    <row r="178" spans="2:10" x14ac:dyDescent="0.25">
      <c r="B178" s="1022" t="s">
        <v>892</v>
      </c>
      <c r="C178" s="1023">
        <v>2005</v>
      </c>
      <c r="D178" s="1022">
        <v>1248000</v>
      </c>
      <c r="E178" s="1024">
        <v>1242000</v>
      </c>
      <c r="F178" s="1025">
        <v>1084000</v>
      </c>
      <c r="G178" s="1022">
        <v>24.465</v>
      </c>
      <c r="H178" s="1024">
        <v>0.18840200000000001</v>
      </c>
      <c r="I178" s="1024">
        <v>2.7361999999999997E-4</v>
      </c>
      <c r="J178" s="1025">
        <v>30.237000000000002</v>
      </c>
    </row>
    <row r="179" spans="2:10" x14ac:dyDescent="0.25">
      <c r="B179" s="1022" t="s">
        <v>1054</v>
      </c>
      <c r="C179" s="1023">
        <v>2005</v>
      </c>
      <c r="D179" s="1022">
        <v>1195000</v>
      </c>
      <c r="E179" s="1024">
        <v>56800</v>
      </c>
      <c r="F179" s="1025">
        <v>32280</v>
      </c>
      <c r="G179" s="1022">
        <v>4.3339999999999996</v>
      </c>
      <c r="H179" s="1024">
        <v>9.434399999999999E-3</v>
      </c>
      <c r="I179" s="1024">
        <v>-3.8369229999999999E-3</v>
      </c>
      <c r="J179" s="1025">
        <v>3.6147</v>
      </c>
    </row>
    <row r="180" spans="2:10" x14ac:dyDescent="0.25">
      <c r="B180" s="1022" t="s">
        <v>800</v>
      </c>
      <c r="C180" s="1023">
        <v>2005</v>
      </c>
      <c r="D180" s="1022">
        <v>1195000</v>
      </c>
      <c r="E180" s="1024">
        <v>56800</v>
      </c>
      <c r="F180" s="1025">
        <v>32280</v>
      </c>
      <c r="G180" s="1022">
        <v>4.3339999999999996</v>
      </c>
      <c r="H180" s="1024">
        <v>9.434399999999999E-3</v>
      </c>
      <c r="I180" s="1024">
        <v>-3.8369229999999999E-3</v>
      </c>
      <c r="J180" s="1025">
        <v>3.6147</v>
      </c>
    </row>
    <row r="181" spans="2:10" x14ac:dyDescent="0.25">
      <c r="B181" s="1022" t="s">
        <v>806</v>
      </c>
      <c r="C181" s="1023">
        <v>2005</v>
      </c>
      <c r="D181" s="1022">
        <v>1195000</v>
      </c>
      <c r="E181" s="1024">
        <v>56800</v>
      </c>
      <c r="F181" s="1025">
        <v>32280</v>
      </c>
      <c r="G181" s="1022">
        <v>4.3339999999999996</v>
      </c>
      <c r="H181" s="1024">
        <v>9.434399999999999E-3</v>
      </c>
      <c r="I181" s="1024">
        <v>-3.8369229999999999E-3</v>
      </c>
      <c r="J181" s="1025">
        <v>3.6147</v>
      </c>
    </row>
    <row r="182" spans="2:10" ht="13.8" thickBot="1" x14ac:dyDescent="0.3">
      <c r="B182" s="1026" t="s">
        <v>1061</v>
      </c>
      <c r="C182" s="1027">
        <v>2005</v>
      </c>
      <c r="D182" s="1026">
        <v>1387000</v>
      </c>
      <c r="E182" s="1028">
        <v>1386000</v>
      </c>
      <c r="F182" s="1029">
        <v>5427</v>
      </c>
      <c r="G182" s="1026">
        <v>78.934799999999996</v>
      </c>
      <c r="H182" s="1028">
        <v>0.27050000000000002</v>
      </c>
      <c r="I182" s="1028">
        <v>1.418723E-3</v>
      </c>
      <c r="J182" s="1029">
        <v>87.571399999999997</v>
      </c>
    </row>
    <row r="183" spans="2:10" x14ac:dyDescent="0.25">
      <c r="B183" s="1018" t="s">
        <v>1058</v>
      </c>
      <c r="C183" s="1019">
        <v>2010</v>
      </c>
      <c r="D183" s="1018">
        <v>1094000</v>
      </c>
      <c r="E183" s="1020">
        <v>1093000</v>
      </c>
      <c r="F183" s="1021">
        <v>4104</v>
      </c>
      <c r="G183" s="1018">
        <v>5.9177</v>
      </c>
      <c r="H183" s="1020">
        <v>0.18431800000000001</v>
      </c>
      <c r="I183" s="1020">
        <v>8.6370000000000001E-4</v>
      </c>
      <c r="J183" s="1021">
        <v>11.7387</v>
      </c>
    </row>
    <row r="184" spans="2:10" x14ac:dyDescent="0.25">
      <c r="B184" s="1022" t="s">
        <v>280</v>
      </c>
      <c r="C184" s="1023">
        <v>2010</v>
      </c>
      <c r="D184" s="1022">
        <v>1094000</v>
      </c>
      <c r="E184" s="1024">
        <v>1093000</v>
      </c>
      <c r="F184" s="1025">
        <v>4104</v>
      </c>
      <c r="G184" s="1022">
        <v>5.9177</v>
      </c>
      <c r="H184" s="1024">
        <v>0.18431800000000001</v>
      </c>
      <c r="I184" s="1024">
        <v>8.6370000000000001E-4</v>
      </c>
      <c r="J184" s="1025">
        <v>11.7387</v>
      </c>
    </row>
    <row r="185" spans="2:10" x14ac:dyDescent="0.25">
      <c r="B185" s="1022" t="s">
        <v>1059</v>
      </c>
      <c r="C185" s="1023">
        <v>2010</v>
      </c>
      <c r="D185" s="1022">
        <v>1094000</v>
      </c>
      <c r="E185" s="1024">
        <v>1093000</v>
      </c>
      <c r="F185" s="1025">
        <v>4104</v>
      </c>
      <c r="G185" s="1022">
        <v>5.9177</v>
      </c>
      <c r="H185" s="1024">
        <v>0.18431800000000001</v>
      </c>
      <c r="I185" s="1024">
        <v>8.6370000000000001E-4</v>
      </c>
      <c r="J185" s="1025">
        <v>11.7387</v>
      </c>
    </row>
    <row r="186" spans="2:10" x14ac:dyDescent="0.25">
      <c r="B186" s="1022" t="s">
        <v>666</v>
      </c>
      <c r="C186" s="1023">
        <v>2010</v>
      </c>
      <c r="D186" s="1022">
        <v>1094000</v>
      </c>
      <c r="E186" s="1024">
        <v>1093000</v>
      </c>
      <c r="F186" s="1025">
        <v>4104</v>
      </c>
      <c r="G186" s="1022">
        <v>5.9177</v>
      </c>
      <c r="H186" s="1024">
        <v>0.18431800000000001</v>
      </c>
      <c r="I186" s="1024">
        <v>8.6370000000000001E-4</v>
      </c>
      <c r="J186" s="1025">
        <v>11.7387</v>
      </c>
    </row>
    <row r="187" spans="2:10" x14ac:dyDescent="0.25">
      <c r="B187" s="1022" t="s">
        <v>667</v>
      </c>
      <c r="C187" s="1023">
        <v>2010</v>
      </c>
      <c r="D187" s="1022">
        <v>-1208000</v>
      </c>
      <c r="E187" s="1024">
        <v>0</v>
      </c>
      <c r="F187" s="1025">
        <v>0</v>
      </c>
      <c r="G187" s="1022">
        <v>-85.789999999999992</v>
      </c>
      <c r="H187" s="1024">
        <v>0.54600000000000004</v>
      </c>
      <c r="I187" s="1024">
        <v>-1.8614999999999999E-3</v>
      </c>
      <c r="J187" s="1025">
        <v>-70.12</v>
      </c>
    </row>
    <row r="188" spans="2:10" x14ac:dyDescent="0.25">
      <c r="B188" s="1022" t="s">
        <v>668</v>
      </c>
      <c r="C188" s="1023">
        <v>2010</v>
      </c>
      <c r="D188" s="1022">
        <v>2254000</v>
      </c>
      <c r="E188" s="1024">
        <v>1938000</v>
      </c>
      <c r="F188" s="1025">
        <v>52730</v>
      </c>
      <c r="G188" s="1022">
        <v>220.67</v>
      </c>
      <c r="H188" s="1024">
        <v>0.288267</v>
      </c>
      <c r="I188" s="1024">
        <v>3.4012000000000001E-3</v>
      </c>
      <c r="J188" s="1025">
        <v>228.91000000000003</v>
      </c>
    </row>
    <row r="189" spans="2:10" x14ac:dyDescent="0.25">
      <c r="B189" s="1022" t="s">
        <v>683</v>
      </c>
      <c r="C189" s="1023">
        <v>2010</v>
      </c>
      <c r="D189" s="1022">
        <v>2254000</v>
      </c>
      <c r="E189" s="1024">
        <v>1938000</v>
      </c>
      <c r="F189" s="1025">
        <v>52730</v>
      </c>
      <c r="G189" s="1022">
        <v>220.67</v>
      </c>
      <c r="H189" s="1024">
        <v>0.288267</v>
      </c>
      <c r="I189" s="1024">
        <v>3.4012000000000001E-3</v>
      </c>
      <c r="J189" s="1025">
        <v>228.91000000000003</v>
      </c>
    </row>
    <row r="190" spans="2:10" x14ac:dyDescent="0.25">
      <c r="B190" s="1022" t="s">
        <v>669</v>
      </c>
      <c r="C190" s="1023">
        <v>2010</v>
      </c>
      <c r="D190" s="1022">
        <v>2254000</v>
      </c>
      <c r="E190" s="1024">
        <v>1938000</v>
      </c>
      <c r="F190" s="1025">
        <v>52730</v>
      </c>
      <c r="G190" s="1022">
        <v>220.67</v>
      </c>
      <c r="H190" s="1024">
        <v>0.288267</v>
      </c>
      <c r="I190" s="1024">
        <v>3.4012000000000001E-3</v>
      </c>
      <c r="J190" s="1025">
        <v>228.91000000000003</v>
      </c>
    </row>
    <row r="191" spans="2:10" x14ac:dyDescent="0.25">
      <c r="B191" s="1022" t="s">
        <v>1060</v>
      </c>
      <c r="C191" s="1023">
        <v>2010</v>
      </c>
      <c r="D191" s="1022">
        <v>1023000</v>
      </c>
      <c r="E191" s="1024">
        <v>1022000</v>
      </c>
      <c r="F191" s="1025">
        <v>15710</v>
      </c>
      <c r="G191" s="1022">
        <v>1.8761000000000001</v>
      </c>
      <c r="H191" s="1024">
        <v>0.14136795000000002</v>
      </c>
      <c r="I191" s="1024">
        <v>3.5802E-5</v>
      </c>
      <c r="J191" s="1025">
        <v>6.1511000000000005</v>
      </c>
    </row>
    <row r="192" spans="2:10" x14ac:dyDescent="0.25">
      <c r="B192" s="1022" t="s">
        <v>701</v>
      </c>
      <c r="C192" s="1023">
        <v>2010</v>
      </c>
      <c r="D192" s="1022">
        <v>1023000</v>
      </c>
      <c r="E192" s="1024">
        <v>1022000</v>
      </c>
      <c r="F192" s="1025">
        <v>15710</v>
      </c>
      <c r="G192" s="1022">
        <v>1.8761000000000001</v>
      </c>
      <c r="H192" s="1024">
        <v>0.14136795000000002</v>
      </c>
      <c r="I192" s="1024">
        <v>3.5802E-5</v>
      </c>
      <c r="J192" s="1025">
        <v>6.1511000000000005</v>
      </c>
    </row>
    <row r="193" spans="2:10" x14ac:dyDescent="0.25">
      <c r="B193" s="1022" t="s">
        <v>702</v>
      </c>
      <c r="C193" s="1023">
        <v>2010</v>
      </c>
      <c r="D193" s="1022">
        <v>1023000</v>
      </c>
      <c r="E193" s="1024">
        <v>1022000</v>
      </c>
      <c r="F193" s="1025">
        <v>15710</v>
      </c>
      <c r="G193" s="1022">
        <v>1.8761000000000001</v>
      </c>
      <c r="H193" s="1024">
        <v>0.14136795000000002</v>
      </c>
      <c r="I193" s="1024">
        <v>3.5802E-5</v>
      </c>
      <c r="J193" s="1025">
        <v>6.1511000000000005</v>
      </c>
    </row>
    <row r="194" spans="2:10" x14ac:dyDescent="0.25">
      <c r="B194" s="1022" t="s">
        <v>891</v>
      </c>
      <c r="C194" s="1023">
        <v>2010</v>
      </c>
      <c r="D194" s="1022">
        <v>1206000</v>
      </c>
      <c r="E194" s="1024">
        <v>1201000</v>
      </c>
      <c r="F194" s="1025">
        <v>1056000</v>
      </c>
      <c r="G194" s="1022">
        <v>18.166999999999998</v>
      </c>
      <c r="H194" s="1024">
        <v>0.18199899999999999</v>
      </c>
      <c r="I194" s="1024">
        <v>2.9639E-4</v>
      </c>
      <c r="J194" s="1025">
        <v>23.741999999999997</v>
      </c>
    </row>
    <row r="195" spans="2:10" x14ac:dyDescent="0.25">
      <c r="B195" s="1022" t="s">
        <v>889</v>
      </c>
      <c r="C195" s="1023">
        <v>2010</v>
      </c>
      <c r="D195" s="1022">
        <v>1687000</v>
      </c>
      <c r="E195" s="1024">
        <v>740000</v>
      </c>
      <c r="F195" s="1025">
        <v>297100</v>
      </c>
      <c r="G195" s="1022">
        <v>42.921999999999997</v>
      </c>
      <c r="H195" s="1024">
        <v>0.12687100000000001</v>
      </c>
      <c r="I195" s="1024">
        <v>2.955E-2</v>
      </c>
      <c r="J195" s="1025">
        <v>50.54</v>
      </c>
    </row>
    <row r="196" spans="2:10" x14ac:dyDescent="0.25">
      <c r="B196" s="1022" t="s">
        <v>892</v>
      </c>
      <c r="C196" s="1023">
        <v>2010</v>
      </c>
      <c r="D196" s="1022">
        <v>1248000</v>
      </c>
      <c r="E196" s="1024">
        <v>1242000</v>
      </c>
      <c r="F196" s="1025">
        <v>1083000</v>
      </c>
      <c r="G196" s="1022">
        <v>24.158999999999999</v>
      </c>
      <c r="H196" s="1024">
        <v>0.18823500000000001</v>
      </c>
      <c r="I196" s="1024">
        <v>3.8572999999999998E-4</v>
      </c>
      <c r="J196" s="1025">
        <v>30.041</v>
      </c>
    </row>
    <row r="197" spans="2:10" x14ac:dyDescent="0.25">
      <c r="B197" s="1022" t="s">
        <v>1054</v>
      </c>
      <c r="C197" s="1023">
        <v>2010</v>
      </c>
      <c r="D197" s="1022">
        <v>1194000</v>
      </c>
      <c r="E197" s="1024">
        <v>56320</v>
      </c>
      <c r="F197" s="1025">
        <v>32080</v>
      </c>
      <c r="G197" s="1022">
        <v>4.2514000000000003</v>
      </c>
      <c r="H197" s="1024">
        <v>9.6048000000000001E-3</v>
      </c>
      <c r="I197" s="1024">
        <v>-3.820487E-3</v>
      </c>
      <c r="J197" s="1025">
        <v>3.5488999999999997</v>
      </c>
    </row>
    <row r="198" spans="2:10" x14ac:dyDescent="0.25">
      <c r="B198" s="1022" t="s">
        <v>800</v>
      </c>
      <c r="C198" s="1023">
        <v>2010</v>
      </c>
      <c r="D198" s="1022">
        <v>1194000</v>
      </c>
      <c r="E198" s="1024">
        <v>56320</v>
      </c>
      <c r="F198" s="1025">
        <v>32080</v>
      </c>
      <c r="G198" s="1022">
        <v>4.2514000000000003</v>
      </c>
      <c r="H198" s="1024">
        <v>9.6048000000000001E-3</v>
      </c>
      <c r="I198" s="1024">
        <v>-3.820487E-3</v>
      </c>
      <c r="J198" s="1025">
        <v>3.5488999999999997</v>
      </c>
    </row>
    <row r="199" spans="2:10" x14ac:dyDescent="0.25">
      <c r="B199" s="1022" t="s">
        <v>806</v>
      </c>
      <c r="C199" s="1023">
        <v>2010</v>
      </c>
      <c r="D199" s="1022">
        <v>1194000</v>
      </c>
      <c r="E199" s="1024">
        <v>56320</v>
      </c>
      <c r="F199" s="1025">
        <v>32080</v>
      </c>
      <c r="G199" s="1022">
        <v>4.2514000000000003</v>
      </c>
      <c r="H199" s="1024">
        <v>9.6048000000000001E-3</v>
      </c>
      <c r="I199" s="1024">
        <v>-3.820487E-3</v>
      </c>
      <c r="J199" s="1025">
        <v>3.5488999999999997</v>
      </c>
    </row>
    <row r="200" spans="2:10" ht="13.8" thickBot="1" x14ac:dyDescent="0.3">
      <c r="B200" s="1026" t="s">
        <v>1061</v>
      </c>
      <c r="C200" s="1027">
        <v>2010</v>
      </c>
      <c r="D200" s="1026">
        <v>1386000</v>
      </c>
      <c r="E200" s="1028">
        <v>1385000</v>
      </c>
      <c r="F200" s="1029">
        <v>5215</v>
      </c>
      <c r="G200" s="1026">
        <v>78.8352</v>
      </c>
      <c r="H200" s="1028">
        <v>0.27453</v>
      </c>
      <c r="I200" s="1028">
        <v>2.3346E-3</v>
      </c>
      <c r="J200" s="1029">
        <v>87.848799999999997</v>
      </c>
    </row>
    <row r="201" spans="2:10" x14ac:dyDescent="0.25">
      <c r="B201" s="1018" t="s">
        <v>1058</v>
      </c>
      <c r="C201" s="1019">
        <v>2015</v>
      </c>
      <c r="D201" s="1018">
        <v>1093000</v>
      </c>
      <c r="E201" s="1020">
        <v>1092000</v>
      </c>
      <c r="F201" s="1021">
        <v>4020</v>
      </c>
      <c r="G201" s="1018">
        <v>5.8287000000000004</v>
      </c>
      <c r="H201" s="1020">
        <v>0.18472100000000002</v>
      </c>
      <c r="I201" s="1020">
        <v>8.6249999999999999E-4</v>
      </c>
      <c r="J201" s="1021">
        <v>11.659600000000001</v>
      </c>
    </row>
    <row r="202" spans="2:10" x14ac:dyDescent="0.25">
      <c r="B202" s="1022" t="s">
        <v>280</v>
      </c>
      <c r="C202" s="1023">
        <v>2015</v>
      </c>
      <c r="D202" s="1022">
        <v>1093000</v>
      </c>
      <c r="E202" s="1024">
        <v>1092000</v>
      </c>
      <c r="F202" s="1025">
        <v>4020</v>
      </c>
      <c r="G202" s="1022">
        <v>5.8287000000000004</v>
      </c>
      <c r="H202" s="1024">
        <v>0.18472100000000002</v>
      </c>
      <c r="I202" s="1024">
        <v>8.6249999999999999E-4</v>
      </c>
      <c r="J202" s="1025">
        <v>11.659600000000001</v>
      </c>
    </row>
    <row r="203" spans="2:10" x14ac:dyDescent="0.25">
      <c r="B203" s="1022" t="s">
        <v>1059</v>
      </c>
      <c r="C203" s="1023">
        <v>2015</v>
      </c>
      <c r="D203" s="1022">
        <v>1093000</v>
      </c>
      <c r="E203" s="1024">
        <v>1092000</v>
      </c>
      <c r="F203" s="1025">
        <v>4020</v>
      </c>
      <c r="G203" s="1022">
        <v>5.8287000000000004</v>
      </c>
      <c r="H203" s="1024">
        <v>0.18472100000000002</v>
      </c>
      <c r="I203" s="1024">
        <v>8.6249999999999999E-4</v>
      </c>
      <c r="J203" s="1025">
        <v>11.659600000000001</v>
      </c>
    </row>
    <row r="204" spans="2:10" x14ac:dyDescent="0.25">
      <c r="B204" s="1022" t="s">
        <v>666</v>
      </c>
      <c r="C204" s="1023">
        <v>2015</v>
      </c>
      <c r="D204" s="1022">
        <v>1093000</v>
      </c>
      <c r="E204" s="1024">
        <v>1092000</v>
      </c>
      <c r="F204" s="1025">
        <v>4020</v>
      </c>
      <c r="G204" s="1022">
        <v>5.8287000000000004</v>
      </c>
      <c r="H204" s="1024">
        <v>0.18472100000000002</v>
      </c>
      <c r="I204" s="1024">
        <v>8.6249999999999999E-4</v>
      </c>
      <c r="J204" s="1025">
        <v>11.659600000000001</v>
      </c>
    </row>
    <row r="205" spans="2:10" x14ac:dyDescent="0.25">
      <c r="B205" s="1022" t="s">
        <v>667</v>
      </c>
      <c r="C205" s="1023">
        <v>2015</v>
      </c>
      <c r="D205" s="1022">
        <v>-1194000</v>
      </c>
      <c r="E205" s="1024">
        <v>0</v>
      </c>
      <c r="F205" s="1025">
        <v>0</v>
      </c>
      <c r="G205" s="1022">
        <v>-85.789999999999992</v>
      </c>
      <c r="H205" s="1024">
        <v>0.54659999999999997</v>
      </c>
      <c r="I205" s="1024">
        <v>-1.8422E-3</v>
      </c>
      <c r="J205" s="1025">
        <v>-70.099999999999994</v>
      </c>
    </row>
    <row r="206" spans="2:10" x14ac:dyDescent="0.25">
      <c r="B206" s="1022" t="s">
        <v>668</v>
      </c>
      <c r="C206" s="1023">
        <v>2015</v>
      </c>
      <c r="D206" s="1022">
        <v>2038000</v>
      </c>
      <c r="E206" s="1024">
        <v>1688000</v>
      </c>
      <c r="F206" s="1025">
        <v>38920</v>
      </c>
      <c r="G206" s="1022">
        <v>180.61</v>
      </c>
      <c r="H206" s="1024">
        <v>0.25748300000000002</v>
      </c>
      <c r="I206" s="1024">
        <v>2.7356999999999998E-3</v>
      </c>
      <c r="J206" s="1025">
        <v>187.32</v>
      </c>
    </row>
    <row r="207" spans="2:10" x14ac:dyDescent="0.25">
      <c r="B207" s="1022" t="s">
        <v>683</v>
      </c>
      <c r="C207" s="1023">
        <v>2015</v>
      </c>
      <c r="D207" s="1022">
        <v>2038000</v>
      </c>
      <c r="E207" s="1024">
        <v>1688000</v>
      </c>
      <c r="F207" s="1025">
        <v>38920</v>
      </c>
      <c r="G207" s="1022">
        <v>180.61</v>
      </c>
      <c r="H207" s="1024">
        <v>0.25748300000000002</v>
      </c>
      <c r="I207" s="1024">
        <v>2.7356999999999998E-3</v>
      </c>
      <c r="J207" s="1025">
        <v>187.32</v>
      </c>
    </row>
    <row r="208" spans="2:10" x14ac:dyDescent="0.25">
      <c r="B208" s="1022" t="s">
        <v>669</v>
      </c>
      <c r="C208" s="1023">
        <v>2015</v>
      </c>
      <c r="D208" s="1022">
        <v>2038000</v>
      </c>
      <c r="E208" s="1024">
        <v>1688000</v>
      </c>
      <c r="F208" s="1025">
        <v>38920</v>
      </c>
      <c r="G208" s="1022">
        <v>180.61</v>
      </c>
      <c r="H208" s="1024">
        <v>0.25748300000000002</v>
      </c>
      <c r="I208" s="1024">
        <v>2.7356999999999998E-3</v>
      </c>
      <c r="J208" s="1025">
        <v>187.32</v>
      </c>
    </row>
    <row r="209" spans="2:10" x14ac:dyDescent="0.25">
      <c r="B209" s="1022" t="s">
        <v>1060</v>
      </c>
      <c r="C209" s="1023">
        <v>2015</v>
      </c>
      <c r="D209" s="1022">
        <v>1022000</v>
      </c>
      <c r="E209" s="1024">
        <v>1021000</v>
      </c>
      <c r="F209" s="1025">
        <v>15590</v>
      </c>
      <c r="G209" s="1022">
        <v>1.8048999999999999</v>
      </c>
      <c r="H209" s="1024">
        <v>0.14106285999999998</v>
      </c>
      <c r="I209" s="1024">
        <v>3.4603000000000001E-5</v>
      </c>
      <c r="J209" s="1025">
        <v>6.0683999999999996</v>
      </c>
    </row>
    <row r="210" spans="2:10" x14ac:dyDescent="0.25">
      <c r="B210" s="1022" t="s">
        <v>701</v>
      </c>
      <c r="C210" s="1023">
        <v>2015</v>
      </c>
      <c r="D210" s="1022">
        <v>1022000</v>
      </c>
      <c r="E210" s="1024">
        <v>1021000</v>
      </c>
      <c r="F210" s="1025">
        <v>15590</v>
      </c>
      <c r="G210" s="1022">
        <v>1.8048999999999999</v>
      </c>
      <c r="H210" s="1024">
        <v>0.14106285999999998</v>
      </c>
      <c r="I210" s="1024">
        <v>3.4603000000000001E-5</v>
      </c>
      <c r="J210" s="1025">
        <v>6.0683999999999996</v>
      </c>
    </row>
    <row r="211" spans="2:10" x14ac:dyDescent="0.25">
      <c r="B211" s="1022" t="s">
        <v>702</v>
      </c>
      <c r="C211" s="1023">
        <v>2015</v>
      </c>
      <c r="D211" s="1022">
        <v>1022000</v>
      </c>
      <c r="E211" s="1024">
        <v>1021000</v>
      </c>
      <c r="F211" s="1025">
        <v>15590</v>
      </c>
      <c r="G211" s="1022">
        <v>1.8048999999999999</v>
      </c>
      <c r="H211" s="1024">
        <v>0.14106285999999998</v>
      </c>
      <c r="I211" s="1024">
        <v>3.4603000000000001E-5</v>
      </c>
      <c r="J211" s="1025">
        <v>6.0683999999999996</v>
      </c>
    </row>
    <row r="212" spans="2:10" x14ac:dyDescent="0.25">
      <c r="B212" s="1022" t="s">
        <v>891</v>
      </c>
      <c r="C212" s="1023">
        <v>2015</v>
      </c>
      <c r="D212" s="1022">
        <v>1210000</v>
      </c>
      <c r="E212" s="1024">
        <v>1204000</v>
      </c>
      <c r="F212" s="1025">
        <v>1053000</v>
      </c>
      <c r="G212" s="1022">
        <v>18.527999999999999</v>
      </c>
      <c r="H212" s="1024">
        <v>0.16494200000000001</v>
      </c>
      <c r="I212" s="1024">
        <v>2.9771000000000002E-4</v>
      </c>
      <c r="J212" s="1025">
        <v>23.579000000000001</v>
      </c>
    </row>
    <row r="213" spans="2:10" x14ac:dyDescent="0.25">
      <c r="B213" s="1022" t="s">
        <v>889</v>
      </c>
      <c r="C213" s="1023">
        <v>2015</v>
      </c>
      <c r="D213" s="1022">
        <v>1642000</v>
      </c>
      <c r="E213" s="1024">
        <v>724000</v>
      </c>
      <c r="F213" s="1025">
        <v>290600</v>
      </c>
      <c r="G213" s="1022">
        <v>41.042999999999999</v>
      </c>
      <c r="H213" s="1024">
        <v>0.1162</v>
      </c>
      <c r="I213" s="1024">
        <v>2.7609999999999999E-2</v>
      </c>
      <c r="J213" s="1025">
        <v>48.36</v>
      </c>
    </row>
    <row r="214" spans="2:10" x14ac:dyDescent="0.25">
      <c r="B214" s="1022" t="s">
        <v>892</v>
      </c>
      <c r="C214" s="1023">
        <v>2015</v>
      </c>
      <c r="D214" s="1022">
        <v>1252000</v>
      </c>
      <c r="E214" s="1024">
        <v>1245000</v>
      </c>
      <c r="F214" s="1025">
        <v>1081000</v>
      </c>
      <c r="G214" s="1022">
        <v>24.462</v>
      </c>
      <c r="H214" s="1024">
        <v>0.17067199999999999</v>
      </c>
      <c r="I214" s="1024">
        <v>3.8633E-4</v>
      </c>
      <c r="J214" s="1025">
        <v>29.811999999999998</v>
      </c>
    </row>
    <row r="215" spans="2:10" x14ac:dyDescent="0.25">
      <c r="B215" s="1022" t="s">
        <v>1054</v>
      </c>
      <c r="C215" s="1023">
        <v>2015</v>
      </c>
      <c r="D215" s="1022">
        <v>1191000</v>
      </c>
      <c r="E215" s="1024">
        <v>53390</v>
      </c>
      <c r="F215" s="1025">
        <v>29910</v>
      </c>
      <c r="G215" s="1022">
        <v>3.9701</v>
      </c>
      <c r="H215" s="1024">
        <v>8.6864999999999998E-3</v>
      </c>
      <c r="I215" s="1024">
        <v>-3.8232459999999998E-3</v>
      </c>
      <c r="J215" s="1025">
        <v>3.2326999999999999</v>
      </c>
    </row>
    <row r="216" spans="2:10" x14ac:dyDescent="0.25">
      <c r="B216" s="1022" t="s">
        <v>800</v>
      </c>
      <c r="C216" s="1023">
        <v>2015</v>
      </c>
      <c r="D216" s="1022">
        <v>1191000</v>
      </c>
      <c r="E216" s="1024">
        <v>53390</v>
      </c>
      <c r="F216" s="1025">
        <v>29910</v>
      </c>
      <c r="G216" s="1022">
        <v>3.9701</v>
      </c>
      <c r="H216" s="1024">
        <v>8.6864999999999998E-3</v>
      </c>
      <c r="I216" s="1024">
        <v>-3.8232459999999998E-3</v>
      </c>
      <c r="J216" s="1025">
        <v>3.2326999999999999</v>
      </c>
    </row>
    <row r="217" spans="2:10" x14ac:dyDescent="0.25">
      <c r="B217" s="1022" t="s">
        <v>806</v>
      </c>
      <c r="C217" s="1023">
        <v>2015</v>
      </c>
      <c r="D217" s="1022">
        <v>1191000</v>
      </c>
      <c r="E217" s="1024">
        <v>53390</v>
      </c>
      <c r="F217" s="1025">
        <v>29910</v>
      </c>
      <c r="G217" s="1022">
        <v>3.9701</v>
      </c>
      <c r="H217" s="1024">
        <v>8.6864999999999998E-3</v>
      </c>
      <c r="I217" s="1024">
        <v>-3.8232459999999998E-3</v>
      </c>
      <c r="J217" s="1025">
        <v>3.2326999999999999</v>
      </c>
    </row>
    <row r="218" spans="2:10" ht="13.8" thickBot="1" x14ac:dyDescent="0.3">
      <c r="B218" s="1026" t="s">
        <v>1061</v>
      </c>
      <c r="C218" s="1027">
        <v>2015</v>
      </c>
      <c r="D218" s="1026">
        <v>1385000</v>
      </c>
      <c r="E218" s="1028">
        <v>1384000</v>
      </c>
      <c r="F218" s="1029">
        <v>5105</v>
      </c>
      <c r="G218" s="1026">
        <v>78.707400000000007</v>
      </c>
      <c r="H218" s="1028">
        <v>0.27494000000000002</v>
      </c>
      <c r="I218" s="1028">
        <v>2.3330999999999998E-3</v>
      </c>
      <c r="J218" s="1029">
        <v>87.730800000000002</v>
      </c>
    </row>
    <row r="219" spans="2:10" x14ac:dyDescent="0.25">
      <c r="B219" s="1018" t="s">
        <v>1058</v>
      </c>
      <c r="C219" s="1019">
        <v>2020</v>
      </c>
      <c r="D219" s="1018">
        <v>1093000</v>
      </c>
      <c r="E219" s="1020">
        <v>1092000</v>
      </c>
      <c r="F219" s="1021">
        <v>3993</v>
      </c>
      <c r="G219" s="1018">
        <v>5.7995000000000001</v>
      </c>
      <c r="H219" s="1020">
        <v>0.18462100000000001</v>
      </c>
      <c r="I219" s="1020">
        <v>8.6209999999999998E-4</v>
      </c>
      <c r="J219" s="1021">
        <v>11.6227</v>
      </c>
    </row>
    <row r="220" spans="2:10" x14ac:dyDescent="0.25">
      <c r="B220" s="1022" t="s">
        <v>280</v>
      </c>
      <c r="C220" s="1023">
        <v>2020</v>
      </c>
      <c r="D220" s="1022">
        <v>1093000</v>
      </c>
      <c r="E220" s="1024">
        <v>1092000</v>
      </c>
      <c r="F220" s="1025">
        <v>3993</v>
      </c>
      <c r="G220" s="1022">
        <v>5.7995000000000001</v>
      </c>
      <c r="H220" s="1024">
        <v>0.18462100000000001</v>
      </c>
      <c r="I220" s="1024">
        <v>8.6209999999999998E-4</v>
      </c>
      <c r="J220" s="1025">
        <v>11.6227</v>
      </c>
    </row>
    <row r="221" spans="2:10" x14ac:dyDescent="0.25">
      <c r="B221" s="1022" t="s">
        <v>1059</v>
      </c>
      <c r="C221" s="1023">
        <v>2020</v>
      </c>
      <c r="D221" s="1022">
        <v>1093000</v>
      </c>
      <c r="E221" s="1024">
        <v>1092000</v>
      </c>
      <c r="F221" s="1025">
        <v>3993</v>
      </c>
      <c r="G221" s="1022">
        <v>5.7995000000000001</v>
      </c>
      <c r="H221" s="1024">
        <v>0.18462100000000001</v>
      </c>
      <c r="I221" s="1024">
        <v>8.6209999999999998E-4</v>
      </c>
      <c r="J221" s="1025">
        <v>11.6227</v>
      </c>
    </row>
    <row r="222" spans="2:10" x14ac:dyDescent="0.25">
      <c r="B222" s="1022" t="s">
        <v>666</v>
      </c>
      <c r="C222" s="1023">
        <v>2020</v>
      </c>
      <c r="D222" s="1022">
        <v>1093000</v>
      </c>
      <c r="E222" s="1024">
        <v>1092000</v>
      </c>
      <c r="F222" s="1025">
        <v>3993</v>
      </c>
      <c r="G222" s="1022">
        <v>5.7995000000000001</v>
      </c>
      <c r="H222" s="1024">
        <v>0.18462100000000001</v>
      </c>
      <c r="I222" s="1024">
        <v>8.6209999999999998E-4</v>
      </c>
      <c r="J222" s="1025">
        <v>11.6227</v>
      </c>
    </row>
    <row r="223" spans="2:10" x14ac:dyDescent="0.25">
      <c r="B223" s="1022" t="s">
        <v>667</v>
      </c>
      <c r="C223" s="1023">
        <v>2020</v>
      </c>
      <c r="D223" s="1022">
        <v>-1185000</v>
      </c>
      <c r="E223" s="1024">
        <v>0</v>
      </c>
      <c r="F223" s="1025">
        <v>0</v>
      </c>
      <c r="G223" s="1022">
        <v>-85.800000000000011</v>
      </c>
      <c r="H223" s="1024">
        <v>0.54700000000000004</v>
      </c>
      <c r="I223" s="1024">
        <v>-1.8286999999999999E-3</v>
      </c>
      <c r="J223" s="1025">
        <v>-70.08</v>
      </c>
    </row>
    <row r="224" spans="2:10" x14ac:dyDescent="0.25">
      <c r="B224" s="1022" t="s">
        <v>668</v>
      </c>
      <c r="C224" s="1023">
        <v>2020</v>
      </c>
      <c r="D224" s="1022">
        <v>1866000</v>
      </c>
      <c r="E224" s="1024">
        <v>1484000</v>
      </c>
      <c r="F224" s="1025">
        <v>26490</v>
      </c>
      <c r="G224" s="1022">
        <v>161.61000000000001</v>
      </c>
      <c r="H224" s="1024">
        <v>0.22423899999999999</v>
      </c>
      <c r="I224" s="1024">
        <v>2.4153E-3</v>
      </c>
      <c r="J224" s="1025">
        <v>168.06</v>
      </c>
    </row>
    <row r="225" spans="2:10" x14ac:dyDescent="0.25">
      <c r="B225" s="1022" t="s">
        <v>683</v>
      </c>
      <c r="C225" s="1023">
        <v>2020</v>
      </c>
      <c r="D225" s="1022">
        <v>1866000</v>
      </c>
      <c r="E225" s="1024">
        <v>1484000</v>
      </c>
      <c r="F225" s="1025">
        <v>26490</v>
      </c>
      <c r="G225" s="1022">
        <v>161.61000000000001</v>
      </c>
      <c r="H225" s="1024">
        <v>0.22423899999999999</v>
      </c>
      <c r="I225" s="1024">
        <v>2.4153E-3</v>
      </c>
      <c r="J225" s="1025">
        <v>168.06</v>
      </c>
    </row>
    <row r="226" spans="2:10" x14ac:dyDescent="0.25">
      <c r="B226" s="1022" t="s">
        <v>669</v>
      </c>
      <c r="C226" s="1023">
        <v>2020</v>
      </c>
      <c r="D226" s="1022">
        <v>1866000</v>
      </c>
      <c r="E226" s="1024">
        <v>1484000</v>
      </c>
      <c r="F226" s="1025">
        <v>26490</v>
      </c>
      <c r="G226" s="1022">
        <v>161.61000000000001</v>
      </c>
      <c r="H226" s="1024">
        <v>0.22423899999999999</v>
      </c>
      <c r="I226" s="1024">
        <v>2.4153E-3</v>
      </c>
      <c r="J226" s="1025">
        <v>168.06</v>
      </c>
    </row>
    <row r="227" spans="2:10" x14ac:dyDescent="0.25">
      <c r="B227" s="1022" t="s">
        <v>1060</v>
      </c>
      <c r="C227" s="1023">
        <v>2020</v>
      </c>
      <c r="D227" s="1022">
        <v>1022000</v>
      </c>
      <c r="E227" s="1024">
        <v>1021000</v>
      </c>
      <c r="F227" s="1025">
        <v>15530</v>
      </c>
      <c r="G227" s="1022">
        <v>1.7706</v>
      </c>
      <c r="H227" s="1024">
        <v>0.14096106</v>
      </c>
      <c r="I227" s="1024">
        <v>3.4058000000000005E-5</v>
      </c>
      <c r="J227" s="1025">
        <v>6.0322999999999993</v>
      </c>
    </row>
    <row r="228" spans="2:10" x14ac:dyDescent="0.25">
      <c r="B228" s="1022" t="s">
        <v>701</v>
      </c>
      <c r="C228" s="1023">
        <v>2020</v>
      </c>
      <c r="D228" s="1022">
        <v>1022000</v>
      </c>
      <c r="E228" s="1024">
        <v>1021000</v>
      </c>
      <c r="F228" s="1025">
        <v>15530</v>
      </c>
      <c r="G228" s="1022">
        <v>1.7706</v>
      </c>
      <c r="H228" s="1024">
        <v>0.14096106</v>
      </c>
      <c r="I228" s="1024">
        <v>3.4058000000000005E-5</v>
      </c>
      <c r="J228" s="1025">
        <v>6.0322999999999993</v>
      </c>
    </row>
    <row r="229" spans="2:10" x14ac:dyDescent="0.25">
      <c r="B229" s="1022" t="s">
        <v>702</v>
      </c>
      <c r="C229" s="1023">
        <v>2020</v>
      </c>
      <c r="D229" s="1022">
        <v>1022000</v>
      </c>
      <c r="E229" s="1024">
        <v>1021000</v>
      </c>
      <c r="F229" s="1025">
        <v>15530</v>
      </c>
      <c r="G229" s="1022">
        <v>1.7706</v>
      </c>
      <c r="H229" s="1024">
        <v>0.14096106</v>
      </c>
      <c r="I229" s="1024">
        <v>3.4058000000000005E-5</v>
      </c>
      <c r="J229" s="1025">
        <v>6.0322999999999993</v>
      </c>
    </row>
    <row r="230" spans="2:10" x14ac:dyDescent="0.25">
      <c r="B230" s="1022" t="s">
        <v>891</v>
      </c>
      <c r="C230" s="1023">
        <v>2020</v>
      </c>
      <c r="D230" s="1022">
        <v>1211000</v>
      </c>
      <c r="E230" s="1024">
        <v>1205000</v>
      </c>
      <c r="F230" s="1025">
        <v>1052000</v>
      </c>
      <c r="G230" s="1022">
        <v>18.605999999999998</v>
      </c>
      <c r="H230" s="1024">
        <v>0.162991</v>
      </c>
      <c r="I230" s="1024">
        <v>3.0018999999999998E-4</v>
      </c>
      <c r="J230" s="1025">
        <v>23.607999999999997</v>
      </c>
    </row>
    <row r="231" spans="2:10" x14ac:dyDescent="0.25">
      <c r="B231" s="1022" t="s">
        <v>889</v>
      </c>
      <c r="C231" s="1023">
        <v>2020</v>
      </c>
      <c r="D231" s="1022">
        <v>1591000</v>
      </c>
      <c r="E231" s="1024">
        <v>703100</v>
      </c>
      <c r="F231" s="1025">
        <v>286400</v>
      </c>
      <c r="G231" s="1022">
        <v>39.366999999999997</v>
      </c>
      <c r="H231" s="1024">
        <v>0.11210000000000001</v>
      </c>
      <c r="I231" s="1024">
        <v>2.5360000000000001E-2</v>
      </c>
      <c r="J231" s="1025">
        <v>46.16</v>
      </c>
    </row>
    <row r="232" spans="2:10" x14ac:dyDescent="0.25">
      <c r="B232" s="1022" t="s">
        <v>892</v>
      </c>
      <c r="C232" s="1023">
        <v>2020</v>
      </c>
      <c r="D232" s="1022">
        <v>1252000</v>
      </c>
      <c r="E232" s="1024">
        <v>1245000</v>
      </c>
      <c r="F232" s="1025">
        <v>1078000</v>
      </c>
      <c r="G232" s="1022">
        <v>24.533999999999999</v>
      </c>
      <c r="H232" s="1024">
        <v>0.16861900000000002</v>
      </c>
      <c r="I232" s="1024">
        <v>3.8906999999999999E-4</v>
      </c>
      <c r="J232" s="1025">
        <v>29.833999999999996</v>
      </c>
    </row>
    <row r="233" spans="2:10" x14ac:dyDescent="0.25">
      <c r="B233" s="1022" t="s">
        <v>1054</v>
      </c>
      <c r="C233" s="1023">
        <v>2020</v>
      </c>
      <c r="D233" s="1022">
        <v>1190000</v>
      </c>
      <c r="E233" s="1024">
        <v>52190</v>
      </c>
      <c r="F233" s="1025">
        <v>29260</v>
      </c>
      <c r="G233" s="1022">
        <v>3.8701999999999996</v>
      </c>
      <c r="H233" s="1024">
        <v>8.4535000000000009E-3</v>
      </c>
      <c r="I233" s="1024">
        <v>-3.824488E-3</v>
      </c>
      <c r="J233" s="1025">
        <v>3.1251000000000002</v>
      </c>
    </row>
    <row r="234" spans="2:10" x14ac:dyDescent="0.25">
      <c r="B234" s="1022" t="s">
        <v>800</v>
      </c>
      <c r="C234" s="1023">
        <v>2020</v>
      </c>
      <c r="D234" s="1022">
        <v>1190000</v>
      </c>
      <c r="E234" s="1024">
        <v>52190</v>
      </c>
      <c r="F234" s="1025">
        <v>29260</v>
      </c>
      <c r="G234" s="1022">
        <v>3.8701999999999996</v>
      </c>
      <c r="H234" s="1024">
        <v>8.4535000000000009E-3</v>
      </c>
      <c r="I234" s="1024">
        <v>-3.824488E-3</v>
      </c>
      <c r="J234" s="1025">
        <v>3.1251000000000002</v>
      </c>
    </row>
    <row r="235" spans="2:10" x14ac:dyDescent="0.25">
      <c r="B235" s="1022" t="s">
        <v>806</v>
      </c>
      <c r="C235" s="1023">
        <v>2020</v>
      </c>
      <c r="D235" s="1022">
        <v>1190000</v>
      </c>
      <c r="E235" s="1024">
        <v>52190</v>
      </c>
      <c r="F235" s="1025">
        <v>29260</v>
      </c>
      <c r="G235" s="1022">
        <v>3.8701999999999996</v>
      </c>
      <c r="H235" s="1024">
        <v>8.4535000000000009E-3</v>
      </c>
      <c r="I235" s="1024">
        <v>-3.824488E-3</v>
      </c>
      <c r="J235" s="1025">
        <v>3.1251000000000002</v>
      </c>
    </row>
    <row r="236" spans="2:10" ht="13.8" thickBot="1" x14ac:dyDescent="0.3">
      <c r="B236" s="1026" t="s">
        <v>1061</v>
      </c>
      <c r="C236" s="1027">
        <v>2020</v>
      </c>
      <c r="D236" s="1026">
        <v>1384000</v>
      </c>
      <c r="E236" s="1028">
        <v>1384000</v>
      </c>
      <c r="F236" s="1029">
        <v>5066</v>
      </c>
      <c r="G236" s="1026">
        <v>78.656899999999993</v>
      </c>
      <c r="H236" s="1028">
        <v>0.27494000000000002</v>
      </c>
      <c r="I236" s="1028">
        <v>2.3319E-3</v>
      </c>
      <c r="J236" s="1029">
        <v>87.680599999999998</v>
      </c>
    </row>
    <row r="237" spans="2:10" x14ac:dyDescent="0.25">
      <c r="B237" s="1018" t="s">
        <v>1058</v>
      </c>
      <c r="C237" s="1019">
        <v>2025</v>
      </c>
      <c r="D237" s="1018">
        <v>1093000</v>
      </c>
      <c r="E237" s="1020">
        <v>1092000</v>
      </c>
      <c r="F237" s="1021">
        <v>3984</v>
      </c>
      <c r="G237" s="1018">
        <v>5.7702</v>
      </c>
      <c r="H237" s="1020">
        <v>0.18462100000000001</v>
      </c>
      <c r="I237" s="1020">
        <v>8.6159999999999991E-4</v>
      </c>
      <c r="J237" s="1021">
        <v>11.5953</v>
      </c>
    </row>
    <row r="238" spans="2:10" x14ac:dyDescent="0.25">
      <c r="B238" s="1022" t="s">
        <v>280</v>
      </c>
      <c r="C238" s="1023">
        <v>2025</v>
      </c>
      <c r="D238" s="1022">
        <v>1093000</v>
      </c>
      <c r="E238" s="1024">
        <v>1092000</v>
      </c>
      <c r="F238" s="1025">
        <v>3984</v>
      </c>
      <c r="G238" s="1022">
        <v>5.7702</v>
      </c>
      <c r="H238" s="1024">
        <v>0.18462100000000001</v>
      </c>
      <c r="I238" s="1024">
        <v>8.6159999999999991E-4</v>
      </c>
      <c r="J238" s="1025">
        <v>11.5953</v>
      </c>
    </row>
    <row r="239" spans="2:10" x14ac:dyDescent="0.25">
      <c r="B239" s="1022" t="s">
        <v>1059</v>
      </c>
      <c r="C239" s="1023">
        <v>2025</v>
      </c>
      <c r="D239" s="1022">
        <v>1093000</v>
      </c>
      <c r="E239" s="1024">
        <v>1092000</v>
      </c>
      <c r="F239" s="1025">
        <v>3984</v>
      </c>
      <c r="G239" s="1022">
        <v>5.7702</v>
      </c>
      <c r="H239" s="1024">
        <v>0.18462100000000001</v>
      </c>
      <c r="I239" s="1024">
        <v>8.6159999999999991E-4</v>
      </c>
      <c r="J239" s="1025">
        <v>11.5953</v>
      </c>
    </row>
    <row r="240" spans="2:10" x14ac:dyDescent="0.25">
      <c r="B240" s="1022" t="s">
        <v>666</v>
      </c>
      <c r="C240" s="1023">
        <v>2025</v>
      </c>
      <c r="D240" s="1022">
        <v>1093000</v>
      </c>
      <c r="E240" s="1024">
        <v>1092000</v>
      </c>
      <c r="F240" s="1025">
        <v>3984</v>
      </c>
      <c r="G240" s="1022">
        <v>5.7702</v>
      </c>
      <c r="H240" s="1024">
        <v>0.18462100000000001</v>
      </c>
      <c r="I240" s="1024">
        <v>8.6159999999999991E-4</v>
      </c>
      <c r="J240" s="1025">
        <v>11.5953</v>
      </c>
    </row>
    <row r="241" spans="2:10" x14ac:dyDescent="0.25">
      <c r="B241" s="1022" t="s">
        <v>667</v>
      </c>
      <c r="C241" s="1023">
        <v>2025</v>
      </c>
      <c r="D241" s="1022">
        <v>-1185000</v>
      </c>
      <c r="E241" s="1024">
        <v>0</v>
      </c>
      <c r="F241" s="1025">
        <v>0</v>
      </c>
      <c r="G241" s="1022">
        <v>-85.800000000000011</v>
      </c>
      <c r="H241" s="1024">
        <v>0.54700000000000004</v>
      </c>
      <c r="I241" s="1024">
        <v>-1.8286999999999999E-3</v>
      </c>
      <c r="J241" s="1025">
        <v>-70.08</v>
      </c>
    </row>
    <row r="242" spans="2:10" x14ac:dyDescent="0.25">
      <c r="B242" s="1022" t="s">
        <v>668</v>
      </c>
      <c r="C242" s="1023">
        <v>2025</v>
      </c>
      <c r="D242" s="1022">
        <v>1787000</v>
      </c>
      <c r="E242" s="1024">
        <v>1356000</v>
      </c>
      <c r="F242" s="1025">
        <v>23200</v>
      </c>
      <c r="G242" s="1022">
        <v>145.11000000000001</v>
      </c>
      <c r="H242" s="1024">
        <v>0.20658799999999999</v>
      </c>
      <c r="I242" s="1024">
        <v>2.1538999999999998E-3</v>
      </c>
      <c r="J242" s="1025">
        <v>150.89999999999998</v>
      </c>
    </row>
    <row r="243" spans="2:10" x14ac:dyDescent="0.25">
      <c r="B243" s="1022" t="s">
        <v>683</v>
      </c>
      <c r="C243" s="1023">
        <v>2025</v>
      </c>
      <c r="D243" s="1022">
        <v>1787000</v>
      </c>
      <c r="E243" s="1024">
        <v>1356000</v>
      </c>
      <c r="F243" s="1025">
        <v>23200</v>
      </c>
      <c r="G243" s="1022">
        <v>145.11000000000001</v>
      </c>
      <c r="H243" s="1024">
        <v>0.20658799999999999</v>
      </c>
      <c r="I243" s="1024">
        <v>2.1538999999999998E-3</v>
      </c>
      <c r="J243" s="1025">
        <v>150.89999999999998</v>
      </c>
    </row>
    <row r="244" spans="2:10" x14ac:dyDescent="0.25">
      <c r="B244" s="1022" t="s">
        <v>669</v>
      </c>
      <c r="C244" s="1023">
        <v>2025</v>
      </c>
      <c r="D244" s="1022">
        <v>1787000</v>
      </c>
      <c r="E244" s="1024">
        <v>1356000</v>
      </c>
      <c r="F244" s="1025">
        <v>23200</v>
      </c>
      <c r="G244" s="1022">
        <v>145.11000000000001</v>
      </c>
      <c r="H244" s="1024">
        <v>0.20658799999999999</v>
      </c>
      <c r="I244" s="1024">
        <v>2.1538999999999998E-3</v>
      </c>
      <c r="J244" s="1025">
        <v>150.89999999999998</v>
      </c>
    </row>
    <row r="245" spans="2:10" x14ac:dyDescent="0.25">
      <c r="B245" s="1022" t="s">
        <v>1060</v>
      </c>
      <c r="C245" s="1023">
        <v>2025</v>
      </c>
      <c r="D245" s="1022">
        <v>1022000</v>
      </c>
      <c r="E245" s="1024">
        <v>1021000</v>
      </c>
      <c r="F245" s="1025">
        <v>15530</v>
      </c>
      <c r="G245" s="1022">
        <v>1.7374000000000001</v>
      </c>
      <c r="H245" s="1024">
        <v>0.14096106999999999</v>
      </c>
      <c r="I245" s="1024">
        <v>3.3522000000000002E-5</v>
      </c>
      <c r="J245" s="1025">
        <v>5.9969999999999999</v>
      </c>
    </row>
    <row r="246" spans="2:10" x14ac:dyDescent="0.25">
      <c r="B246" s="1022" t="s">
        <v>701</v>
      </c>
      <c r="C246" s="1023">
        <v>2025</v>
      </c>
      <c r="D246" s="1022">
        <v>1022000</v>
      </c>
      <c r="E246" s="1024">
        <v>1021000</v>
      </c>
      <c r="F246" s="1025">
        <v>15530</v>
      </c>
      <c r="G246" s="1022">
        <v>1.7374000000000001</v>
      </c>
      <c r="H246" s="1024">
        <v>0.14096106999999999</v>
      </c>
      <c r="I246" s="1024">
        <v>3.3522000000000002E-5</v>
      </c>
      <c r="J246" s="1025">
        <v>5.9969999999999999</v>
      </c>
    </row>
    <row r="247" spans="2:10" x14ac:dyDescent="0.25">
      <c r="B247" s="1022" t="s">
        <v>702</v>
      </c>
      <c r="C247" s="1023">
        <v>2025</v>
      </c>
      <c r="D247" s="1022">
        <v>1022000</v>
      </c>
      <c r="E247" s="1024">
        <v>1021000</v>
      </c>
      <c r="F247" s="1025">
        <v>15530</v>
      </c>
      <c r="G247" s="1022">
        <v>1.7374000000000001</v>
      </c>
      <c r="H247" s="1024">
        <v>0.14096106999999999</v>
      </c>
      <c r="I247" s="1024">
        <v>3.3522000000000002E-5</v>
      </c>
      <c r="J247" s="1025">
        <v>5.9969999999999999</v>
      </c>
    </row>
    <row r="248" spans="2:10" x14ac:dyDescent="0.25">
      <c r="B248" s="1022" t="s">
        <v>891</v>
      </c>
      <c r="C248" s="1023">
        <v>2025</v>
      </c>
      <c r="D248" s="1022">
        <v>1210000</v>
      </c>
      <c r="E248" s="1024">
        <v>1203000</v>
      </c>
      <c r="F248" s="1025">
        <v>1052000</v>
      </c>
      <c r="G248" s="1022">
        <v>18.323</v>
      </c>
      <c r="H248" s="1024">
        <v>0.16309799999999999</v>
      </c>
      <c r="I248" s="1024">
        <v>2.9605000000000001E-4</v>
      </c>
      <c r="J248" s="1025">
        <v>23.334</v>
      </c>
    </row>
    <row r="249" spans="2:10" x14ac:dyDescent="0.25">
      <c r="B249" s="1022" t="s">
        <v>889</v>
      </c>
      <c r="C249" s="1023">
        <v>2025</v>
      </c>
      <c r="D249" s="1022">
        <v>1588000</v>
      </c>
      <c r="E249" s="1024">
        <v>698600</v>
      </c>
      <c r="F249" s="1025">
        <v>286300</v>
      </c>
      <c r="G249" s="1022">
        <v>38.775999999999996</v>
      </c>
      <c r="H249" s="1024">
        <v>0.1116</v>
      </c>
      <c r="I249" s="1024">
        <v>2.5360000000000001E-2</v>
      </c>
      <c r="J249" s="1025">
        <v>45.71</v>
      </c>
    </row>
    <row r="250" spans="2:10" x14ac:dyDescent="0.25">
      <c r="B250" s="1022" t="s">
        <v>892</v>
      </c>
      <c r="C250" s="1023">
        <v>2025</v>
      </c>
      <c r="D250" s="1022">
        <v>1251000</v>
      </c>
      <c r="E250" s="1024">
        <v>1243000</v>
      </c>
      <c r="F250" s="1025">
        <v>1078000</v>
      </c>
      <c r="G250" s="1022">
        <v>24.223999999999997</v>
      </c>
      <c r="H250" s="1024">
        <v>0.16872600000000001</v>
      </c>
      <c r="I250" s="1024">
        <v>3.8451000000000002E-4</v>
      </c>
      <c r="J250" s="1025">
        <v>29.523000000000003</v>
      </c>
    </row>
    <row r="251" spans="2:10" x14ac:dyDescent="0.25">
      <c r="B251" s="1022" t="s">
        <v>1054</v>
      </c>
      <c r="C251" s="1023">
        <v>2025</v>
      </c>
      <c r="D251" s="1022">
        <v>1190000</v>
      </c>
      <c r="E251" s="1024">
        <v>51790</v>
      </c>
      <c r="F251" s="1025">
        <v>29250</v>
      </c>
      <c r="G251" s="1022">
        <v>3.8201000000000001</v>
      </c>
      <c r="H251" s="1024">
        <v>8.410599999999999E-3</v>
      </c>
      <c r="I251" s="1024">
        <v>-3.8247120000000001E-3</v>
      </c>
      <c r="J251" s="1025">
        <v>3.0718000000000001</v>
      </c>
    </row>
    <row r="252" spans="2:10" x14ac:dyDescent="0.25">
      <c r="B252" s="1022" t="s">
        <v>800</v>
      </c>
      <c r="C252" s="1023">
        <v>2025</v>
      </c>
      <c r="D252" s="1022">
        <v>1190000</v>
      </c>
      <c r="E252" s="1024">
        <v>51790</v>
      </c>
      <c r="F252" s="1025">
        <v>29250</v>
      </c>
      <c r="G252" s="1022">
        <v>3.8201000000000001</v>
      </c>
      <c r="H252" s="1024">
        <v>8.410599999999999E-3</v>
      </c>
      <c r="I252" s="1024">
        <v>-3.8247120000000001E-3</v>
      </c>
      <c r="J252" s="1025">
        <v>3.0718000000000001</v>
      </c>
    </row>
    <row r="253" spans="2:10" x14ac:dyDescent="0.25">
      <c r="B253" s="1022" t="s">
        <v>806</v>
      </c>
      <c r="C253" s="1023">
        <v>2025</v>
      </c>
      <c r="D253" s="1022">
        <v>1190000</v>
      </c>
      <c r="E253" s="1024">
        <v>51790</v>
      </c>
      <c r="F253" s="1025">
        <v>29250</v>
      </c>
      <c r="G253" s="1022">
        <v>3.8201000000000001</v>
      </c>
      <c r="H253" s="1024">
        <v>8.410599999999999E-3</v>
      </c>
      <c r="I253" s="1024">
        <v>-3.8247120000000001E-3</v>
      </c>
      <c r="J253" s="1025">
        <v>3.0718000000000001</v>
      </c>
    </row>
    <row r="254" spans="2:10" ht="13.8" thickBot="1" x14ac:dyDescent="0.3">
      <c r="B254" s="1026" t="s">
        <v>1061</v>
      </c>
      <c r="C254" s="1027">
        <v>2025</v>
      </c>
      <c r="D254" s="1026">
        <v>1384000</v>
      </c>
      <c r="E254" s="1028">
        <v>1383000</v>
      </c>
      <c r="F254" s="1029">
        <v>5053</v>
      </c>
      <c r="G254" s="1026">
        <v>78.616100000000003</v>
      </c>
      <c r="H254" s="1028">
        <v>0.27494000000000002</v>
      </c>
      <c r="I254" s="1028">
        <v>2.3316999999999999E-3</v>
      </c>
      <c r="J254" s="1029">
        <v>87.639700000000005</v>
      </c>
    </row>
    <row r="255" spans="2:10" x14ac:dyDescent="0.25">
      <c r="B255" s="1018" t="s">
        <v>1058</v>
      </c>
      <c r="C255" s="1019">
        <v>2030</v>
      </c>
      <c r="D255" s="1018">
        <v>1092000</v>
      </c>
      <c r="E255" s="1020">
        <v>1092000</v>
      </c>
      <c r="F255" s="1021">
        <v>3981</v>
      </c>
      <c r="G255" s="1018">
        <v>5.7552000000000003</v>
      </c>
      <c r="H255" s="1020">
        <v>0.18462100000000001</v>
      </c>
      <c r="I255" s="1020">
        <v>8.6129999999999996E-4</v>
      </c>
      <c r="J255" s="1021">
        <v>11.5802</v>
      </c>
    </row>
    <row r="256" spans="2:10" x14ac:dyDescent="0.25">
      <c r="B256" s="1022" t="s">
        <v>280</v>
      </c>
      <c r="C256" s="1023">
        <v>2030</v>
      </c>
      <c r="D256" s="1022">
        <v>1092000</v>
      </c>
      <c r="E256" s="1024">
        <v>1092000</v>
      </c>
      <c r="F256" s="1025">
        <v>3981</v>
      </c>
      <c r="G256" s="1022">
        <v>5.7552000000000003</v>
      </c>
      <c r="H256" s="1024">
        <v>0.18462100000000001</v>
      </c>
      <c r="I256" s="1024">
        <v>8.6129999999999996E-4</v>
      </c>
      <c r="J256" s="1025">
        <v>11.5802</v>
      </c>
    </row>
    <row r="257" spans="2:10" x14ac:dyDescent="0.25">
      <c r="B257" s="1022" t="s">
        <v>1059</v>
      </c>
      <c r="C257" s="1023">
        <v>2030</v>
      </c>
      <c r="D257" s="1022">
        <v>1092000</v>
      </c>
      <c r="E257" s="1024">
        <v>1092000</v>
      </c>
      <c r="F257" s="1025">
        <v>3981</v>
      </c>
      <c r="G257" s="1022">
        <v>5.7552000000000003</v>
      </c>
      <c r="H257" s="1024">
        <v>0.18462100000000001</v>
      </c>
      <c r="I257" s="1024">
        <v>8.6129999999999996E-4</v>
      </c>
      <c r="J257" s="1025">
        <v>11.5802</v>
      </c>
    </row>
    <row r="258" spans="2:10" x14ac:dyDescent="0.25">
      <c r="B258" s="1022" t="s">
        <v>666</v>
      </c>
      <c r="C258" s="1023">
        <v>2030</v>
      </c>
      <c r="D258" s="1022">
        <v>1092000</v>
      </c>
      <c r="E258" s="1024">
        <v>1092000</v>
      </c>
      <c r="F258" s="1025">
        <v>3981</v>
      </c>
      <c r="G258" s="1022">
        <v>5.7552000000000003</v>
      </c>
      <c r="H258" s="1024">
        <v>0.18462100000000001</v>
      </c>
      <c r="I258" s="1024">
        <v>8.6129999999999996E-4</v>
      </c>
      <c r="J258" s="1025">
        <v>11.5802</v>
      </c>
    </row>
    <row r="259" spans="2:10" x14ac:dyDescent="0.25">
      <c r="B259" s="1022" t="s">
        <v>667</v>
      </c>
      <c r="C259" s="1023">
        <v>2030</v>
      </c>
      <c r="D259" s="1022">
        <v>-1185000</v>
      </c>
      <c r="E259" s="1024">
        <v>0</v>
      </c>
      <c r="F259" s="1025">
        <v>0</v>
      </c>
      <c r="G259" s="1022">
        <v>-85.800000000000011</v>
      </c>
      <c r="H259" s="1024">
        <v>0.54700000000000004</v>
      </c>
      <c r="I259" s="1024">
        <v>-1.8286999999999999E-3</v>
      </c>
      <c r="J259" s="1025">
        <v>-70.08</v>
      </c>
    </row>
    <row r="260" spans="2:10" x14ac:dyDescent="0.25">
      <c r="B260" s="1022" t="s">
        <v>668</v>
      </c>
      <c r="C260" s="1023">
        <v>2030</v>
      </c>
      <c r="D260" s="1022">
        <v>1749000</v>
      </c>
      <c r="E260" s="1024">
        <v>1310000</v>
      </c>
      <c r="F260" s="1025">
        <v>19790</v>
      </c>
      <c r="G260" s="1022">
        <v>134.88</v>
      </c>
      <c r="H260" s="1024">
        <v>0.20275799999999999</v>
      </c>
      <c r="I260" s="1024">
        <v>1.9713E-3</v>
      </c>
      <c r="J260" s="1025">
        <v>140.09</v>
      </c>
    </row>
    <row r="261" spans="2:10" x14ac:dyDescent="0.25">
      <c r="B261" s="1022" t="s">
        <v>683</v>
      </c>
      <c r="C261" s="1023">
        <v>2030</v>
      </c>
      <c r="D261" s="1022">
        <v>1749000</v>
      </c>
      <c r="E261" s="1024">
        <v>1310000</v>
      </c>
      <c r="F261" s="1025">
        <v>19790</v>
      </c>
      <c r="G261" s="1022">
        <v>134.88</v>
      </c>
      <c r="H261" s="1024">
        <v>0.20275799999999999</v>
      </c>
      <c r="I261" s="1024">
        <v>1.9713E-3</v>
      </c>
      <c r="J261" s="1025">
        <v>140.09</v>
      </c>
    </row>
    <row r="262" spans="2:10" x14ac:dyDescent="0.25">
      <c r="B262" s="1022" t="s">
        <v>669</v>
      </c>
      <c r="C262" s="1023">
        <v>2030</v>
      </c>
      <c r="D262" s="1022">
        <v>1749000</v>
      </c>
      <c r="E262" s="1024">
        <v>1310000</v>
      </c>
      <c r="F262" s="1025">
        <v>19790</v>
      </c>
      <c r="G262" s="1022">
        <v>134.88</v>
      </c>
      <c r="H262" s="1024">
        <v>0.20275799999999999</v>
      </c>
      <c r="I262" s="1024">
        <v>1.9713E-3</v>
      </c>
      <c r="J262" s="1025">
        <v>140.09</v>
      </c>
    </row>
    <row r="263" spans="2:10" x14ac:dyDescent="0.25">
      <c r="B263" s="1022" t="s">
        <v>1060</v>
      </c>
      <c r="C263" s="1023">
        <v>2030</v>
      </c>
      <c r="D263" s="1022">
        <v>1022000</v>
      </c>
      <c r="E263" s="1024">
        <v>1021000</v>
      </c>
      <c r="F263" s="1025">
        <v>15520</v>
      </c>
      <c r="G263" s="1022">
        <v>1.716</v>
      </c>
      <c r="H263" s="1024">
        <v>0.14096175</v>
      </c>
      <c r="I263" s="1024">
        <v>3.3149000000000004E-5</v>
      </c>
      <c r="J263" s="1025">
        <v>5.9754000000000005</v>
      </c>
    </row>
    <row r="264" spans="2:10" x14ac:dyDescent="0.25">
      <c r="B264" s="1022" t="s">
        <v>701</v>
      </c>
      <c r="C264" s="1023">
        <v>2030</v>
      </c>
      <c r="D264" s="1022">
        <v>1022000</v>
      </c>
      <c r="E264" s="1024">
        <v>1021000</v>
      </c>
      <c r="F264" s="1025">
        <v>15520</v>
      </c>
      <c r="G264" s="1022">
        <v>1.716</v>
      </c>
      <c r="H264" s="1024">
        <v>0.14096175</v>
      </c>
      <c r="I264" s="1024">
        <v>3.3149000000000004E-5</v>
      </c>
      <c r="J264" s="1025">
        <v>5.9754000000000005</v>
      </c>
    </row>
    <row r="265" spans="2:10" x14ac:dyDescent="0.25">
      <c r="B265" s="1022" t="s">
        <v>702</v>
      </c>
      <c r="C265" s="1023">
        <v>2030</v>
      </c>
      <c r="D265" s="1022">
        <v>1022000</v>
      </c>
      <c r="E265" s="1024">
        <v>1021000</v>
      </c>
      <c r="F265" s="1025">
        <v>15520</v>
      </c>
      <c r="G265" s="1022">
        <v>1.716</v>
      </c>
      <c r="H265" s="1024">
        <v>0.14096175</v>
      </c>
      <c r="I265" s="1024">
        <v>3.3149000000000004E-5</v>
      </c>
      <c r="J265" s="1025">
        <v>5.9754000000000005</v>
      </c>
    </row>
    <row r="266" spans="2:10" x14ac:dyDescent="0.25">
      <c r="B266" s="1022" t="s">
        <v>891</v>
      </c>
      <c r="C266" s="1023">
        <v>2030</v>
      </c>
      <c r="D266" s="1022">
        <v>1209000</v>
      </c>
      <c r="E266" s="1024">
        <v>1202000</v>
      </c>
      <c r="F266" s="1025">
        <v>1052000</v>
      </c>
      <c r="G266" s="1022">
        <v>18.120999999999999</v>
      </c>
      <c r="H266" s="1024">
        <v>0.16412299999999999</v>
      </c>
      <c r="I266" s="1024">
        <v>2.9339999999999998E-4</v>
      </c>
      <c r="J266" s="1025">
        <v>23.162000000000003</v>
      </c>
    </row>
    <row r="267" spans="2:10" x14ac:dyDescent="0.25">
      <c r="B267" s="1022" t="s">
        <v>889</v>
      </c>
      <c r="C267" s="1023">
        <v>2030</v>
      </c>
      <c r="D267" s="1022">
        <v>1586000</v>
      </c>
      <c r="E267" s="1024">
        <v>697000</v>
      </c>
      <c r="F267" s="1025">
        <v>286200</v>
      </c>
      <c r="G267" s="1022">
        <v>38.404000000000003</v>
      </c>
      <c r="H267" s="1024">
        <v>0.1118</v>
      </c>
      <c r="I267" s="1024">
        <v>2.5350000000000001E-2</v>
      </c>
      <c r="J267" s="1025">
        <v>45.44</v>
      </c>
    </row>
    <row r="268" spans="2:10" x14ac:dyDescent="0.25">
      <c r="B268" s="1022" t="s">
        <v>892</v>
      </c>
      <c r="C268" s="1023">
        <v>2030</v>
      </c>
      <c r="D268" s="1022">
        <v>1250000</v>
      </c>
      <c r="E268" s="1024">
        <v>1242000</v>
      </c>
      <c r="F268" s="1025">
        <v>1078000</v>
      </c>
      <c r="G268" s="1022">
        <v>24.006999999999998</v>
      </c>
      <c r="H268" s="1024">
        <v>0.16975200000000001</v>
      </c>
      <c r="I268" s="1024">
        <v>3.8147000000000002E-4</v>
      </c>
      <c r="J268" s="1025">
        <v>29.335999999999999</v>
      </c>
    </row>
    <row r="269" spans="2:10" x14ac:dyDescent="0.25">
      <c r="B269" s="1022" t="s">
        <v>1054</v>
      </c>
      <c r="C269" s="1023">
        <v>2030</v>
      </c>
      <c r="D269" s="1022">
        <v>1190000</v>
      </c>
      <c r="E269" s="1024">
        <v>51650</v>
      </c>
      <c r="F269" s="1025">
        <v>29230</v>
      </c>
      <c r="G269" s="1022">
        <v>3.7881999999999998</v>
      </c>
      <c r="H269" s="1024">
        <v>8.4297E-3</v>
      </c>
      <c r="I269" s="1024">
        <v>-3.825901E-3</v>
      </c>
      <c r="J269" s="1025">
        <v>3.0377000000000001</v>
      </c>
    </row>
    <row r="270" spans="2:10" x14ac:dyDescent="0.25">
      <c r="B270" s="1022" t="s">
        <v>800</v>
      </c>
      <c r="C270" s="1023">
        <v>2030</v>
      </c>
      <c r="D270" s="1022">
        <v>1190000</v>
      </c>
      <c r="E270" s="1024">
        <v>51650</v>
      </c>
      <c r="F270" s="1025">
        <v>29230</v>
      </c>
      <c r="G270" s="1022">
        <v>3.7881999999999998</v>
      </c>
      <c r="H270" s="1024">
        <v>8.4297E-3</v>
      </c>
      <c r="I270" s="1024">
        <v>-3.825901E-3</v>
      </c>
      <c r="J270" s="1025">
        <v>3.0377000000000001</v>
      </c>
    </row>
    <row r="271" spans="2:10" x14ac:dyDescent="0.25">
      <c r="B271" s="1022" t="s">
        <v>806</v>
      </c>
      <c r="C271" s="1023">
        <v>2030</v>
      </c>
      <c r="D271" s="1022">
        <v>1190000</v>
      </c>
      <c r="E271" s="1024">
        <v>51650</v>
      </c>
      <c r="F271" s="1025">
        <v>29230</v>
      </c>
      <c r="G271" s="1022">
        <v>3.7881999999999998</v>
      </c>
      <c r="H271" s="1024">
        <v>8.4297E-3</v>
      </c>
      <c r="I271" s="1024">
        <v>-3.825901E-3</v>
      </c>
      <c r="J271" s="1025">
        <v>3.0377000000000001</v>
      </c>
    </row>
    <row r="272" spans="2:10" ht="13.8" thickBot="1" x14ac:dyDescent="0.3">
      <c r="B272" s="1026" t="s">
        <v>1061</v>
      </c>
      <c r="C272" s="1027">
        <v>2030</v>
      </c>
      <c r="D272" s="1026">
        <v>1384000</v>
      </c>
      <c r="E272" s="1028">
        <v>1383000</v>
      </c>
      <c r="F272" s="1029">
        <v>5048</v>
      </c>
      <c r="G272" s="1026">
        <v>78.598700000000008</v>
      </c>
      <c r="H272" s="1028">
        <v>0.27484000000000003</v>
      </c>
      <c r="I272" s="1028">
        <v>2.3306000000000004E-3</v>
      </c>
      <c r="J272" s="1029">
        <v>87.622100000000003</v>
      </c>
    </row>
    <row r="273" spans="2:10" x14ac:dyDescent="0.25">
      <c r="B273" s="1018" t="s">
        <v>1058</v>
      </c>
      <c r="C273" s="1019">
        <v>2035</v>
      </c>
      <c r="D273" s="1018">
        <v>1092000</v>
      </c>
      <c r="E273" s="1020">
        <v>1092000</v>
      </c>
      <c r="F273" s="1021">
        <v>3981</v>
      </c>
      <c r="G273" s="1018">
        <v>5.7552000000000003</v>
      </c>
      <c r="H273" s="1020">
        <v>0.18462100000000001</v>
      </c>
      <c r="I273" s="1020">
        <v>8.6129999999999996E-4</v>
      </c>
      <c r="J273" s="1021">
        <v>11.5802</v>
      </c>
    </row>
    <row r="274" spans="2:10" x14ac:dyDescent="0.25">
      <c r="B274" s="1022" t="s">
        <v>280</v>
      </c>
      <c r="C274" s="1023">
        <v>2035</v>
      </c>
      <c r="D274" s="1022">
        <v>1092000</v>
      </c>
      <c r="E274" s="1024">
        <v>1092000</v>
      </c>
      <c r="F274" s="1025">
        <v>3981</v>
      </c>
      <c r="G274" s="1022">
        <v>5.7552000000000003</v>
      </c>
      <c r="H274" s="1024">
        <v>0.18462100000000001</v>
      </c>
      <c r="I274" s="1024">
        <v>8.6129999999999996E-4</v>
      </c>
      <c r="J274" s="1025">
        <v>11.5802</v>
      </c>
    </row>
    <row r="275" spans="2:10" x14ac:dyDescent="0.25">
      <c r="B275" s="1022" t="s">
        <v>1059</v>
      </c>
      <c r="C275" s="1023">
        <v>2035</v>
      </c>
      <c r="D275" s="1022">
        <v>1092000</v>
      </c>
      <c r="E275" s="1024">
        <v>1092000</v>
      </c>
      <c r="F275" s="1025">
        <v>3981</v>
      </c>
      <c r="G275" s="1022">
        <v>5.7552000000000003</v>
      </c>
      <c r="H275" s="1024">
        <v>0.18462100000000001</v>
      </c>
      <c r="I275" s="1024">
        <v>8.6129999999999996E-4</v>
      </c>
      <c r="J275" s="1025">
        <v>11.5802</v>
      </c>
    </row>
    <row r="276" spans="2:10" x14ac:dyDescent="0.25">
      <c r="B276" s="1022" t="s">
        <v>666</v>
      </c>
      <c r="C276" s="1023">
        <v>2035</v>
      </c>
      <c r="D276" s="1022">
        <v>1092000</v>
      </c>
      <c r="E276" s="1024">
        <v>1092000</v>
      </c>
      <c r="F276" s="1025">
        <v>3981</v>
      </c>
      <c r="G276" s="1022">
        <v>5.7552000000000003</v>
      </c>
      <c r="H276" s="1024">
        <v>0.18462100000000001</v>
      </c>
      <c r="I276" s="1024">
        <v>8.6129999999999996E-4</v>
      </c>
      <c r="J276" s="1025">
        <v>11.5802</v>
      </c>
    </row>
    <row r="277" spans="2:10" x14ac:dyDescent="0.25">
      <c r="B277" s="1022" t="s">
        <v>667</v>
      </c>
      <c r="C277" s="1023">
        <v>2035</v>
      </c>
      <c r="D277" s="1022">
        <v>-1185000</v>
      </c>
      <c r="E277" s="1024">
        <v>0</v>
      </c>
      <c r="F277" s="1025">
        <v>0</v>
      </c>
      <c r="G277" s="1022">
        <v>-85.800000000000011</v>
      </c>
      <c r="H277" s="1024">
        <v>0.54700000000000004</v>
      </c>
      <c r="I277" s="1024">
        <v>-1.8286999999999999E-3</v>
      </c>
      <c r="J277" s="1025">
        <v>-70.08</v>
      </c>
    </row>
    <row r="278" spans="2:10" x14ac:dyDescent="0.25">
      <c r="B278" s="1022" t="s">
        <v>668</v>
      </c>
      <c r="C278" s="1023">
        <v>2035</v>
      </c>
      <c r="D278" s="1022">
        <v>1745000</v>
      </c>
      <c r="E278" s="1024">
        <v>1314000</v>
      </c>
      <c r="F278" s="1025">
        <v>18650</v>
      </c>
      <c r="G278" s="1022">
        <v>132.69</v>
      </c>
      <c r="H278" s="1024">
        <v>0.204869</v>
      </c>
      <c r="I278" s="1024">
        <v>1.9257999999999999E-3</v>
      </c>
      <c r="J278" s="1025">
        <v>137.91999999999999</v>
      </c>
    </row>
    <row r="279" spans="2:10" x14ac:dyDescent="0.25">
      <c r="B279" s="1022" t="s">
        <v>683</v>
      </c>
      <c r="C279" s="1023">
        <v>2035</v>
      </c>
      <c r="D279" s="1022">
        <v>1745000</v>
      </c>
      <c r="E279" s="1024">
        <v>1314000</v>
      </c>
      <c r="F279" s="1025">
        <v>18650</v>
      </c>
      <c r="G279" s="1022">
        <v>132.69</v>
      </c>
      <c r="H279" s="1024">
        <v>0.204869</v>
      </c>
      <c r="I279" s="1024">
        <v>1.9257999999999999E-3</v>
      </c>
      <c r="J279" s="1025">
        <v>137.91999999999999</v>
      </c>
    </row>
    <row r="280" spans="2:10" x14ac:dyDescent="0.25">
      <c r="B280" s="1022" t="s">
        <v>669</v>
      </c>
      <c r="C280" s="1023">
        <v>2035</v>
      </c>
      <c r="D280" s="1022">
        <v>1745000</v>
      </c>
      <c r="E280" s="1024">
        <v>1314000</v>
      </c>
      <c r="F280" s="1025">
        <v>18650</v>
      </c>
      <c r="G280" s="1022">
        <v>132.69</v>
      </c>
      <c r="H280" s="1024">
        <v>0.204869</v>
      </c>
      <c r="I280" s="1024">
        <v>1.9257999999999999E-3</v>
      </c>
      <c r="J280" s="1025">
        <v>137.91999999999999</v>
      </c>
    </row>
    <row r="281" spans="2:10" x14ac:dyDescent="0.25">
      <c r="B281" s="1022" t="s">
        <v>1060</v>
      </c>
      <c r="C281" s="1023">
        <v>2035</v>
      </c>
      <c r="D281" s="1022">
        <v>1022000</v>
      </c>
      <c r="E281" s="1024">
        <v>1021000</v>
      </c>
      <c r="F281" s="1025">
        <v>15520</v>
      </c>
      <c r="G281" s="1022">
        <v>1.7124999999999999</v>
      </c>
      <c r="H281" s="1024">
        <v>0.14096197999999999</v>
      </c>
      <c r="I281" s="1024">
        <v>3.3061000000000001E-5</v>
      </c>
      <c r="J281" s="1025">
        <v>5.9708000000000006</v>
      </c>
    </row>
    <row r="282" spans="2:10" x14ac:dyDescent="0.25">
      <c r="B282" s="1022" t="s">
        <v>701</v>
      </c>
      <c r="C282" s="1023">
        <v>2035</v>
      </c>
      <c r="D282" s="1022">
        <v>1022000</v>
      </c>
      <c r="E282" s="1024">
        <v>1021000</v>
      </c>
      <c r="F282" s="1025">
        <v>15520</v>
      </c>
      <c r="G282" s="1022">
        <v>1.7124999999999999</v>
      </c>
      <c r="H282" s="1024">
        <v>0.14096197999999999</v>
      </c>
      <c r="I282" s="1024">
        <v>3.3061000000000001E-5</v>
      </c>
      <c r="J282" s="1025">
        <v>5.9708000000000006</v>
      </c>
    </row>
    <row r="283" spans="2:10" x14ac:dyDescent="0.25">
      <c r="B283" s="1022" t="s">
        <v>702</v>
      </c>
      <c r="C283" s="1023">
        <v>2035</v>
      </c>
      <c r="D283" s="1022">
        <v>1022000</v>
      </c>
      <c r="E283" s="1024">
        <v>1021000</v>
      </c>
      <c r="F283" s="1025">
        <v>15520</v>
      </c>
      <c r="G283" s="1022">
        <v>1.7124999999999999</v>
      </c>
      <c r="H283" s="1024">
        <v>0.14096197999999999</v>
      </c>
      <c r="I283" s="1024">
        <v>3.3061000000000001E-5</v>
      </c>
      <c r="J283" s="1025">
        <v>5.9708000000000006</v>
      </c>
    </row>
    <row r="284" spans="2:10" x14ac:dyDescent="0.25">
      <c r="B284" s="1022" t="s">
        <v>891</v>
      </c>
      <c r="C284" s="1023">
        <v>2035</v>
      </c>
      <c r="D284" s="1022">
        <v>1209000</v>
      </c>
      <c r="E284" s="1024">
        <v>1202000</v>
      </c>
      <c r="F284" s="1025">
        <v>1052000</v>
      </c>
      <c r="G284" s="1022">
        <v>18.088999999999999</v>
      </c>
      <c r="H284" s="1024">
        <v>0.16412499999999999</v>
      </c>
      <c r="I284" s="1024">
        <v>2.9260000000000001E-4</v>
      </c>
      <c r="J284" s="1025">
        <v>23.119</v>
      </c>
    </row>
    <row r="285" spans="2:10" x14ac:dyDescent="0.25">
      <c r="B285" s="1022" t="s">
        <v>889</v>
      </c>
      <c r="C285" s="1023">
        <v>2035</v>
      </c>
      <c r="D285" s="1022">
        <v>1586000</v>
      </c>
      <c r="E285" s="1024">
        <v>697100</v>
      </c>
      <c r="F285" s="1025">
        <v>286100</v>
      </c>
      <c r="G285" s="1022">
        <v>38.326999999999998</v>
      </c>
      <c r="H285" s="1024">
        <v>0.1118</v>
      </c>
      <c r="I285" s="1024">
        <v>2.5350000000000001E-2</v>
      </c>
      <c r="J285" s="1025">
        <v>45.39</v>
      </c>
    </row>
    <row r="286" spans="2:10" x14ac:dyDescent="0.25">
      <c r="B286" s="1022" t="s">
        <v>892</v>
      </c>
      <c r="C286" s="1023">
        <v>2035</v>
      </c>
      <c r="D286" s="1022">
        <v>1250000</v>
      </c>
      <c r="E286" s="1024">
        <v>1242000</v>
      </c>
      <c r="F286" s="1025">
        <v>1078000</v>
      </c>
      <c r="G286" s="1022">
        <v>23.973999999999997</v>
      </c>
      <c r="H286" s="1024">
        <v>0.169854</v>
      </c>
      <c r="I286" s="1024">
        <v>3.8064000000000001E-4</v>
      </c>
      <c r="J286" s="1025">
        <v>29.302</v>
      </c>
    </row>
    <row r="287" spans="2:10" x14ac:dyDescent="0.25">
      <c r="B287" s="1022" t="s">
        <v>1054</v>
      </c>
      <c r="C287" s="1023">
        <v>2035</v>
      </c>
      <c r="D287" s="1022">
        <v>1190000</v>
      </c>
      <c r="E287" s="1024">
        <v>51660</v>
      </c>
      <c r="F287" s="1025">
        <v>29230</v>
      </c>
      <c r="G287" s="1022">
        <v>3.7818000000000001</v>
      </c>
      <c r="H287" s="1024">
        <v>8.4370999999999995E-3</v>
      </c>
      <c r="I287" s="1024">
        <v>-3.8259590000000003E-3</v>
      </c>
      <c r="J287" s="1025">
        <v>3.0312999999999999</v>
      </c>
    </row>
    <row r="288" spans="2:10" x14ac:dyDescent="0.25">
      <c r="B288" s="1022" t="s">
        <v>800</v>
      </c>
      <c r="C288" s="1023">
        <v>2035</v>
      </c>
      <c r="D288" s="1022">
        <v>1190000</v>
      </c>
      <c r="E288" s="1024">
        <v>51660</v>
      </c>
      <c r="F288" s="1025">
        <v>29230</v>
      </c>
      <c r="G288" s="1022">
        <v>3.7818000000000001</v>
      </c>
      <c r="H288" s="1024">
        <v>8.4370999999999995E-3</v>
      </c>
      <c r="I288" s="1024">
        <v>-3.8259590000000003E-3</v>
      </c>
      <c r="J288" s="1025">
        <v>3.0312999999999999</v>
      </c>
    </row>
    <row r="289" spans="2:10" x14ac:dyDescent="0.25">
      <c r="B289" s="1022" t="s">
        <v>806</v>
      </c>
      <c r="C289" s="1023">
        <v>2035</v>
      </c>
      <c r="D289" s="1022">
        <v>1190000</v>
      </c>
      <c r="E289" s="1024">
        <v>51660</v>
      </c>
      <c r="F289" s="1025">
        <v>29230</v>
      </c>
      <c r="G289" s="1022">
        <v>3.7818000000000001</v>
      </c>
      <c r="H289" s="1024">
        <v>8.4370999999999995E-3</v>
      </c>
      <c r="I289" s="1024">
        <v>-3.8259590000000003E-3</v>
      </c>
      <c r="J289" s="1025">
        <v>3.0312999999999999</v>
      </c>
    </row>
    <row r="290" spans="2:10" ht="13.8" thickBot="1" x14ac:dyDescent="0.3">
      <c r="B290" s="1026" t="s">
        <v>1061</v>
      </c>
      <c r="C290" s="1027">
        <v>2035</v>
      </c>
      <c r="D290" s="1026">
        <v>1384000</v>
      </c>
      <c r="E290" s="1028">
        <v>1383000</v>
      </c>
      <c r="F290" s="1029">
        <v>5034</v>
      </c>
      <c r="G290" s="1026">
        <v>78.571100000000001</v>
      </c>
      <c r="H290" s="1028">
        <v>0.27494000000000002</v>
      </c>
      <c r="I290" s="1028">
        <v>2.3304000000000003E-3</v>
      </c>
      <c r="J290" s="1029">
        <v>87.594300000000004</v>
      </c>
    </row>
    <row r="291" spans="2:10" x14ac:dyDescent="0.25">
      <c r="B291" s="1018" t="s">
        <v>1058</v>
      </c>
      <c r="C291" s="1019">
        <v>2040</v>
      </c>
      <c r="D291" s="1018">
        <v>1092000</v>
      </c>
      <c r="E291" s="1020">
        <v>1092000</v>
      </c>
      <c r="F291" s="1021">
        <v>3975</v>
      </c>
      <c r="G291" s="1018">
        <v>5.7453000000000003</v>
      </c>
      <c r="H291" s="1020">
        <v>0.18462200000000001</v>
      </c>
      <c r="I291" s="1020">
        <v>8.6110000000000006E-4</v>
      </c>
      <c r="J291" s="1021">
        <v>11.577199999999999</v>
      </c>
    </row>
    <row r="292" spans="2:10" x14ac:dyDescent="0.25">
      <c r="B292" s="1022" t="s">
        <v>280</v>
      </c>
      <c r="C292" s="1023">
        <v>2040</v>
      </c>
      <c r="D292" s="1022">
        <v>1092000</v>
      </c>
      <c r="E292" s="1024">
        <v>1092000</v>
      </c>
      <c r="F292" s="1025">
        <v>3975</v>
      </c>
      <c r="G292" s="1022">
        <v>5.7453000000000003</v>
      </c>
      <c r="H292" s="1024">
        <v>0.18462200000000001</v>
      </c>
      <c r="I292" s="1024">
        <v>8.6110000000000006E-4</v>
      </c>
      <c r="J292" s="1025">
        <v>11.577199999999999</v>
      </c>
    </row>
    <row r="293" spans="2:10" x14ac:dyDescent="0.25">
      <c r="B293" s="1022" t="s">
        <v>1059</v>
      </c>
      <c r="C293" s="1023">
        <v>2040</v>
      </c>
      <c r="D293" s="1022">
        <v>1092000</v>
      </c>
      <c r="E293" s="1024">
        <v>1092000</v>
      </c>
      <c r="F293" s="1025">
        <v>3975</v>
      </c>
      <c r="G293" s="1022">
        <v>5.7453000000000003</v>
      </c>
      <c r="H293" s="1024">
        <v>0.18462200000000001</v>
      </c>
      <c r="I293" s="1024">
        <v>8.6110000000000006E-4</v>
      </c>
      <c r="J293" s="1025">
        <v>11.577199999999999</v>
      </c>
    </row>
    <row r="294" spans="2:10" x14ac:dyDescent="0.25">
      <c r="B294" s="1022" t="s">
        <v>666</v>
      </c>
      <c r="C294" s="1023">
        <v>2040</v>
      </c>
      <c r="D294" s="1022">
        <v>1092000</v>
      </c>
      <c r="E294" s="1024">
        <v>1092000</v>
      </c>
      <c r="F294" s="1025">
        <v>3975</v>
      </c>
      <c r="G294" s="1022">
        <v>5.7453000000000003</v>
      </c>
      <c r="H294" s="1024">
        <v>0.18462200000000001</v>
      </c>
      <c r="I294" s="1024">
        <v>8.6110000000000006E-4</v>
      </c>
      <c r="J294" s="1025">
        <v>11.577199999999999</v>
      </c>
    </row>
    <row r="295" spans="2:10" x14ac:dyDescent="0.25">
      <c r="B295" s="1022" t="s">
        <v>667</v>
      </c>
      <c r="C295" s="1023">
        <v>2040</v>
      </c>
      <c r="D295" s="1022">
        <v>-1185000</v>
      </c>
      <c r="E295" s="1024">
        <v>0</v>
      </c>
      <c r="F295" s="1025">
        <v>0</v>
      </c>
      <c r="G295" s="1022">
        <v>-85.800000000000011</v>
      </c>
      <c r="H295" s="1024">
        <v>0.54700000000000004</v>
      </c>
      <c r="I295" s="1024">
        <v>-1.8286999999999999E-3</v>
      </c>
      <c r="J295" s="1025">
        <v>-70.08</v>
      </c>
    </row>
    <row r="296" spans="2:10" x14ac:dyDescent="0.25">
      <c r="B296" s="1022" t="s">
        <v>668</v>
      </c>
      <c r="C296" s="1023">
        <v>2040</v>
      </c>
      <c r="D296" s="1022">
        <v>1732000</v>
      </c>
      <c r="E296" s="1024">
        <v>1300000</v>
      </c>
      <c r="F296" s="1025">
        <v>17320</v>
      </c>
      <c r="G296" s="1022">
        <v>129.32</v>
      </c>
      <c r="H296" s="1024">
        <v>0.20383000000000001</v>
      </c>
      <c r="I296" s="1024">
        <v>1.8644999999999998E-3</v>
      </c>
      <c r="J296" s="1025">
        <v>134.37</v>
      </c>
    </row>
    <row r="297" spans="2:10" x14ac:dyDescent="0.25">
      <c r="B297" s="1022" t="s">
        <v>683</v>
      </c>
      <c r="C297" s="1023">
        <v>2040</v>
      </c>
      <c r="D297" s="1022">
        <v>1732000</v>
      </c>
      <c r="E297" s="1024">
        <v>1300000</v>
      </c>
      <c r="F297" s="1025">
        <v>17320</v>
      </c>
      <c r="G297" s="1022">
        <v>129.32</v>
      </c>
      <c r="H297" s="1024">
        <v>0.20383000000000001</v>
      </c>
      <c r="I297" s="1024">
        <v>1.8644999999999998E-3</v>
      </c>
      <c r="J297" s="1025">
        <v>134.37</v>
      </c>
    </row>
    <row r="298" spans="2:10" x14ac:dyDescent="0.25">
      <c r="B298" s="1022" t="s">
        <v>669</v>
      </c>
      <c r="C298" s="1023">
        <v>2040</v>
      </c>
      <c r="D298" s="1022">
        <v>1732000</v>
      </c>
      <c r="E298" s="1024">
        <v>1300000</v>
      </c>
      <c r="F298" s="1025">
        <v>17320</v>
      </c>
      <c r="G298" s="1022">
        <v>129.32</v>
      </c>
      <c r="H298" s="1024">
        <v>0.20383000000000001</v>
      </c>
      <c r="I298" s="1024">
        <v>1.8644999999999998E-3</v>
      </c>
      <c r="J298" s="1025">
        <v>134.37</v>
      </c>
    </row>
    <row r="299" spans="2:10" x14ac:dyDescent="0.25">
      <c r="B299" s="1022" t="s">
        <v>1060</v>
      </c>
      <c r="C299" s="1023">
        <v>2040</v>
      </c>
      <c r="D299" s="1022">
        <v>1022000</v>
      </c>
      <c r="E299" s="1024">
        <v>1021000</v>
      </c>
      <c r="F299" s="1025">
        <v>15510</v>
      </c>
      <c r="G299" s="1022">
        <v>1.7054</v>
      </c>
      <c r="H299" s="1024">
        <v>0.14096210000000001</v>
      </c>
      <c r="I299" s="1024">
        <v>3.2928999999999996E-5</v>
      </c>
      <c r="J299" s="1025">
        <v>5.9637000000000002</v>
      </c>
    </row>
    <row r="300" spans="2:10" x14ac:dyDescent="0.25">
      <c r="B300" s="1022" t="s">
        <v>701</v>
      </c>
      <c r="C300" s="1023">
        <v>2040</v>
      </c>
      <c r="D300" s="1022">
        <v>1022000</v>
      </c>
      <c r="E300" s="1024">
        <v>1021000</v>
      </c>
      <c r="F300" s="1025">
        <v>15510</v>
      </c>
      <c r="G300" s="1022">
        <v>1.7054</v>
      </c>
      <c r="H300" s="1024">
        <v>0.14096210000000001</v>
      </c>
      <c r="I300" s="1024">
        <v>3.2928999999999996E-5</v>
      </c>
      <c r="J300" s="1025">
        <v>5.9637000000000002</v>
      </c>
    </row>
    <row r="301" spans="2:10" x14ac:dyDescent="0.25">
      <c r="B301" s="1022" t="s">
        <v>702</v>
      </c>
      <c r="C301" s="1023">
        <v>2040</v>
      </c>
      <c r="D301" s="1022">
        <v>1022000</v>
      </c>
      <c r="E301" s="1024">
        <v>1021000</v>
      </c>
      <c r="F301" s="1025">
        <v>15510</v>
      </c>
      <c r="G301" s="1022">
        <v>1.7054</v>
      </c>
      <c r="H301" s="1024">
        <v>0.14096210000000001</v>
      </c>
      <c r="I301" s="1024">
        <v>3.2928999999999996E-5</v>
      </c>
      <c r="J301" s="1025">
        <v>5.9637000000000002</v>
      </c>
    </row>
    <row r="302" spans="2:10" x14ac:dyDescent="0.25">
      <c r="B302" s="1022" t="s">
        <v>891</v>
      </c>
      <c r="C302" s="1023">
        <v>2040</v>
      </c>
      <c r="D302" s="1022">
        <v>1209000</v>
      </c>
      <c r="E302" s="1024">
        <v>1202000</v>
      </c>
      <c r="F302" s="1025">
        <v>1052000</v>
      </c>
      <c r="G302" s="1022">
        <v>18.032</v>
      </c>
      <c r="H302" s="1024">
        <v>0.16412599999999999</v>
      </c>
      <c r="I302" s="1024">
        <v>2.9167E-4</v>
      </c>
      <c r="J302" s="1025">
        <v>23.062000000000001</v>
      </c>
    </row>
    <row r="303" spans="2:10" x14ac:dyDescent="0.25">
      <c r="B303" s="1022" t="s">
        <v>889</v>
      </c>
      <c r="C303" s="1023">
        <v>2040</v>
      </c>
      <c r="D303" s="1022">
        <v>1586000</v>
      </c>
      <c r="E303" s="1024">
        <v>696600</v>
      </c>
      <c r="F303" s="1025">
        <v>286100</v>
      </c>
      <c r="G303" s="1022">
        <v>38.200000000000003</v>
      </c>
      <c r="H303" s="1024">
        <v>0.1118</v>
      </c>
      <c r="I303" s="1024">
        <v>2.5350000000000001E-2</v>
      </c>
      <c r="J303" s="1025">
        <v>45.3</v>
      </c>
    </row>
    <row r="304" spans="2:10" x14ac:dyDescent="0.25">
      <c r="B304" s="1022" t="s">
        <v>892</v>
      </c>
      <c r="C304" s="1023">
        <v>2040</v>
      </c>
      <c r="D304" s="1022">
        <v>1250000</v>
      </c>
      <c r="E304" s="1024">
        <v>1242000</v>
      </c>
      <c r="F304" s="1025">
        <v>1078000</v>
      </c>
      <c r="G304" s="1022">
        <v>23.914999999999999</v>
      </c>
      <c r="H304" s="1024">
        <v>0.16985499999999998</v>
      </c>
      <c r="I304" s="1024">
        <v>3.7957999999999997E-4</v>
      </c>
      <c r="J304" s="1025">
        <v>29.232999999999997</v>
      </c>
    </row>
    <row r="305" spans="2:10" x14ac:dyDescent="0.25">
      <c r="B305" s="1022" t="s">
        <v>1054</v>
      </c>
      <c r="C305" s="1023">
        <v>2040</v>
      </c>
      <c r="D305" s="1022">
        <v>1190000</v>
      </c>
      <c r="E305" s="1024">
        <v>51610</v>
      </c>
      <c r="F305" s="1025">
        <v>29220</v>
      </c>
      <c r="G305" s="1022">
        <v>3.7715999999999998</v>
      </c>
      <c r="H305" s="1024">
        <v>8.4332999999999995E-3</v>
      </c>
      <c r="I305" s="1024">
        <v>-3.8260220000000001E-3</v>
      </c>
      <c r="J305" s="1025">
        <v>3.02</v>
      </c>
    </row>
    <row r="306" spans="2:10" x14ac:dyDescent="0.25">
      <c r="B306" s="1022" t="s">
        <v>800</v>
      </c>
      <c r="C306" s="1023">
        <v>2040</v>
      </c>
      <c r="D306" s="1022">
        <v>1190000</v>
      </c>
      <c r="E306" s="1024">
        <v>51610</v>
      </c>
      <c r="F306" s="1025">
        <v>29220</v>
      </c>
      <c r="G306" s="1022">
        <v>3.7715999999999998</v>
      </c>
      <c r="H306" s="1024">
        <v>8.4332999999999995E-3</v>
      </c>
      <c r="I306" s="1024">
        <v>-3.8260220000000001E-3</v>
      </c>
      <c r="J306" s="1025">
        <v>3.02</v>
      </c>
    </row>
    <row r="307" spans="2:10" x14ac:dyDescent="0.25">
      <c r="B307" s="1022" t="s">
        <v>806</v>
      </c>
      <c r="C307" s="1023">
        <v>2040</v>
      </c>
      <c r="D307" s="1022">
        <v>1190000</v>
      </c>
      <c r="E307" s="1024">
        <v>51610</v>
      </c>
      <c r="F307" s="1025">
        <v>29220</v>
      </c>
      <c r="G307" s="1022">
        <v>3.7715999999999998</v>
      </c>
      <c r="H307" s="1024">
        <v>8.4332999999999995E-3</v>
      </c>
      <c r="I307" s="1024">
        <v>-3.8260220000000001E-3</v>
      </c>
      <c r="J307" s="1025">
        <v>3.02</v>
      </c>
    </row>
    <row r="308" spans="2:10" ht="13.8" thickBot="1" x14ac:dyDescent="0.3">
      <c r="B308" s="1026" t="s">
        <v>1061</v>
      </c>
      <c r="C308" s="1027">
        <v>2040</v>
      </c>
      <c r="D308" s="1026">
        <v>1384000</v>
      </c>
      <c r="E308" s="1028">
        <v>1383000</v>
      </c>
      <c r="F308" s="1029">
        <v>5034</v>
      </c>
      <c r="G308" s="1026">
        <v>78.571100000000001</v>
      </c>
      <c r="H308" s="1028">
        <v>0.27494000000000002</v>
      </c>
      <c r="I308" s="1028">
        <v>2.3304000000000003E-3</v>
      </c>
      <c r="J308" s="1029">
        <v>87.594300000000004</v>
      </c>
    </row>
    <row r="309" spans="2:10" x14ac:dyDescent="0.25">
      <c r="B309" s="1018" t="s">
        <v>1058</v>
      </c>
      <c r="C309" s="1019">
        <v>2045</v>
      </c>
      <c r="D309" s="1018">
        <v>1092000</v>
      </c>
      <c r="E309" s="1020">
        <v>1092000</v>
      </c>
      <c r="F309" s="1021">
        <v>3972</v>
      </c>
      <c r="G309" s="1018">
        <v>5.7410000000000005</v>
      </c>
      <c r="H309" s="1020">
        <v>0.18462200000000001</v>
      </c>
      <c r="I309" s="1020">
        <v>8.6110000000000006E-4</v>
      </c>
      <c r="J309" s="1021">
        <v>11.565900000000001</v>
      </c>
    </row>
    <row r="310" spans="2:10" x14ac:dyDescent="0.25">
      <c r="B310" s="1022" t="s">
        <v>280</v>
      </c>
      <c r="C310" s="1023">
        <v>2045</v>
      </c>
      <c r="D310" s="1022">
        <v>1092000</v>
      </c>
      <c r="E310" s="1024">
        <v>1092000</v>
      </c>
      <c r="F310" s="1025">
        <v>3972</v>
      </c>
      <c r="G310" s="1022">
        <v>5.7410000000000005</v>
      </c>
      <c r="H310" s="1024">
        <v>0.18462200000000001</v>
      </c>
      <c r="I310" s="1024">
        <v>8.6110000000000006E-4</v>
      </c>
      <c r="J310" s="1025">
        <v>11.565900000000001</v>
      </c>
    </row>
    <row r="311" spans="2:10" x14ac:dyDescent="0.25">
      <c r="B311" s="1022" t="s">
        <v>1059</v>
      </c>
      <c r="C311" s="1023">
        <v>2045</v>
      </c>
      <c r="D311" s="1022">
        <v>1092000</v>
      </c>
      <c r="E311" s="1024">
        <v>1092000</v>
      </c>
      <c r="F311" s="1025">
        <v>3972</v>
      </c>
      <c r="G311" s="1022">
        <v>5.7410000000000005</v>
      </c>
      <c r="H311" s="1024">
        <v>0.18462200000000001</v>
      </c>
      <c r="I311" s="1024">
        <v>8.6110000000000006E-4</v>
      </c>
      <c r="J311" s="1025">
        <v>11.565900000000001</v>
      </c>
    </row>
    <row r="312" spans="2:10" x14ac:dyDescent="0.25">
      <c r="B312" s="1022" t="s">
        <v>666</v>
      </c>
      <c r="C312" s="1023">
        <v>2045</v>
      </c>
      <c r="D312" s="1022">
        <v>1092000</v>
      </c>
      <c r="E312" s="1024">
        <v>1092000</v>
      </c>
      <c r="F312" s="1025">
        <v>3972</v>
      </c>
      <c r="G312" s="1022">
        <v>5.7410000000000005</v>
      </c>
      <c r="H312" s="1024">
        <v>0.18462200000000001</v>
      </c>
      <c r="I312" s="1024">
        <v>8.6110000000000006E-4</v>
      </c>
      <c r="J312" s="1025">
        <v>11.565900000000001</v>
      </c>
    </row>
    <row r="313" spans="2:10" x14ac:dyDescent="0.25">
      <c r="B313" s="1022" t="s">
        <v>667</v>
      </c>
      <c r="C313" s="1023">
        <v>2045</v>
      </c>
      <c r="D313" s="1022">
        <v>-1185000</v>
      </c>
      <c r="E313" s="1024">
        <v>0</v>
      </c>
      <c r="F313" s="1025">
        <v>0</v>
      </c>
      <c r="G313" s="1022">
        <v>-85.800000000000011</v>
      </c>
      <c r="H313" s="1024">
        <v>0.54700000000000004</v>
      </c>
      <c r="I313" s="1024">
        <v>-1.8286999999999999E-3</v>
      </c>
      <c r="J313" s="1025">
        <v>-70.08</v>
      </c>
    </row>
    <row r="314" spans="2:10" x14ac:dyDescent="0.25">
      <c r="B314" s="1022" t="s">
        <v>668</v>
      </c>
      <c r="C314" s="1023">
        <v>2045</v>
      </c>
      <c r="D314" s="1022">
        <v>1724000</v>
      </c>
      <c r="E314" s="1024">
        <v>1293000</v>
      </c>
      <c r="F314" s="1025">
        <v>15580</v>
      </c>
      <c r="G314" s="1022">
        <v>126.71000000000001</v>
      </c>
      <c r="H314" s="1024">
        <v>0.203795</v>
      </c>
      <c r="I314" s="1024">
        <v>1.8165E-3</v>
      </c>
      <c r="J314" s="1025">
        <v>131.63</v>
      </c>
    </row>
    <row r="315" spans="2:10" x14ac:dyDescent="0.25">
      <c r="B315" s="1022" t="s">
        <v>683</v>
      </c>
      <c r="C315" s="1023">
        <v>2045</v>
      </c>
      <c r="D315" s="1022">
        <v>1724000</v>
      </c>
      <c r="E315" s="1024">
        <v>1293000</v>
      </c>
      <c r="F315" s="1025">
        <v>15580</v>
      </c>
      <c r="G315" s="1022">
        <v>126.71000000000001</v>
      </c>
      <c r="H315" s="1024">
        <v>0.203795</v>
      </c>
      <c r="I315" s="1024">
        <v>1.8165E-3</v>
      </c>
      <c r="J315" s="1025">
        <v>131.63</v>
      </c>
    </row>
    <row r="316" spans="2:10" x14ac:dyDescent="0.25">
      <c r="B316" s="1022" t="s">
        <v>669</v>
      </c>
      <c r="C316" s="1023">
        <v>2045</v>
      </c>
      <c r="D316" s="1022">
        <v>1724000</v>
      </c>
      <c r="E316" s="1024">
        <v>1293000</v>
      </c>
      <c r="F316" s="1025">
        <v>15580</v>
      </c>
      <c r="G316" s="1022">
        <v>126.71000000000001</v>
      </c>
      <c r="H316" s="1024">
        <v>0.203795</v>
      </c>
      <c r="I316" s="1024">
        <v>1.8165E-3</v>
      </c>
      <c r="J316" s="1025">
        <v>131.63</v>
      </c>
    </row>
    <row r="317" spans="2:10" x14ac:dyDescent="0.25">
      <c r="B317" s="1022" t="s">
        <v>1060</v>
      </c>
      <c r="C317" s="1023">
        <v>2045</v>
      </c>
      <c r="D317" s="1022">
        <v>1022000</v>
      </c>
      <c r="E317" s="1024">
        <v>1021000</v>
      </c>
      <c r="F317" s="1025">
        <v>15510</v>
      </c>
      <c r="G317" s="1022">
        <v>1.6997</v>
      </c>
      <c r="H317" s="1024">
        <v>0.14096223999999999</v>
      </c>
      <c r="I317" s="1024">
        <v>3.2833999999999998E-5</v>
      </c>
      <c r="J317" s="1025">
        <v>5.9580000000000002</v>
      </c>
    </row>
    <row r="318" spans="2:10" x14ac:dyDescent="0.25">
      <c r="B318" s="1022" t="s">
        <v>701</v>
      </c>
      <c r="C318" s="1023">
        <v>2045</v>
      </c>
      <c r="D318" s="1022">
        <v>1022000</v>
      </c>
      <c r="E318" s="1024">
        <v>1021000</v>
      </c>
      <c r="F318" s="1025">
        <v>15510</v>
      </c>
      <c r="G318" s="1022">
        <v>1.6997</v>
      </c>
      <c r="H318" s="1024">
        <v>0.14096223999999999</v>
      </c>
      <c r="I318" s="1024">
        <v>3.2833999999999998E-5</v>
      </c>
      <c r="J318" s="1025">
        <v>5.9580000000000002</v>
      </c>
    </row>
    <row r="319" spans="2:10" x14ac:dyDescent="0.25">
      <c r="B319" s="1022" t="s">
        <v>702</v>
      </c>
      <c r="C319" s="1023">
        <v>2045</v>
      </c>
      <c r="D319" s="1022">
        <v>1022000</v>
      </c>
      <c r="E319" s="1024">
        <v>1021000</v>
      </c>
      <c r="F319" s="1025">
        <v>15510</v>
      </c>
      <c r="G319" s="1022">
        <v>1.6997</v>
      </c>
      <c r="H319" s="1024">
        <v>0.14096223999999999</v>
      </c>
      <c r="I319" s="1024">
        <v>3.2833999999999998E-5</v>
      </c>
      <c r="J319" s="1025">
        <v>5.9580000000000002</v>
      </c>
    </row>
    <row r="320" spans="2:10" x14ac:dyDescent="0.25">
      <c r="B320" s="1022" t="s">
        <v>891</v>
      </c>
      <c r="C320" s="1023">
        <v>2045</v>
      </c>
      <c r="D320" s="1022">
        <v>1209000</v>
      </c>
      <c r="E320" s="1024">
        <v>1202000</v>
      </c>
      <c r="F320" s="1025">
        <v>1052000</v>
      </c>
      <c r="G320" s="1022">
        <v>17.989000000000001</v>
      </c>
      <c r="H320" s="1024">
        <v>0.164127</v>
      </c>
      <c r="I320" s="1024">
        <v>2.9079000000000003E-4</v>
      </c>
      <c r="J320" s="1025">
        <v>23.018999999999998</v>
      </c>
    </row>
    <row r="321" spans="2:10" x14ac:dyDescent="0.25">
      <c r="B321" s="1022" t="s">
        <v>889</v>
      </c>
      <c r="C321" s="1023">
        <v>2045</v>
      </c>
      <c r="D321" s="1022">
        <v>1586000</v>
      </c>
      <c r="E321" s="1024">
        <v>696300</v>
      </c>
      <c r="F321" s="1025">
        <v>286000</v>
      </c>
      <c r="G321" s="1022">
        <v>38.110999999999997</v>
      </c>
      <c r="H321" s="1024">
        <v>0.1118</v>
      </c>
      <c r="I321" s="1024">
        <v>2.5350000000000001E-2</v>
      </c>
      <c r="J321" s="1025">
        <v>45.23</v>
      </c>
    </row>
    <row r="322" spans="2:10" x14ac:dyDescent="0.25">
      <c r="B322" s="1022" t="s">
        <v>892</v>
      </c>
      <c r="C322" s="1023">
        <v>2045</v>
      </c>
      <c r="D322" s="1022">
        <v>1249000</v>
      </c>
      <c r="E322" s="1024">
        <v>1242000</v>
      </c>
      <c r="F322" s="1025">
        <v>1078000</v>
      </c>
      <c r="G322" s="1022">
        <v>23.861000000000001</v>
      </c>
      <c r="H322" s="1024">
        <v>0.16985599999999998</v>
      </c>
      <c r="I322" s="1024">
        <v>3.7867E-4</v>
      </c>
      <c r="J322" s="1025">
        <v>29.189</v>
      </c>
    </row>
    <row r="323" spans="2:10" x14ac:dyDescent="0.25">
      <c r="B323" s="1022" t="s">
        <v>1054</v>
      </c>
      <c r="C323" s="1023">
        <v>2045</v>
      </c>
      <c r="D323" s="1022">
        <v>1190000</v>
      </c>
      <c r="E323" s="1024">
        <v>51590</v>
      </c>
      <c r="F323" s="1025">
        <v>29220</v>
      </c>
      <c r="G323" s="1022">
        <v>3.7631000000000001</v>
      </c>
      <c r="H323" s="1024">
        <v>8.4335E-3</v>
      </c>
      <c r="I323" s="1024">
        <v>-3.8260760000000003E-3</v>
      </c>
      <c r="J323" s="1025">
        <v>3.0114000000000001</v>
      </c>
    </row>
    <row r="324" spans="2:10" x14ac:dyDescent="0.25">
      <c r="B324" s="1022" t="s">
        <v>800</v>
      </c>
      <c r="C324" s="1023">
        <v>2045</v>
      </c>
      <c r="D324" s="1022">
        <v>1190000</v>
      </c>
      <c r="E324" s="1024">
        <v>51590</v>
      </c>
      <c r="F324" s="1025">
        <v>29220</v>
      </c>
      <c r="G324" s="1022">
        <v>3.7631000000000001</v>
      </c>
      <c r="H324" s="1024">
        <v>8.4335E-3</v>
      </c>
      <c r="I324" s="1024">
        <v>-3.8260760000000003E-3</v>
      </c>
      <c r="J324" s="1025">
        <v>3.0114000000000001</v>
      </c>
    </row>
    <row r="325" spans="2:10" x14ac:dyDescent="0.25">
      <c r="B325" s="1022" t="s">
        <v>806</v>
      </c>
      <c r="C325" s="1023">
        <v>2045</v>
      </c>
      <c r="D325" s="1022">
        <v>1190000</v>
      </c>
      <c r="E325" s="1024">
        <v>51590</v>
      </c>
      <c r="F325" s="1025">
        <v>29220</v>
      </c>
      <c r="G325" s="1022">
        <v>3.7631000000000001</v>
      </c>
      <c r="H325" s="1024">
        <v>8.4335E-3</v>
      </c>
      <c r="I325" s="1024">
        <v>-3.8260760000000003E-3</v>
      </c>
      <c r="J325" s="1025">
        <v>3.0114000000000001</v>
      </c>
    </row>
    <row r="326" spans="2:10" ht="13.8" thickBot="1" x14ac:dyDescent="0.3">
      <c r="B326" s="1026" t="s">
        <v>1061</v>
      </c>
      <c r="C326" s="1027">
        <v>2045</v>
      </c>
      <c r="D326" s="1026">
        <v>1384000</v>
      </c>
      <c r="E326" s="1028">
        <v>1383000</v>
      </c>
      <c r="F326" s="1029">
        <v>5034</v>
      </c>
      <c r="G326" s="1026">
        <v>78.571100000000001</v>
      </c>
      <c r="H326" s="1028">
        <v>0.27494000000000002</v>
      </c>
      <c r="I326" s="1028">
        <v>2.3304000000000003E-3</v>
      </c>
      <c r="J326" s="1029">
        <v>87.594300000000004</v>
      </c>
    </row>
    <row r="327" spans="2:10" x14ac:dyDescent="0.25">
      <c r="B327" s="1018" t="s">
        <v>1058</v>
      </c>
      <c r="C327" s="1019">
        <v>2050</v>
      </c>
      <c r="D327" s="1018">
        <v>1092000</v>
      </c>
      <c r="E327" s="1020">
        <v>1092000</v>
      </c>
      <c r="F327" s="1021">
        <v>3971</v>
      </c>
      <c r="G327" s="1018">
        <v>5.7390999999999996</v>
      </c>
      <c r="H327" s="1020">
        <v>0.18462200000000001</v>
      </c>
      <c r="I327" s="1020">
        <v>8.61E-4</v>
      </c>
      <c r="J327" s="1021">
        <v>11.5648</v>
      </c>
    </row>
    <row r="328" spans="2:10" x14ac:dyDescent="0.25">
      <c r="B328" s="1022" t="s">
        <v>280</v>
      </c>
      <c r="C328" s="1023">
        <v>2050</v>
      </c>
      <c r="D328" s="1022">
        <v>1092000</v>
      </c>
      <c r="E328" s="1024">
        <v>1092000</v>
      </c>
      <c r="F328" s="1025">
        <v>3971</v>
      </c>
      <c r="G328" s="1022">
        <v>5.7390999999999996</v>
      </c>
      <c r="H328" s="1024">
        <v>0.18462200000000001</v>
      </c>
      <c r="I328" s="1024">
        <v>8.61E-4</v>
      </c>
      <c r="J328" s="1025">
        <v>11.5648</v>
      </c>
    </row>
    <row r="329" spans="2:10" x14ac:dyDescent="0.25">
      <c r="B329" s="1022" t="s">
        <v>1059</v>
      </c>
      <c r="C329" s="1023">
        <v>2050</v>
      </c>
      <c r="D329" s="1022">
        <v>1092000</v>
      </c>
      <c r="E329" s="1024">
        <v>1092000</v>
      </c>
      <c r="F329" s="1025">
        <v>3971</v>
      </c>
      <c r="G329" s="1022">
        <v>5.7390999999999996</v>
      </c>
      <c r="H329" s="1024">
        <v>0.18462200000000001</v>
      </c>
      <c r="I329" s="1024">
        <v>8.61E-4</v>
      </c>
      <c r="J329" s="1025">
        <v>11.5648</v>
      </c>
    </row>
    <row r="330" spans="2:10" x14ac:dyDescent="0.25">
      <c r="B330" s="1022" t="s">
        <v>666</v>
      </c>
      <c r="C330" s="1023">
        <v>2050</v>
      </c>
      <c r="D330" s="1022">
        <v>1092000</v>
      </c>
      <c r="E330" s="1024">
        <v>1092000</v>
      </c>
      <c r="F330" s="1025">
        <v>3971</v>
      </c>
      <c r="G330" s="1022">
        <v>5.7390999999999996</v>
      </c>
      <c r="H330" s="1024">
        <v>0.18462200000000001</v>
      </c>
      <c r="I330" s="1024">
        <v>8.61E-4</v>
      </c>
      <c r="J330" s="1025">
        <v>11.5648</v>
      </c>
    </row>
    <row r="331" spans="2:10" x14ac:dyDescent="0.25">
      <c r="B331" s="1022" t="s">
        <v>667</v>
      </c>
      <c r="C331" s="1023">
        <v>2050</v>
      </c>
      <c r="D331" s="1022">
        <v>-1185000</v>
      </c>
      <c r="E331" s="1024">
        <v>0</v>
      </c>
      <c r="F331" s="1025">
        <v>0</v>
      </c>
      <c r="G331" s="1022">
        <v>-85.800000000000011</v>
      </c>
      <c r="H331" s="1024">
        <v>0.54700000000000004</v>
      </c>
      <c r="I331" s="1024">
        <v>-1.8286999999999999E-3</v>
      </c>
      <c r="J331" s="1025">
        <v>-70.08</v>
      </c>
    </row>
    <row r="332" spans="2:10" x14ac:dyDescent="0.25">
      <c r="B332" s="1022" t="s">
        <v>668</v>
      </c>
      <c r="C332" s="1023">
        <v>2050</v>
      </c>
      <c r="D332" s="1022">
        <v>1721000</v>
      </c>
      <c r="E332" s="1024">
        <v>1293000</v>
      </c>
      <c r="F332" s="1025">
        <v>15050</v>
      </c>
      <c r="G332" s="1022">
        <v>125.08</v>
      </c>
      <c r="H332" s="1024">
        <v>0.20477100000000001</v>
      </c>
      <c r="I332" s="1024">
        <v>1.7827000000000001E-3</v>
      </c>
      <c r="J332" s="1025">
        <v>129.82</v>
      </c>
    </row>
    <row r="333" spans="2:10" x14ac:dyDescent="0.25">
      <c r="B333" s="1022" t="s">
        <v>683</v>
      </c>
      <c r="C333" s="1023">
        <v>2050</v>
      </c>
      <c r="D333" s="1022">
        <v>1721000</v>
      </c>
      <c r="E333" s="1024">
        <v>1293000</v>
      </c>
      <c r="F333" s="1025">
        <v>15050</v>
      </c>
      <c r="G333" s="1022">
        <v>125.08</v>
      </c>
      <c r="H333" s="1024">
        <v>0.20477100000000001</v>
      </c>
      <c r="I333" s="1024">
        <v>1.7827000000000001E-3</v>
      </c>
      <c r="J333" s="1025">
        <v>129.82</v>
      </c>
    </row>
    <row r="334" spans="2:10" x14ac:dyDescent="0.25">
      <c r="B334" s="1022" t="s">
        <v>669</v>
      </c>
      <c r="C334" s="1023">
        <v>2050</v>
      </c>
      <c r="D334" s="1022">
        <v>1721000</v>
      </c>
      <c r="E334" s="1024">
        <v>1293000</v>
      </c>
      <c r="F334" s="1025">
        <v>15050</v>
      </c>
      <c r="G334" s="1022">
        <v>125.08</v>
      </c>
      <c r="H334" s="1024">
        <v>0.20477100000000001</v>
      </c>
      <c r="I334" s="1024">
        <v>1.7827000000000001E-3</v>
      </c>
      <c r="J334" s="1025">
        <v>129.82</v>
      </c>
    </row>
    <row r="335" spans="2:10" x14ac:dyDescent="0.25">
      <c r="B335" s="1022" t="s">
        <v>1060</v>
      </c>
      <c r="C335" s="1023">
        <v>2050</v>
      </c>
      <c r="D335" s="1022">
        <v>1022000</v>
      </c>
      <c r="E335" s="1024">
        <v>1021000</v>
      </c>
      <c r="F335" s="1025">
        <v>15510</v>
      </c>
      <c r="G335" s="1022">
        <v>1.6964999999999999</v>
      </c>
      <c r="H335" s="1024">
        <v>0.14096238999999999</v>
      </c>
      <c r="I335" s="1024">
        <v>3.2765999999999998E-5</v>
      </c>
      <c r="J335" s="1025">
        <v>5.9536999999999995</v>
      </c>
    </row>
    <row r="336" spans="2:10" x14ac:dyDescent="0.25">
      <c r="B336" s="1022" t="s">
        <v>701</v>
      </c>
      <c r="C336" s="1023">
        <v>2050</v>
      </c>
      <c r="D336" s="1022">
        <v>1022000</v>
      </c>
      <c r="E336" s="1024">
        <v>1021000</v>
      </c>
      <c r="F336" s="1025">
        <v>15510</v>
      </c>
      <c r="G336" s="1022">
        <v>1.6964999999999999</v>
      </c>
      <c r="H336" s="1024">
        <v>0.14096238999999999</v>
      </c>
      <c r="I336" s="1024">
        <v>3.2765999999999998E-5</v>
      </c>
      <c r="J336" s="1025">
        <v>5.9536999999999995</v>
      </c>
    </row>
    <row r="337" spans="2:10" x14ac:dyDescent="0.25">
      <c r="B337" s="1022" t="s">
        <v>702</v>
      </c>
      <c r="C337" s="1023">
        <v>2050</v>
      </c>
      <c r="D337" s="1022">
        <v>1022000</v>
      </c>
      <c r="E337" s="1024">
        <v>1021000</v>
      </c>
      <c r="F337" s="1025">
        <v>15510</v>
      </c>
      <c r="G337" s="1022">
        <v>1.6964999999999999</v>
      </c>
      <c r="H337" s="1024">
        <v>0.14096238999999999</v>
      </c>
      <c r="I337" s="1024">
        <v>3.2765999999999998E-5</v>
      </c>
      <c r="J337" s="1025">
        <v>5.9536999999999995</v>
      </c>
    </row>
    <row r="338" spans="2:10" x14ac:dyDescent="0.25">
      <c r="B338" s="1022" t="s">
        <v>891</v>
      </c>
      <c r="C338" s="1023">
        <v>2050</v>
      </c>
      <c r="D338" s="1022">
        <v>1209000</v>
      </c>
      <c r="E338" s="1024">
        <v>1202000</v>
      </c>
      <c r="F338" s="1025">
        <v>1052000</v>
      </c>
      <c r="G338" s="1022">
        <v>17.969000000000001</v>
      </c>
      <c r="H338" s="1024">
        <v>0.164128</v>
      </c>
      <c r="I338" s="1024">
        <v>2.9025999999999998E-4</v>
      </c>
      <c r="J338" s="1025">
        <v>22.988</v>
      </c>
    </row>
    <row r="339" spans="2:10" x14ac:dyDescent="0.25">
      <c r="B339" s="1022" t="s">
        <v>889</v>
      </c>
      <c r="C339" s="1023">
        <v>2050</v>
      </c>
      <c r="D339" s="1022">
        <v>1585000</v>
      </c>
      <c r="E339" s="1024">
        <v>696300</v>
      </c>
      <c r="F339" s="1025">
        <v>286000</v>
      </c>
      <c r="G339" s="1022">
        <v>38.049999999999997</v>
      </c>
      <c r="H339" s="1024">
        <v>0.1118</v>
      </c>
      <c r="I339" s="1024">
        <v>2.5350000000000001E-2</v>
      </c>
      <c r="J339" s="1025">
        <v>45.19</v>
      </c>
    </row>
    <row r="340" spans="2:10" x14ac:dyDescent="0.25">
      <c r="B340" s="1022" t="s">
        <v>892</v>
      </c>
      <c r="C340" s="1023">
        <v>2050</v>
      </c>
      <c r="D340" s="1022">
        <v>1249000</v>
      </c>
      <c r="E340" s="1024">
        <v>1242000</v>
      </c>
      <c r="F340" s="1025">
        <v>1078000</v>
      </c>
      <c r="G340" s="1022">
        <v>23.84</v>
      </c>
      <c r="H340" s="1024">
        <v>0.16985799999999998</v>
      </c>
      <c r="I340" s="1024">
        <v>3.7813000000000001E-4</v>
      </c>
      <c r="J340" s="1025">
        <v>29.157000000000004</v>
      </c>
    </row>
    <row r="341" spans="2:10" x14ac:dyDescent="0.25">
      <c r="B341" s="1022" t="s">
        <v>1054</v>
      </c>
      <c r="C341" s="1023">
        <v>2050</v>
      </c>
      <c r="D341" s="1022">
        <v>1190000</v>
      </c>
      <c r="E341" s="1024">
        <v>51590</v>
      </c>
      <c r="F341" s="1025">
        <v>29220</v>
      </c>
      <c r="G341" s="1022">
        <v>3.7582</v>
      </c>
      <c r="H341" s="1024">
        <v>8.4366999999999984E-3</v>
      </c>
      <c r="I341" s="1024">
        <v>-3.8261190000000002E-3</v>
      </c>
      <c r="J341" s="1025">
        <v>3.0054000000000003</v>
      </c>
    </row>
    <row r="342" spans="2:10" x14ac:dyDescent="0.25">
      <c r="B342" s="1022" t="s">
        <v>800</v>
      </c>
      <c r="C342" s="1023">
        <v>2050</v>
      </c>
      <c r="D342" s="1022">
        <v>1190000</v>
      </c>
      <c r="E342" s="1024">
        <v>51590</v>
      </c>
      <c r="F342" s="1025">
        <v>29220</v>
      </c>
      <c r="G342" s="1022">
        <v>3.7582</v>
      </c>
      <c r="H342" s="1024">
        <v>8.4366999999999984E-3</v>
      </c>
      <c r="I342" s="1024">
        <v>-3.8261190000000002E-3</v>
      </c>
      <c r="J342" s="1025">
        <v>3.0054000000000003</v>
      </c>
    </row>
    <row r="343" spans="2:10" x14ac:dyDescent="0.25">
      <c r="B343" s="1022" t="s">
        <v>806</v>
      </c>
      <c r="C343" s="1023">
        <v>2050</v>
      </c>
      <c r="D343" s="1022">
        <v>1190000</v>
      </c>
      <c r="E343" s="1024">
        <v>51590</v>
      </c>
      <c r="F343" s="1025">
        <v>29220</v>
      </c>
      <c r="G343" s="1022">
        <v>3.7582</v>
      </c>
      <c r="H343" s="1024">
        <v>8.4366999999999984E-3</v>
      </c>
      <c r="I343" s="1024">
        <v>-3.8261190000000002E-3</v>
      </c>
      <c r="J343" s="1025">
        <v>3.0054000000000003</v>
      </c>
    </row>
    <row r="344" spans="2:10" ht="13.8" thickBot="1" x14ac:dyDescent="0.3">
      <c r="B344" s="1026" t="s">
        <v>1061</v>
      </c>
      <c r="C344" s="1027">
        <v>2050</v>
      </c>
      <c r="D344" s="1026">
        <v>1384000</v>
      </c>
      <c r="E344" s="1028">
        <v>1383000</v>
      </c>
      <c r="F344" s="1029">
        <v>5034</v>
      </c>
      <c r="G344" s="1026">
        <v>78.571100000000001</v>
      </c>
      <c r="H344" s="1028">
        <v>0.27494000000000002</v>
      </c>
      <c r="I344" s="1028">
        <v>2.3304000000000003E-3</v>
      </c>
      <c r="J344" s="1029">
        <v>87.594300000000004</v>
      </c>
    </row>
    <row r="345" spans="2:10" x14ac:dyDescent="0.25">
      <c r="B345" s="1018" t="s">
        <v>1058</v>
      </c>
      <c r="C345" s="1019">
        <v>2055</v>
      </c>
      <c r="D345" s="1018">
        <v>1092000</v>
      </c>
      <c r="E345" s="1020">
        <v>1092000</v>
      </c>
      <c r="F345" s="1021">
        <v>3971</v>
      </c>
      <c r="G345" s="1018">
        <v>5.7390999999999996</v>
      </c>
      <c r="H345" s="1020">
        <v>0.18462200000000001</v>
      </c>
      <c r="I345" s="1020">
        <v>8.61E-4</v>
      </c>
      <c r="J345" s="1021">
        <v>11.5648</v>
      </c>
    </row>
    <row r="346" spans="2:10" x14ac:dyDescent="0.25">
      <c r="B346" s="1022" t="s">
        <v>280</v>
      </c>
      <c r="C346" s="1023">
        <v>2055</v>
      </c>
      <c r="D346" s="1022">
        <v>1092000</v>
      </c>
      <c r="E346" s="1024">
        <v>1092000</v>
      </c>
      <c r="F346" s="1025">
        <v>3971</v>
      </c>
      <c r="G346" s="1022">
        <v>5.7390999999999996</v>
      </c>
      <c r="H346" s="1024">
        <v>0.18462200000000001</v>
      </c>
      <c r="I346" s="1024">
        <v>8.61E-4</v>
      </c>
      <c r="J346" s="1025">
        <v>11.5648</v>
      </c>
    </row>
    <row r="347" spans="2:10" x14ac:dyDescent="0.25">
      <c r="B347" s="1022" t="s">
        <v>1059</v>
      </c>
      <c r="C347" s="1023">
        <v>2055</v>
      </c>
      <c r="D347" s="1022">
        <v>1092000</v>
      </c>
      <c r="E347" s="1024">
        <v>1092000</v>
      </c>
      <c r="F347" s="1025">
        <v>3971</v>
      </c>
      <c r="G347" s="1022">
        <v>5.7390999999999996</v>
      </c>
      <c r="H347" s="1024">
        <v>0.18462200000000001</v>
      </c>
      <c r="I347" s="1024">
        <v>8.61E-4</v>
      </c>
      <c r="J347" s="1025">
        <v>11.5648</v>
      </c>
    </row>
    <row r="348" spans="2:10" x14ac:dyDescent="0.25">
      <c r="B348" s="1022" t="s">
        <v>666</v>
      </c>
      <c r="C348" s="1023">
        <v>2055</v>
      </c>
      <c r="D348" s="1022">
        <v>1092000</v>
      </c>
      <c r="E348" s="1024">
        <v>1092000</v>
      </c>
      <c r="F348" s="1025">
        <v>3971</v>
      </c>
      <c r="G348" s="1022">
        <v>5.7390999999999996</v>
      </c>
      <c r="H348" s="1024">
        <v>0.18462200000000001</v>
      </c>
      <c r="I348" s="1024">
        <v>8.61E-4</v>
      </c>
      <c r="J348" s="1025">
        <v>11.5648</v>
      </c>
    </row>
    <row r="349" spans="2:10" x14ac:dyDescent="0.25">
      <c r="B349" s="1022" t="s">
        <v>667</v>
      </c>
      <c r="C349" s="1023">
        <v>2055</v>
      </c>
      <c r="D349" s="1022">
        <v>-1185000</v>
      </c>
      <c r="E349" s="1024">
        <v>0</v>
      </c>
      <c r="F349" s="1025">
        <v>0</v>
      </c>
      <c r="G349" s="1022">
        <v>-85.800000000000011</v>
      </c>
      <c r="H349" s="1024">
        <v>0.54700000000000004</v>
      </c>
      <c r="I349" s="1024">
        <v>-1.8286999999999999E-3</v>
      </c>
      <c r="J349" s="1025">
        <v>-70.08</v>
      </c>
    </row>
    <row r="350" spans="2:10" x14ac:dyDescent="0.25">
      <c r="B350" s="1022" t="s">
        <v>668</v>
      </c>
      <c r="C350" s="1023">
        <v>2055</v>
      </c>
      <c r="D350" s="1022">
        <v>1721000</v>
      </c>
      <c r="E350" s="1024">
        <v>1293000</v>
      </c>
      <c r="F350" s="1025">
        <v>15050</v>
      </c>
      <c r="G350" s="1022">
        <v>125.08</v>
      </c>
      <c r="H350" s="1024">
        <v>0.20477100000000001</v>
      </c>
      <c r="I350" s="1024">
        <v>1.7827000000000001E-3</v>
      </c>
      <c r="J350" s="1025">
        <v>129.82</v>
      </c>
    </row>
    <row r="351" spans="2:10" x14ac:dyDescent="0.25">
      <c r="B351" s="1022" t="s">
        <v>683</v>
      </c>
      <c r="C351" s="1023">
        <v>2055</v>
      </c>
      <c r="D351" s="1022">
        <v>1721000</v>
      </c>
      <c r="E351" s="1024">
        <v>1293000</v>
      </c>
      <c r="F351" s="1025">
        <v>15050</v>
      </c>
      <c r="G351" s="1022">
        <v>125.08</v>
      </c>
      <c r="H351" s="1024">
        <v>0.20477100000000001</v>
      </c>
      <c r="I351" s="1024">
        <v>1.7827000000000001E-3</v>
      </c>
      <c r="J351" s="1025">
        <v>129.82</v>
      </c>
    </row>
    <row r="352" spans="2:10" x14ac:dyDescent="0.25">
      <c r="B352" s="1022" t="s">
        <v>669</v>
      </c>
      <c r="C352" s="1023">
        <v>2055</v>
      </c>
      <c r="D352" s="1022">
        <v>1721000</v>
      </c>
      <c r="E352" s="1024">
        <v>1293000</v>
      </c>
      <c r="F352" s="1025">
        <v>15050</v>
      </c>
      <c r="G352" s="1022">
        <v>125.08</v>
      </c>
      <c r="H352" s="1024">
        <v>0.20477100000000001</v>
      </c>
      <c r="I352" s="1024">
        <v>1.7827000000000001E-3</v>
      </c>
      <c r="J352" s="1025">
        <v>129.82</v>
      </c>
    </row>
    <row r="353" spans="2:10" x14ac:dyDescent="0.25">
      <c r="B353" s="1022" t="s">
        <v>1060</v>
      </c>
      <c r="C353" s="1023">
        <v>2055</v>
      </c>
      <c r="D353" s="1022">
        <v>1022000</v>
      </c>
      <c r="E353" s="1024">
        <v>1021000</v>
      </c>
      <c r="F353" s="1025">
        <v>15510</v>
      </c>
      <c r="G353" s="1022">
        <v>1.6964999999999999</v>
      </c>
      <c r="H353" s="1024">
        <v>0.14096238999999999</v>
      </c>
      <c r="I353" s="1024">
        <v>3.2765999999999998E-5</v>
      </c>
      <c r="J353" s="1025">
        <v>5.9536999999999995</v>
      </c>
    </row>
    <row r="354" spans="2:10" x14ac:dyDescent="0.25">
      <c r="B354" s="1022" t="s">
        <v>701</v>
      </c>
      <c r="C354" s="1023">
        <v>2055</v>
      </c>
      <c r="D354" s="1022">
        <v>1022000</v>
      </c>
      <c r="E354" s="1024">
        <v>1021000</v>
      </c>
      <c r="F354" s="1025">
        <v>15510</v>
      </c>
      <c r="G354" s="1022">
        <v>1.6964999999999999</v>
      </c>
      <c r="H354" s="1024">
        <v>0.14096238999999999</v>
      </c>
      <c r="I354" s="1024">
        <v>3.2765999999999998E-5</v>
      </c>
      <c r="J354" s="1025">
        <v>5.9536999999999995</v>
      </c>
    </row>
    <row r="355" spans="2:10" x14ac:dyDescent="0.25">
      <c r="B355" s="1022" t="s">
        <v>702</v>
      </c>
      <c r="C355" s="1023">
        <v>2055</v>
      </c>
      <c r="D355" s="1022">
        <v>1022000</v>
      </c>
      <c r="E355" s="1024">
        <v>1021000</v>
      </c>
      <c r="F355" s="1025">
        <v>15510</v>
      </c>
      <c r="G355" s="1022">
        <v>1.6964999999999999</v>
      </c>
      <c r="H355" s="1024">
        <v>0.14096238999999999</v>
      </c>
      <c r="I355" s="1024">
        <v>3.2765999999999998E-5</v>
      </c>
      <c r="J355" s="1025">
        <v>5.9536999999999995</v>
      </c>
    </row>
    <row r="356" spans="2:10" x14ac:dyDescent="0.25">
      <c r="B356" s="1022" t="s">
        <v>891</v>
      </c>
      <c r="C356" s="1023">
        <v>2055</v>
      </c>
      <c r="D356" s="1022">
        <v>1209000</v>
      </c>
      <c r="E356" s="1024">
        <v>1202000</v>
      </c>
      <c r="F356" s="1025">
        <v>1052000</v>
      </c>
      <c r="G356" s="1022">
        <v>17.969000000000001</v>
      </c>
      <c r="H356" s="1024">
        <v>0.164128</v>
      </c>
      <c r="I356" s="1024">
        <v>2.9025999999999998E-4</v>
      </c>
      <c r="J356" s="1025">
        <v>22.988</v>
      </c>
    </row>
    <row r="357" spans="2:10" x14ac:dyDescent="0.25">
      <c r="B357" s="1022" t="s">
        <v>889</v>
      </c>
      <c r="C357" s="1023">
        <v>2055</v>
      </c>
      <c r="D357" s="1022">
        <v>1585000</v>
      </c>
      <c r="E357" s="1024">
        <v>696300</v>
      </c>
      <c r="F357" s="1025">
        <v>286000</v>
      </c>
      <c r="G357" s="1022">
        <v>38.049999999999997</v>
      </c>
      <c r="H357" s="1024">
        <v>0.1118</v>
      </c>
      <c r="I357" s="1024">
        <v>2.5350000000000001E-2</v>
      </c>
      <c r="J357" s="1025">
        <v>45.19</v>
      </c>
    </row>
    <row r="358" spans="2:10" x14ac:dyDescent="0.25">
      <c r="B358" s="1022" t="s">
        <v>892</v>
      </c>
      <c r="C358" s="1023">
        <v>2055</v>
      </c>
      <c r="D358" s="1022">
        <v>1249000</v>
      </c>
      <c r="E358" s="1024">
        <v>1242000</v>
      </c>
      <c r="F358" s="1025">
        <v>1078000</v>
      </c>
      <c r="G358" s="1022">
        <v>23.84</v>
      </c>
      <c r="H358" s="1024">
        <v>0.16985799999999998</v>
      </c>
      <c r="I358" s="1024">
        <v>3.7813000000000001E-4</v>
      </c>
      <c r="J358" s="1025">
        <v>29.157000000000004</v>
      </c>
    </row>
    <row r="359" spans="2:10" x14ac:dyDescent="0.25">
      <c r="B359" s="1022" t="s">
        <v>1054</v>
      </c>
      <c r="C359" s="1023">
        <v>2055</v>
      </c>
      <c r="D359" s="1022">
        <v>1190000</v>
      </c>
      <c r="E359" s="1024">
        <v>51590</v>
      </c>
      <c r="F359" s="1025">
        <v>29220</v>
      </c>
      <c r="G359" s="1022">
        <v>3.7582</v>
      </c>
      <c r="H359" s="1024">
        <v>8.4366999999999984E-3</v>
      </c>
      <c r="I359" s="1024">
        <v>-3.8261190000000002E-3</v>
      </c>
      <c r="J359" s="1025">
        <v>3.0054000000000003</v>
      </c>
    </row>
    <row r="360" spans="2:10" x14ac:dyDescent="0.25">
      <c r="B360" s="1022" t="s">
        <v>800</v>
      </c>
      <c r="C360" s="1023">
        <v>2055</v>
      </c>
      <c r="D360" s="1022">
        <v>1190000</v>
      </c>
      <c r="E360" s="1024">
        <v>51590</v>
      </c>
      <c r="F360" s="1025">
        <v>29220</v>
      </c>
      <c r="G360" s="1022">
        <v>3.7582</v>
      </c>
      <c r="H360" s="1024">
        <v>8.4366999999999984E-3</v>
      </c>
      <c r="I360" s="1024">
        <v>-3.8261190000000002E-3</v>
      </c>
      <c r="J360" s="1025">
        <v>3.0054000000000003</v>
      </c>
    </row>
    <row r="361" spans="2:10" x14ac:dyDescent="0.25">
      <c r="B361" s="1022" t="s">
        <v>806</v>
      </c>
      <c r="C361" s="1023">
        <v>2055</v>
      </c>
      <c r="D361" s="1022">
        <v>1190000</v>
      </c>
      <c r="E361" s="1024">
        <v>51590</v>
      </c>
      <c r="F361" s="1025">
        <v>29220</v>
      </c>
      <c r="G361" s="1022">
        <v>3.7582</v>
      </c>
      <c r="H361" s="1024">
        <v>8.4366999999999984E-3</v>
      </c>
      <c r="I361" s="1024">
        <v>-3.8261190000000002E-3</v>
      </c>
      <c r="J361" s="1025">
        <v>3.0054000000000003</v>
      </c>
    </row>
    <row r="362" spans="2:10" ht="13.8" thickBot="1" x14ac:dyDescent="0.3">
      <c r="B362" s="1026" t="s">
        <v>1061</v>
      </c>
      <c r="C362" s="1027">
        <v>2055</v>
      </c>
      <c r="D362" s="1026">
        <v>1384000</v>
      </c>
      <c r="E362" s="1028">
        <v>1383000</v>
      </c>
      <c r="F362" s="1029">
        <v>5034</v>
      </c>
      <c r="G362" s="1026">
        <v>78.571100000000001</v>
      </c>
      <c r="H362" s="1028">
        <v>0.27494000000000002</v>
      </c>
      <c r="I362" s="1028">
        <v>2.3304000000000003E-3</v>
      </c>
      <c r="J362" s="1029">
        <v>87.594300000000004</v>
      </c>
    </row>
    <row r="363" spans="2:10" x14ac:dyDescent="0.25">
      <c r="B363" s="1018" t="s">
        <v>1058</v>
      </c>
      <c r="C363" s="1019">
        <v>2060</v>
      </c>
      <c r="D363" s="1018">
        <v>1092000</v>
      </c>
      <c r="E363" s="1020">
        <v>1092000</v>
      </c>
      <c r="F363" s="1021">
        <v>3971</v>
      </c>
      <c r="G363" s="1018">
        <v>5.7390999999999996</v>
      </c>
      <c r="H363" s="1020">
        <v>0.18462200000000001</v>
      </c>
      <c r="I363" s="1020">
        <v>8.61E-4</v>
      </c>
      <c r="J363" s="1021">
        <v>11.5648</v>
      </c>
    </row>
    <row r="364" spans="2:10" x14ac:dyDescent="0.25">
      <c r="B364" s="1022" t="s">
        <v>280</v>
      </c>
      <c r="C364" s="1023">
        <v>2060</v>
      </c>
      <c r="D364" s="1022">
        <v>1092000</v>
      </c>
      <c r="E364" s="1024">
        <v>1092000</v>
      </c>
      <c r="F364" s="1025">
        <v>3971</v>
      </c>
      <c r="G364" s="1022">
        <v>5.7390999999999996</v>
      </c>
      <c r="H364" s="1024">
        <v>0.18462200000000001</v>
      </c>
      <c r="I364" s="1024">
        <v>8.61E-4</v>
      </c>
      <c r="J364" s="1025">
        <v>11.5648</v>
      </c>
    </row>
    <row r="365" spans="2:10" x14ac:dyDescent="0.25">
      <c r="B365" s="1022" t="s">
        <v>1059</v>
      </c>
      <c r="C365" s="1023">
        <v>2060</v>
      </c>
      <c r="D365" s="1022">
        <v>1092000</v>
      </c>
      <c r="E365" s="1024">
        <v>1092000</v>
      </c>
      <c r="F365" s="1025">
        <v>3971</v>
      </c>
      <c r="G365" s="1022">
        <v>5.7390999999999996</v>
      </c>
      <c r="H365" s="1024">
        <v>0.18462200000000001</v>
      </c>
      <c r="I365" s="1024">
        <v>8.61E-4</v>
      </c>
      <c r="J365" s="1025">
        <v>11.5648</v>
      </c>
    </row>
    <row r="366" spans="2:10" x14ac:dyDescent="0.25">
      <c r="B366" s="1022" t="s">
        <v>666</v>
      </c>
      <c r="C366" s="1023">
        <v>2060</v>
      </c>
      <c r="D366" s="1022">
        <v>1092000</v>
      </c>
      <c r="E366" s="1024">
        <v>1092000</v>
      </c>
      <c r="F366" s="1025">
        <v>3971</v>
      </c>
      <c r="G366" s="1022">
        <v>5.7390999999999996</v>
      </c>
      <c r="H366" s="1024">
        <v>0.18462200000000001</v>
      </c>
      <c r="I366" s="1024">
        <v>8.61E-4</v>
      </c>
      <c r="J366" s="1025">
        <v>11.5648</v>
      </c>
    </row>
    <row r="367" spans="2:10" x14ac:dyDescent="0.25">
      <c r="B367" s="1022" t="s">
        <v>667</v>
      </c>
      <c r="C367" s="1023">
        <v>2060</v>
      </c>
      <c r="D367" s="1022">
        <v>-1185000</v>
      </c>
      <c r="E367" s="1024">
        <v>0</v>
      </c>
      <c r="F367" s="1025">
        <v>0</v>
      </c>
      <c r="G367" s="1022">
        <v>-85.800000000000011</v>
      </c>
      <c r="H367" s="1024">
        <v>0.54700000000000004</v>
      </c>
      <c r="I367" s="1024">
        <v>-1.8286999999999999E-3</v>
      </c>
      <c r="J367" s="1025">
        <v>-70.08</v>
      </c>
    </row>
    <row r="368" spans="2:10" x14ac:dyDescent="0.25">
      <c r="B368" s="1022" t="s">
        <v>668</v>
      </c>
      <c r="C368" s="1023">
        <v>2060</v>
      </c>
      <c r="D368" s="1022">
        <v>1721000</v>
      </c>
      <c r="E368" s="1024">
        <v>1293000</v>
      </c>
      <c r="F368" s="1025">
        <v>15050</v>
      </c>
      <c r="G368" s="1022">
        <v>125.08</v>
      </c>
      <c r="H368" s="1024">
        <v>0.20477100000000001</v>
      </c>
      <c r="I368" s="1024">
        <v>1.7827000000000001E-3</v>
      </c>
      <c r="J368" s="1025">
        <v>129.82</v>
      </c>
    </row>
    <row r="369" spans="2:10" x14ac:dyDescent="0.25">
      <c r="B369" s="1022" t="s">
        <v>683</v>
      </c>
      <c r="C369" s="1023">
        <v>2060</v>
      </c>
      <c r="D369" s="1022">
        <v>1721000</v>
      </c>
      <c r="E369" s="1024">
        <v>1293000</v>
      </c>
      <c r="F369" s="1025">
        <v>15050</v>
      </c>
      <c r="G369" s="1022">
        <v>125.08</v>
      </c>
      <c r="H369" s="1024">
        <v>0.20477100000000001</v>
      </c>
      <c r="I369" s="1024">
        <v>1.7827000000000001E-3</v>
      </c>
      <c r="J369" s="1025">
        <v>129.82</v>
      </c>
    </row>
    <row r="370" spans="2:10" x14ac:dyDescent="0.25">
      <c r="B370" s="1022" t="s">
        <v>669</v>
      </c>
      <c r="C370" s="1023">
        <v>2060</v>
      </c>
      <c r="D370" s="1022">
        <v>1721000</v>
      </c>
      <c r="E370" s="1024">
        <v>1293000</v>
      </c>
      <c r="F370" s="1025">
        <v>15050</v>
      </c>
      <c r="G370" s="1022">
        <v>125.08</v>
      </c>
      <c r="H370" s="1024">
        <v>0.20477100000000001</v>
      </c>
      <c r="I370" s="1024">
        <v>1.7827000000000001E-3</v>
      </c>
      <c r="J370" s="1025">
        <v>129.82</v>
      </c>
    </row>
    <row r="371" spans="2:10" x14ac:dyDescent="0.25">
      <c r="B371" s="1022" t="s">
        <v>1060</v>
      </c>
      <c r="C371" s="1023">
        <v>2060</v>
      </c>
      <c r="D371" s="1022">
        <v>1022000</v>
      </c>
      <c r="E371" s="1024">
        <v>1021000</v>
      </c>
      <c r="F371" s="1025">
        <v>15510</v>
      </c>
      <c r="G371" s="1022">
        <v>1.6964999999999999</v>
      </c>
      <c r="H371" s="1024">
        <v>0.14096238999999999</v>
      </c>
      <c r="I371" s="1024">
        <v>3.2765999999999998E-5</v>
      </c>
      <c r="J371" s="1025">
        <v>5.9536999999999995</v>
      </c>
    </row>
    <row r="372" spans="2:10" x14ac:dyDescent="0.25">
      <c r="B372" s="1022" t="s">
        <v>701</v>
      </c>
      <c r="C372" s="1023">
        <v>2060</v>
      </c>
      <c r="D372" s="1022">
        <v>1022000</v>
      </c>
      <c r="E372" s="1024">
        <v>1021000</v>
      </c>
      <c r="F372" s="1025">
        <v>15510</v>
      </c>
      <c r="G372" s="1022">
        <v>1.6964999999999999</v>
      </c>
      <c r="H372" s="1024">
        <v>0.14096238999999999</v>
      </c>
      <c r="I372" s="1024">
        <v>3.2765999999999998E-5</v>
      </c>
      <c r="J372" s="1025">
        <v>5.9536999999999995</v>
      </c>
    </row>
    <row r="373" spans="2:10" x14ac:dyDescent="0.25">
      <c r="B373" s="1022" t="s">
        <v>702</v>
      </c>
      <c r="C373" s="1023">
        <v>2060</v>
      </c>
      <c r="D373" s="1022">
        <v>1022000</v>
      </c>
      <c r="E373" s="1024">
        <v>1021000</v>
      </c>
      <c r="F373" s="1025">
        <v>15510</v>
      </c>
      <c r="G373" s="1022">
        <v>1.6964999999999999</v>
      </c>
      <c r="H373" s="1024">
        <v>0.14096238999999999</v>
      </c>
      <c r="I373" s="1024">
        <v>3.2765999999999998E-5</v>
      </c>
      <c r="J373" s="1025">
        <v>5.9536999999999995</v>
      </c>
    </row>
    <row r="374" spans="2:10" x14ac:dyDescent="0.25">
      <c r="B374" s="1022" t="s">
        <v>891</v>
      </c>
      <c r="C374" s="1023">
        <v>2060</v>
      </c>
      <c r="D374" s="1022">
        <v>1209000</v>
      </c>
      <c r="E374" s="1024">
        <v>1202000</v>
      </c>
      <c r="F374" s="1025">
        <v>1052000</v>
      </c>
      <c r="G374" s="1022">
        <v>17.969000000000001</v>
      </c>
      <c r="H374" s="1024">
        <v>0.164128</v>
      </c>
      <c r="I374" s="1024">
        <v>2.9025999999999998E-4</v>
      </c>
      <c r="J374" s="1025">
        <v>22.988</v>
      </c>
    </row>
    <row r="375" spans="2:10" x14ac:dyDescent="0.25">
      <c r="B375" s="1022" t="s">
        <v>889</v>
      </c>
      <c r="C375" s="1023">
        <v>2060</v>
      </c>
      <c r="D375" s="1022">
        <v>1585000</v>
      </c>
      <c r="E375" s="1024">
        <v>696300</v>
      </c>
      <c r="F375" s="1025">
        <v>286000</v>
      </c>
      <c r="G375" s="1022">
        <v>38.049999999999997</v>
      </c>
      <c r="H375" s="1024">
        <v>0.1118</v>
      </c>
      <c r="I375" s="1024">
        <v>2.5350000000000001E-2</v>
      </c>
      <c r="J375" s="1025">
        <v>45.19</v>
      </c>
    </row>
    <row r="376" spans="2:10" x14ac:dyDescent="0.25">
      <c r="B376" s="1022" t="s">
        <v>892</v>
      </c>
      <c r="C376" s="1023">
        <v>2060</v>
      </c>
      <c r="D376" s="1022">
        <v>1249000</v>
      </c>
      <c r="E376" s="1024">
        <v>1242000</v>
      </c>
      <c r="F376" s="1025">
        <v>1078000</v>
      </c>
      <c r="G376" s="1022">
        <v>23.84</v>
      </c>
      <c r="H376" s="1024">
        <v>0.16985799999999998</v>
      </c>
      <c r="I376" s="1024">
        <v>3.7813000000000001E-4</v>
      </c>
      <c r="J376" s="1025">
        <v>29.157000000000004</v>
      </c>
    </row>
    <row r="377" spans="2:10" x14ac:dyDescent="0.25">
      <c r="B377" s="1022" t="s">
        <v>1054</v>
      </c>
      <c r="C377" s="1023">
        <v>2060</v>
      </c>
      <c r="D377" s="1022">
        <v>1190000</v>
      </c>
      <c r="E377" s="1024">
        <v>51590</v>
      </c>
      <c r="F377" s="1025">
        <v>29220</v>
      </c>
      <c r="G377" s="1022">
        <v>3.7582</v>
      </c>
      <c r="H377" s="1024">
        <v>8.4366999999999984E-3</v>
      </c>
      <c r="I377" s="1024">
        <v>-3.8261190000000002E-3</v>
      </c>
      <c r="J377" s="1025">
        <v>3.0054000000000003</v>
      </c>
    </row>
    <row r="378" spans="2:10" x14ac:dyDescent="0.25">
      <c r="B378" s="1022" t="s">
        <v>800</v>
      </c>
      <c r="C378" s="1023">
        <v>2060</v>
      </c>
      <c r="D378" s="1022">
        <v>1190000</v>
      </c>
      <c r="E378" s="1024">
        <v>51590</v>
      </c>
      <c r="F378" s="1025">
        <v>29220</v>
      </c>
      <c r="G378" s="1022">
        <v>3.7582</v>
      </c>
      <c r="H378" s="1024">
        <v>8.4366999999999984E-3</v>
      </c>
      <c r="I378" s="1024">
        <v>-3.8261190000000002E-3</v>
      </c>
      <c r="J378" s="1025">
        <v>3.0054000000000003</v>
      </c>
    </row>
    <row r="379" spans="2:10" x14ac:dyDescent="0.25">
      <c r="B379" s="1022" t="s">
        <v>806</v>
      </c>
      <c r="C379" s="1023">
        <v>2060</v>
      </c>
      <c r="D379" s="1022">
        <v>1190000</v>
      </c>
      <c r="E379" s="1024">
        <v>51590</v>
      </c>
      <c r="F379" s="1025">
        <v>29220</v>
      </c>
      <c r="G379" s="1022">
        <v>3.7582</v>
      </c>
      <c r="H379" s="1024">
        <v>8.4366999999999984E-3</v>
      </c>
      <c r="I379" s="1024">
        <v>-3.8261190000000002E-3</v>
      </c>
      <c r="J379" s="1025">
        <v>3.0054000000000003</v>
      </c>
    </row>
    <row r="380" spans="2:10" ht="13.8" thickBot="1" x14ac:dyDescent="0.3">
      <c r="B380" s="1026" t="s">
        <v>1061</v>
      </c>
      <c r="C380" s="1027">
        <v>2060</v>
      </c>
      <c r="D380" s="1026">
        <v>1384000</v>
      </c>
      <c r="E380" s="1028">
        <v>1383000</v>
      </c>
      <c r="F380" s="1029">
        <v>5034</v>
      </c>
      <c r="G380" s="1026">
        <v>78.571100000000001</v>
      </c>
      <c r="H380" s="1028">
        <v>0.27494000000000002</v>
      </c>
      <c r="I380" s="1028">
        <v>2.3304000000000003E-3</v>
      </c>
      <c r="J380" s="1029">
        <v>87.594300000000004</v>
      </c>
    </row>
    <row r="381" spans="2:10" x14ac:dyDescent="0.25">
      <c r="B381" s="1018" t="s">
        <v>1058</v>
      </c>
      <c r="C381" s="1019">
        <v>2065</v>
      </c>
      <c r="D381" s="1018">
        <v>1092000</v>
      </c>
      <c r="E381" s="1020">
        <v>1092000</v>
      </c>
      <c r="F381" s="1021">
        <v>3971</v>
      </c>
      <c r="G381" s="1018">
        <v>5.7390999999999996</v>
      </c>
      <c r="H381" s="1020">
        <v>0.18462200000000001</v>
      </c>
      <c r="I381" s="1020">
        <v>8.61E-4</v>
      </c>
      <c r="J381" s="1021">
        <v>11.5648</v>
      </c>
    </row>
    <row r="382" spans="2:10" x14ac:dyDescent="0.25">
      <c r="B382" s="1022" t="s">
        <v>280</v>
      </c>
      <c r="C382" s="1023">
        <v>2065</v>
      </c>
      <c r="D382" s="1022">
        <v>1092000</v>
      </c>
      <c r="E382" s="1024">
        <v>1092000</v>
      </c>
      <c r="F382" s="1025">
        <v>3971</v>
      </c>
      <c r="G382" s="1022">
        <v>5.7390999999999996</v>
      </c>
      <c r="H382" s="1024">
        <v>0.18462200000000001</v>
      </c>
      <c r="I382" s="1024">
        <v>8.61E-4</v>
      </c>
      <c r="J382" s="1025">
        <v>11.5648</v>
      </c>
    </row>
    <row r="383" spans="2:10" x14ac:dyDescent="0.25">
      <c r="B383" s="1022" t="s">
        <v>1059</v>
      </c>
      <c r="C383" s="1023">
        <v>2065</v>
      </c>
      <c r="D383" s="1022">
        <v>1092000</v>
      </c>
      <c r="E383" s="1024">
        <v>1092000</v>
      </c>
      <c r="F383" s="1025">
        <v>3971</v>
      </c>
      <c r="G383" s="1022">
        <v>5.7390999999999996</v>
      </c>
      <c r="H383" s="1024">
        <v>0.18462200000000001</v>
      </c>
      <c r="I383" s="1024">
        <v>8.61E-4</v>
      </c>
      <c r="J383" s="1025">
        <v>11.5648</v>
      </c>
    </row>
    <row r="384" spans="2:10" x14ac:dyDescent="0.25">
      <c r="B384" s="1022" t="s">
        <v>666</v>
      </c>
      <c r="C384" s="1023">
        <v>2065</v>
      </c>
      <c r="D384" s="1022">
        <v>1092000</v>
      </c>
      <c r="E384" s="1024">
        <v>1092000</v>
      </c>
      <c r="F384" s="1025">
        <v>3971</v>
      </c>
      <c r="G384" s="1022">
        <v>5.7390999999999996</v>
      </c>
      <c r="H384" s="1024">
        <v>0.18462200000000001</v>
      </c>
      <c r="I384" s="1024">
        <v>8.61E-4</v>
      </c>
      <c r="J384" s="1025">
        <v>11.5648</v>
      </c>
    </row>
    <row r="385" spans="2:10" x14ac:dyDescent="0.25">
      <c r="B385" s="1022" t="s">
        <v>667</v>
      </c>
      <c r="C385" s="1023">
        <v>2065</v>
      </c>
      <c r="D385" s="1022">
        <v>-1185000</v>
      </c>
      <c r="E385" s="1024">
        <v>0</v>
      </c>
      <c r="F385" s="1025">
        <v>0</v>
      </c>
      <c r="G385" s="1022">
        <v>-85.800000000000011</v>
      </c>
      <c r="H385" s="1024">
        <v>0.54700000000000004</v>
      </c>
      <c r="I385" s="1024">
        <v>-1.8286999999999999E-3</v>
      </c>
      <c r="J385" s="1025">
        <v>-70.08</v>
      </c>
    </row>
    <row r="386" spans="2:10" x14ac:dyDescent="0.25">
      <c r="B386" s="1022" t="s">
        <v>668</v>
      </c>
      <c r="C386" s="1023">
        <v>2065</v>
      </c>
      <c r="D386" s="1022">
        <v>1721000</v>
      </c>
      <c r="E386" s="1024">
        <v>1293000</v>
      </c>
      <c r="F386" s="1025">
        <v>15050</v>
      </c>
      <c r="G386" s="1022">
        <v>125.08</v>
      </c>
      <c r="H386" s="1024">
        <v>0.20477100000000001</v>
      </c>
      <c r="I386" s="1024">
        <v>1.7827000000000001E-3</v>
      </c>
      <c r="J386" s="1025">
        <v>129.82</v>
      </c>
    </row>
    <row r="387" spans="2:10" x14ac:dyDescent="0.25">
      <c r="B387" s="1022" t="s">
        <v>683</v>
      </c>
      <c r="C387" s="1023">
        <v>2065</v>
      </c>
      <c r="D387" s="1022">
        <v>1721000</v>
      </c>
      <c r="E387" s="1024">
        <v>1293000</v>
      </c>
      <c r="F387" s="1025">
        <v>15050</v>
      </c>
      <c r="G387" s="1022">
        <v>125.08</v>
      </c>
      <c r="H387" s="1024">
        <v>0.20477100000000001</v>
      </c>
      <c r="I387" s="1024">
        <v>1.7827000000000001E-3</v>
      </c>
      <c r="J387" s="1025">
        <v>129.82</v>
      </c>
    </row>
    <row r="388" spans="2:10" x14ac:dyDescent="0.25">
      <c r="B388" s="1022" t="s">
        <v>669</v>
      </c>
      <c r="C388" s="1023">
        <v>2065</v>
      </c>
      <c r="D388" s="1022">
        <v>1721000</v>
      </c>
      <c r="E388" s="1024">
        <v>1293000</v>
      </c>
      <c r="F388" s="1025">
        <v>15050</v>
      </c>
      <c r="G388" s="1022">
        <v>125.08</v>
      </c>
      <c r="H388" s="1024">
        <v>0.20477100000000001</v>
      </c>
      <c r="I388" s="1024">
        <v>1.7827000000000001E-3</v>
      </c>
      <c r="J388" s="1025">
        <v>129.82</v>
      </c>
    </row>
    <row r="389" spans="2:10" x14ac:dyDescent="0.25">
      <c r="B389" s="1022" t="s">
        <v>1060</v>
      </c>
      <c r="C389" s="1023">
        <v>2065</v>
      </c>
      <c r="D389" s="1022">
        <v>1022000</v>
      </c>
      <c r="E389" s="1024">
        <v>1021000</v>
      </c>
      <c r="F389" s="1025">
        <v>15510</v>
      </c>
      <c r="G389" s="1022">
        <v>1.6964999999999999</v>
      </c>
      <c r="H389" s="1024">
        <v>0.14096238999999999</v>
      </c>
      <c r="I389" s="1024">
        <v>3.2765999999999998E-5</v>
      </c>
      <c r="J389" s="1025">
        <v>5.9536999999999995</v>
      </c>
    </row>
    <row r="390" spans="2:10" x14ac:dyDescent="0.25">
      <c r="B390" s="1022" t="s">
        <v>701</v>
      </c>
      <c r="C390" s="1023">
        <v>2065</v>
      </c>
      <c r="D390" s="1022">
        <v>1022000</v>
      </c>
      <c r="E390" s="1024">
        <v>1021000</v>
      </c>
      <c r="F390" s="1025">
        <v>15510</v>
      </c>
      <c r="G390" s="1022">
        <v>1.6964999999999999</v>
      </c>
      <c r="H390" s="1024">
        <v>0.14096238999999999</v>
      </c>
      <c r="I390" s="1024">
        <v>3.2765999999999998E-5</v>
      </c>
      <c r="J390" s="1025">
        <v>5.9536999999999995</v>
      </c>
    </row>
    <row r="391" spans="2:10" x14ac:dyDescent="0.25">
      <c r="B391" s="1022" t="s">
        <v>702</v>
      </c>
      <c r="C391" s="1023">
        <v>2065</v>
      </c>
      <c r="D391" s="1022">
        <v>1022000</v>
      </c>
      <c r="E391" s="1024">
        <v>1021000</v>
      </c>
      <c r="F391" s="1025">
        <v>15510</v>
      </c>
      <c r="G391" s="1022">
        <v>1.6964999999999999</v>
      </c>
      <c r="H391" s="1024">
        <v>0.14096238999999999</v>
      </c>
      <c r="I391" s="1024">
        <v>3.2765999999999998E-5</v>
      </c>
      <c r="J391" s="1025">
        <v>5.9536999999999995</v>
      </c>
    </row>
    <row r="392" spans="2:10" x14ac:dyDescent="0.25">
      <c r="B392" s="1022" t="s">
        <v>891</v>
      </c>
      <c r="C392" s="1023">
        <v>2065</v>
      </c>
      <c r="D392" s="1022">
        <v>1209000</v>
      </c>
      <c r="E392" s="1024">
        <v>1202000</v>
      </c>
      <c r="F392" s="1025">
        <v>1052000</v>
      </c>
      <c r="G392" s="1022">
        <v>17.969000000000001</v>
      </c>
      <c r="H392" s="1024">
        <v>0.164128</v>
      </c>
      <c r="I392" s="1024">
        <v>2.9025999999999998E-4</v>
      </c>
      <c r="J392" s="1025">
        <v>22.988</v>
      </c>
    </row>
    <row r="393" spans="2:10" x14ac:dyDescent="0.25">
      <c r="B393" s="1022" t="s">
        <v>889</v>
      </c>
      <c r="C393" s="1023">
        <v>2065</v>
      </c>
      <c r="D393" s="1022">
        <v>1585000</v>
      </c>
      <c r="E393" s="1024">
        <v>696300</v>
      </c>
      <c r="F393" s="1025">
        <v>286000</v>
      </c>
      <c r="G393" s="1022">
        <v>38.049999999999997</v>
      </c>
      <c r="H393" s="1024">
        <v>0.1118</v>
      </c>
      <c r="I393" s="1024">
        <v>2.5350000000000001E-2</v>
      </c>
      <c r="J393" s="1025">
        <v>45.19</v>
      </c>
    </row>
    <row r="394" spans="2:10" x14ac:dyDescent="0.25">
      <c r="B394" s="1022" t="s">
        <v>892</v>
      </c>
      <c r="C394" s="1023">
        <v>2065</v>
      </c>
      <c r="D394" s="1022">
        <v>1249000</v>
      </c>
      <c r="E394" s="1024">
        <v>1242000</v>
      </c>
      <c r="F394" s="1025">
        <v>1078000</v>
      </c>
      <c r="G394" s="1022">
        <v>23.84</v>
      </c>
      <c r="H394" s="1024">
        <v>0.16985799999999998</v>
      </c>
      <c r="I394" s="1024">
        <v>3.7813000000000001E-4</v>
      </c>
      <c r="J394" s="1025">
        <v>29.157000000000004</v>
      </c>
    </row>
    <row r="395" spans="2:10" x14ac:dyDescent="0.25">
      <c r="B395" s="1022" t="s">
        <v>1054</v>
      </c>
      <c r="C395" s="1023">
        <v>2065</v>
      </c>
      <c r="D395" s="1022">
        <v>1190000</v>
      </c>
      <c r="E395" s="1024">
        <v>51590</v>
      </c>
      <c r="F395" s="1025">
        <v>29220</v>
      </c>
      <c r="G395" s="1022">
        <v>3.7582</v>
      </c>
      <c r="H395" s="1024">
        <v>8.4366999999999984E-3</v>
      </c>
      <c r="I395" s="1024">
        <v>-3.8261190000000002E-3</v>
      </c>
      <c r="J395" s="1025">
        <v>3.0054000000000003</v>
      </c>
    </row>
    <row r="396" spans="2:10" x14ac:dyDescent="0.25">
      <c r="B396" s="1022" t="s">
        <v>800</v>
      </c>
      <c r="C396" s="1023">
        <v>2065</v>
      </c>
      <c r="D396" s="1022">
        <v>1190000</v>
      </c>
      <c r="E396" s="1024">
        <v>51590</v>
      </c>
      <c r="F396" s="1025">
        <v>29220</v>
      </c>
      <c r="G396" s="1022">
        <v>3.7582</v>
      </c>
      <c r="H396" s="1024">
        <v>8.4366999999999984E-3</v>
      </c>
      <c r="I396" s="1024">
        <v>-3.8261190000000002E-3</v>
      </c>
      <c r="J396" s="1025">
        <v>3.0054000000000003</v>
      </c>
    </row>
    <row r="397" spans="2:10" x14ac:dyDescent="0.25">
      <c r="B397" s="1022" t="s">
        <v>806</v>
      </c>
      <c r="C397" s="1023">
        <v>2065</v>
      </c>
      <c r="D397" s="1022">
        <v>1190000</v>
      </c>
      <c r="E397" s="1024">
        <v>51590</v>
      </c>
      <c r="F397" s="1025">
        <v>29220</v>
      </c>
      <c r="G397" s="1022">
        <v>3.7582</v>
      </c>
      <c r="H397" s="1024">
        <v>8.4366999999999984E-3</v>
      </c>
      <c r="I397" s="1024">
        <v>-3.8261190000000002E-3</v>
      </c>
      <c r="J397" s="1025">
        <v>3.0054000000000003</v>
      </c>
    </row>
    <row r="398" spans="2:10" ht="13.8" thickBot="1" x14ac:dyDescent="0.3">
      <c r="B398" s="1026" t="s">
        <v>1061</v>
      </c>
      <c r="C398" s="1027">
        <v>2065</v>
      </c>
      <c r="D398" s="1026">
        <v>1384000</v>
      </c>
      <c r="E398" s="1028">
        <v>1383000</v>
      </c>
      <c r="F398" s="1029">
        <v>5034</v>
      </c>
      <c r="G398" s="1026">
        <v>78.571100000000001</v>
      </c>
      <c r="H398" s="1028">
        <v>0.27494000000000002</v>
      </c>
      <c r="I398" s="1028">
        <v>2.3304000000000003E-3</v>
      </c>
      <c r="J398" s="1029">
        <v>87.594300000000004</v>
      </c>
    </row>
    <row r="399" spans="2:10" x14ac:dyDescent="0.25">
      <c r="B399" s="1018" t="s">
        <v>1058</v>
      </c>
      <c r="C399" s="1019">
        <v>2070</v>
      </c>
      <c r="D399" s="1018">
        <v>1092000</v>
      </c>
      <c r="E399" s="1020">
        <v>1092000</v>
      </c>
      <c r="F399" s="1021">
        <v>3971</v>
      </c>
      <c r="G399" s="1018">
        <v>5.7390999999999996</v>
      </c>
      <c r="H399" s="1020">
        <v>0.18462200000000001</v>
      </c>
      <c r="I399" s="1020">
        <v>8.61E-4</v>
      </c>
      <c r="J399" s="1021">
        <v>11.5648</v>
      </c>
    </row>
    <row r="400" spans="2:10" x14ac:dyDescent="0.25">
      <c r="B400" s="1022" t="s">
        <v>280</v>
      </c>
      <c r="C400" s="1023">
        <v>2070</v>
      </c>
      <c r="D400" s="1022">
        <v>1092000</v>
      </c>
      <c r="E400" s="1024">
        <v>1092000</v>
      </c>
      <c r="F400" s="1025">
        <v>3971</v>
      </c>
      <c r="G400" s="1022">
        <v>5.7390999999999996</v>
      </c>
      <c r="H400" s="1024">
        <v>0.18462200000000001</v>
      </c>
      <c r="I400" s="1024">
        <v>8.61E-4</v>
      </c>
      <c r="J400" s="1025">
        <v>11.5648</v>
      </c>
    </row>
    <row r="401" spans="2:10" x14ac:dyDescent="0.25">
      <c r="B401" s="1022" t="s">
        <v>1059</v>
      </c>
      <c r="C401" s="1023">
        <v>2070</v>
      </c>
      <c r="D401" s="1022">
        <v>1092000</v>
      </c>
      <c r="E401" s="1024">
        <v>1092000</v>
      </c>
      <c r="F401" s="1025">
        <v>3971</v>
      </c>
      <c r="G401" s="1022">
        <v>5.7390999999999996</v>
      </c>
      <c r="H401" s="1024">
        <v>0.18462200000000001</v>
      </c>
      <c r="I401" s="1024">
        <v>8.61E-4</v>
      </c>
      <c r="J401" s="1025">
        <v>11.5648</v>
      </c>
    </row>
    <row r="402" spans="2:10" x14ac:dyDescent="0.25">
      <c r="B402" s="1022" t="s">
        <v>666</v>
      </c>
      <c r="C402" s="1023">
        <v>2070</v>
      </c>
      <c r="D402" s="1022">
        <v>1092000</v>
      </c>
      <c r="E402" s="1024">
        <v>1092000</v>
      </c>
      <c r="F402" s="1025">
        <v>3971</v>
      </c>
      <c r="G402" s="1022">
        <v>5.7390999999999996</v>
      </c>
      <c r="H402" s="1024">
        <v>0.18462200000000001</v>
      </c>
      <c r="I402" s="1024">
        <v>8.61E-4</v>
      </c>
      <c r="J402" s="1025">
        <v>11.5648</v>
      </c>
    </row>
    <row r="403" spans="2:10" x14ac:dyDescent="0.25">
      <c r="B403" s="1022" t="s">
        <v>667</v>
      </c>
      <c r="C403" s="1023">
        <v>2070</v>
      </c>
      <c r="D403" s="1022">
        <v>-1185000</v>
      </c>
      <c r="E403" s="1024">
        <v>0</v>
      </c>
      <c r="F403" s="1025">
        <v>0</v>
      </c>
      <c r="G403" s="1022">
        <v>-85.800000000000011</v>
      </c>
      <c r="H403" s="1024">
        <v>0.54700000000000004</v>
      </c>
      <c r="I403" s="1024">
        <v>-1.8286999999999999E-3</v>
      </c>
      <c r="J403" s="1025">
        <v>-70.08</v>
      </c>
    </row>
    <row r="404" spans="2:10" x14ac:dyDescent="0.25">
      <c r="B404" s="1022" t="s">
        <v>668</v>
      </c>
      <c r="C404" s="1023">
        <v>2070</v>
      </c>
      <c r="D404" s="1022">
        <v>1721000</v>
      </c>
      <c r="E404" s="1024">
        <v>1293000</v>
      </c>
      <c r="F404" s="1025">
        <v>15050</v>
      </c>
      <c r="G404" s="1022">
        <v>125.08</v>
      </c>
      <c r="H404" s="1024">
        <v>0.20477100000000001</v>
      </c>
      <c r="I404" s="1024">
        <v>1.7827000000000001E-3</v>
      </c>
      <c r="J404" s="1025">
        <v>129.82</v>
      </c>
    </row>
    <row r="405" spans="2:10" x14ac:dyDescent="0.25">
      <c r="B405" s="1022" t="s">
        <v>683</v>
      </c>
      <c r="C405" s="1023">
        <v>2070</v>
      </c>
      <c r="D405" s="1022">
        <v>1721000</v>
      </c>
      <c r="E405" s="1024">
        <v>1293000</v>
      </c>
      <c r="F405" s="1025">
        <v>15050</v>
      </c>
      <c r="G405" s="1022">
        <v>125.08</v>
      </c>
      <c r="H405" s="1024">
        <v>0.20477100000000001</v>
      </c>
      <c r="I405" s="1024">
        <v>1.7827000000000001E-3</v>
      </c>
      <c r="J405" s="1025">
        <v>129.82</v>
      </c>
    </row>
    <row r="406" spans="2:10" x14ac:dyDescent="0.25">
      <c r="B406" s="1022" t="s">
        <v>669</v>
      </c>
      <c r="C406" s="1023">
        <v>2070</v>
      </c>
      <c r="D406" s="1022">
        <v>1721000</v>
      </c>
      <c r="E406" s="1024">
        <v>1293000</v>
      </c>
      <c r="F406" s="1025">
        <v>15050</v>
      </c>
      <c r="G406" s="1022">
        <v>125.08</v>
      </c>
      <c r="H406" s="1024">
        <v>0.20477100000000001</v>
      </c>
      <c r="I406" s="1024">
        <v>1.7827000000000001E-3</v>
      </c>
      <c r="J406" s="1025">
        <v>129.82</v>
      </c>
    </row>
    <row r="407" spans="2:10" x14ac:dyDescent="0.25">
      <c r="B407" s="1022" t="s">
        <v>1060</v>
      </c>
      <c r="C407" s="1023">
        <v>2070</v>
      </c>
      <c r="D407" s="1022">
        <v>1022000</v>
      </c>
      <c r="E407" s="1024">
        <v>1021000</v>
      </c>
      <c r="F407" s="1025">
        <v>15510</v>
      </c>
      <c r="G407" s="1022">
        <v>1.6964999999999999</v>
      </c>
      <c r="H407" s="1024">
        <v>0.14096238999999999</v>
      </c>
      <c r="I407" s="1024">
        <v>3.2765999999999998E-5</v>
      </c>
      <c r="J407" s="1025">
        <v>5.9536999999999995</v>
      </c>
    </row>
    <row r="408" spans="2:10" x14ac:dyDescent="0.25">
      <c r="B408" s="1022" t="s">
        <v>701</v>
      </c>
      <c r="C408" s="1023">
        <v>2070</v>
      </c>
      <c r="D408" s="1022">
        <v>1022000</v>
      </c>
      <c r="E408" s="1024">
        <v>1021000</v>
      </c>
      <c r="F408" s="1025">
        <v>15510</v>
      </c>
      <c r="G408" s="1022">
        <v>1.6964999999999999</v>
      </c>
      <c r="H408" s="1024">
        <v>0.14096238999999999</v>
      </c>
      <c r="I408" s="1024">
        <v>3.2765999999999998E-5</v>
      </c>
      <c r="J408" s="1025">
        <v>5.9536999999999995</v>
      </c>
    </row>
    <row r="409" spans="2:10" x14ac:dyDescent="0.25">
      <c r="B409" s="1022" t="s">
        <v>702</v>
      </c>
      <c r="C409" s="1023">
        <v>2070</v>
      </c>
      <c r="D409" s="1022">
        <v>1022000</v>
      </c>
      <c r="E409" s="1024">
        <v>1021000</v>
      </c>
      <c r="F409" s="1025">
        <v>15510</v>
      </c>
      <c r="G409" s="1022">
        <v>1.6964999999999999</v>
      </c>
      <c r="H409" s="1024">
        <v>0.14096238999999999</v>
      </c>
      <c r="I409" s="1024">
        <v>3.2765999999999998E-5</v>
      </c>
      <c r="J409" s="1025">
        <v>5.9536999999999995</v>
      </c>
    </row>
    <row r="410" spans="2:10" x14ac:dyDescent="0.25">
      <c r="B410" s="1022" t="s">
        <v>891</v>
      </c>
      <c r="C410" s="1023">
        <v>2070</v>
      </c>
      <c r="D410" s="1022">
        <v>1209000</v>
      </c>
      <c r="E410" s="1024">
        <v>1202000</v>
      </c>
      <c r="F410" s="1025">
        <v>1052000</v>
      </c>
      <c r="G410" s="1022">
        <v>17.969000000000001</v>
      </c>
      <c r="H410" s="1024">
        <v>0.164128</v>
      </c>
      <c r="I410" s="1024">
        <v>2.9025999999999998E-4</v>
      </c>
      <c r="J410" s="1025">
        <v>22.988</v>
      </c>
    </row>
    <row r="411" spans="2:10" x14ac:dyDescent="0.25">
      <c r="B411" s="1022" t="s">
        <v>889</v>
      </c>
      <c r="C411" s="1023">
        <v>2070</v>
      </c>
      <c r="D411" s="1022">
        <v>1585000</v>
      </c>
      <c r="E411" s="1024">
        <v>696300</v>
      </c>
      <c r="F411" s="1025">
        <v>286000</v>
      </c>
      <c r="G411" s="1022">
        <v>38.049999999999997</v>
      </c>
      <c r="H411" s="1024">
        <v>0.1118</v>
      </c>
      <c r="I411" s="1024">
        <v>2.5350000000000001E-2</v>
      </c>
      <c r="J411" s="1025">
        <v>45.19</v>
      </c>
    </row>
    <row r="412" spans="2:10" x14ac:dyDescent="0.25">
      <c r="B412" s="1022" t="s">
        <v>892</v>
      </c>
      <c r="C412" s="1023">
        <v>2070</v>
      </c>
      <c r="D412" s="1022">
        <v>1249000</v>
      </c>
      <c r="E412" s="1024">
        <v>1242000</v>
      </c>
      <c r="F412" s="1025">
        <v>1078000</v>
      </c>
      <c r="G412" s="1022">
        <v>23.84</v>
      </c>
      <c r="H412" s="1024">
        <v>0.16985799999999998</v>
      </c>
      <c r="I412" s="1024">
        <v>3.7813000000000001E-4</v>
      </c>
      <c r="J412" s="1025">
        <v>29.157000000000004</v>
      </c>
    </row>
    <row r="413" spans="2:10" x14ac:dyDescent="0.25">
      <c r="B413" s="1022" t="s">
        <v>1054</v>
      </c>
      <c r="C413" s="1023">
        <v>2070</v>
      </c>
      <c r="D413" s="1022">
        <v>1190000</v>
      </c>
      <c r="E413" s="1024">
        <v>51590</v>
      </c>
      <c r="F413" s="1025">
        <v>29220</v>
      </c>
      <c r="G413" s="1022">
        <v>3.7582</v>
      </c>
      <c r="H413" s="1024">
        <v>8.4366999999999984E-3</v>
      </c>
      <c r="I413" s="1024">
        <v>-3.8261190000000002E-3</v>
      </c>
      <c r="J413" s="1025">
        <v>3.0054000000000003</v>
      </c>
    </row>
    <row r="414" spans="2:10" x14ac:dyDescent="0.25">
      <c r="B414" s="1022" t="s">
        <v>800</v>
      </c>
      <c r="C414" s="1023">
        <v>2070</v>
      </c>
      <c r="D414" s="1022">
        <v>1190000</v>
      </c>
      <c r="E414" s="1024">
        <v>51590</v>
      </c>
      <c r="F414" s="1025">
        <v>29220</v>
      </c>
      <c r="G414" s="1022">
        <v>3.7582</v>
      </c>
      <c r="H414" s="1024">
        <v>8.4366999999999984E-3</v>
      </c>
      <c r="I414" s="1024">
        <v>-3.8261190000000002E-3</v>
      </c>
      <c r="J414" s="1025">
        <v>3.0054000000000003</v>
      </c>
    </row>
    <row r="415" spans="2:10" x14ac:dyDescent="0.25">
      <c r="B415" s="1022" t="s">
        <v>806</v>
      </c>
      <c r="C415" s="1023">
        <v>2070</v>
      </c>
      <c r="D415" s="1022">
        <v>1190000</v>
      </c>
      <c r="E415" s="1024">
        <v>51590</v>
      </c>
      <c r="F415" s="1025">
        <v>29220</v>
      </c>
      <c r="G415" s="1022">
        <v>3.7582</v>
      </c>
      <c r="H415" s="1024">
        <v>8.4366999999999984E-3</v>
      </c>
      <c r="I415" s="1024">
        <v>-3.8261190000000002E-3</v>
      </c>
      <c r="J415" s="1025">
        <v>3.0054000000000003</v>
      </c>
    </row>
    <row r="416" spans="2:10" ht="13.8" thickBot="1" x14ac:dyDescent="0.3">
      <c r="B416" s="1026" t="s">
        <v>1061</v>
      </c>
      <c r="C416" s="1027">
        <v>2070</v>
      </c>
      <c r="D416" s="1026">
        <v>1384000</v>
      </c>
      <c r="E416" s="1028">
        <v>1383000</v>
      </c>
      <c r="F416" s="1029">
        <v>5034</v>
      </c>
      <c r="G416" s="1026">
        <v>78.571100000000001</v>
      </c>
      <c r="H416" s="1028">
        <v>0.27494000000000002</v>
      </c>
      <c r="I416" s="1028">
        <v>2.3304000000000003E-3</v>
      </c>
      <c r="J416" s="1029">
        <v>87.594300000000004</v>
      </c>
    </row>
    <row r="417" spans="2:10" x14ac:dyDescent="0.25">
      <c r="B417" s="1018" t="s">
        <v>1058</v>
      </c>
      <c r="C417" s="1019">
        <v>2075</v>
      </c>
      <c r="D417" s="1018">
        <v>1092000</v>
      </c>
      <c r="E417" s="1020">
        <v>1092000</v>
      </c>
      <c r="F417" s="1021">
        <v>3971</v>
      </c>
      <c r="G417" s="1018">
        <v>5.7390999999999996</v>
      </c>
      <c r="H417" s="1020">
        <v>0.18462200000000001</v>
      </c>
      <c r="I417" s="1020">
        <v>8.61E-4</v>
      </c>
      <c r="J417" s="1021">
        <v>11.5648</v>
      </c>
    </row>
    <row r="418" spans="2:10" x14ac:dyDescent="0.25">
      <c r="B418" s="1022" t="s">
        <v>280</v>
      </c>
      <c r="C418" s="1023">
        <v>2075</v>
      </c>
      <c r="D418" s="1022">
        <v>1092000</v>
      </c>
      <c r="E418" s="1024">
        <v>1092000</v>
      </c>
      <c r="F418" s="1025">
        <v>3971</v>
      </c>
      <c r="G418" s="1022">
        <v>5.7390999999999996</v>
      </c>
      <c r="H418" s="1024">
        <v>0.18462200000000001</v>
      </c>
      <c r="I418" s="1024">
        <v>8.61E-4</v>
      </c>
      <c r="J418" s="1025">
        <v>11.5648</v>
      </c>
    </row>
    <row r="419" spans="2:10" x14ac:dyDescent="0.25">
      <c r="B419" s="1022" t="s">
        <v>1059</v>
      </c>
      <c r="C419" s="1023">
        <v>2075</v>
      </c>
      <c r="D419" s="1022">
        <v>1092000</v>
      </c>
      <c r="E419" s="1024">
        <v>1092000</v>
      </c>
      <c r="F419" s="1025">
        <v>3971</v>
      </c>
      <c r="G419" s="1022">
        <v>5.7390999999999996</v>
      </c>
      <c r="H419" s="1024">
        <v>0.18462200000000001</v>
      </c>
      <c r="I419" s="1024">
        <v>8.61E-4</v>
      </c>
      <c r="J419" s="1025">
        <v>11.5648</v>
      </c>
    </row>
    <row r="420" spans="2:10" x14ac:dyDescent="0.25">
      <c r="B420" s="1022" t="s">
        <v>666</v>
      </c>
      <c r="C420" s="1023">
        <v>2075</v>
      </c>
      <c r="D420" s="1022">
        <v>1092000</v>
      </c>
      <c r="E420" s="1024">
        <v>1092000</v>
      </c>
      <c r="F420" s="1025">
        <v>3971</v>
      </c>
      <c r="G420" s="1022">
        <v>5.7390999999999996</v>
      </c>
      <c r="H420" s="1024">
        <v>0.18462200000000001</v>
      </c>
      <c r="I420" s="1024">
        <v>8.61E-4</v>
      </c>
      <c r="J420" s="1025">
        <v>11.5648</v>
      </c>
    </row>
    <row r="421" spans="2:10" x14ac:dyDescent="0.25">
      <c r="B421" s="1022" t="s">
        <v>667</v>
      </c>
      <c r="C421" s="1023">
        <v>2075</v>
      </c>
      <c r="D421" s="1022">
        <v>-1185000</v>
      </c>
      <c r="E421" s="1024">
        <v>0</v>
      </c>
      <c r="F421" s="1025">
        <v>0</v>
      </c>
      <c r="G421" s="1022">
        <v>-85.800000000000011</v>
      </c>
      <c r="H421" s="1024">
        <v>0.54700000000000004</v>
      </c>
      <c r="I421" s="1024">
        <v>-1.8286999999999999E-3</v>
      </c>
      <c r="J421" s="1025">
        <v>-70.08</v>
      </c>
    </row>
    <row r="422" spans="2:10" x14ac:dyDescent="0.25">
      <c r="B422" s="1022" t="s">
        <v>668</v>
      </c>
      <c r="C422" s="1023">
        <v>2075</v>
      </c>
      <c r="D422" s="1022">
        <v>1721000</v>
      </c>
      <c r="E422" s="1024">
        <v>1293000</v>
      </c>
      <c r="F422" s="1025">
        <v>15050</v>
      </c>
      <c r="G422" s="1022">
        <v>125.08</v>
      </c>
      <c r="H422" s="1024">
        <v>0.20477100000000001</v>
      </c>
      <c r="I422" s="1024">
        <v>1.7827000000000001E-3</v>
      </c>
      <c r="J422" s="1025">
        <v>129.82</v>
      </c>
    </row>
    <row r="423" spans="2:10" x14ac:dyDescent="0.25">
      <c r="B423" s="1022" t="s">
        <v>683</v>
      </c>
      <c r="C423" s="1023">
        <v>2075</v>
      </c>
      <c r="D423" s="1022">
        <v>1721000</v>
      </c>
      <c r="E423" s="1024">
        <v>1293000</v>
      </c>
      <c r="F423" s="1025">
        <v>15050</v>
      </c>
      <c r="G423" s="1022">
        <v>125.08</v>
      </c>
      <c r="H423" s="1024">
        <v>0.20477100000000001</v>
      </c>
      <c r="I423" s="1024">
        <v>1.7827000000000001E-3</v>
      </c>
      <c r="J423" s="1025">
        <v>129.82</v>
      </c>
    </row>
    <row r="424" spans="2:10" x14ac:dyDescent="0.25">
      <c r="B424" s="1022" t="s">
        <v>669</v>
      </c>
      <c r="C424" s="1023">
        <v>2075</v>
      </c>
      <c r="D424" s="1022">
        <v>1721000</v>
      </c>
      <c r="E424" s="1024">
        <v>1293000</v>
      </c>
      <c r="F424" s="1025">
        <v>15050</v>
      </c>
      <c r="G424" s="1022">
        <v>125.08</v>
      </c>
      <c r="H424" s="1024">
        <v>0.20477100000000001</v>
      </c>
      <c r="I424" s="1024">
        <v>1.7827000000000001E-3</v>
      </c>
      <c r="J424" s="1025">
        <v>129.82</v>
      </c>
    </row>
    <row r="425" spans="2:10" x14ac:dyDescent="0.25">
      <c r="B425" s="1022" t="s">
        <v>1060</v>
      </c>
      <c r="C425" s="1023">
        <v>2075</v>
      </c>
      <c r="D425" s="1022">
        <v>1022000</v>
      </c>
      <c r="E425" s="1024">
        <v>1021000</v>
      </c>
      <c r="F425" s="1025">
        <v>15510</v>
      </c>
      <c r="G425" s="1022">
        <v>1.6964999999999999</v>
      </c>
      <c r="H425" s="1024">
        <v>0.14096238999999999</v>
      </c>
      <c r="I425" s="1024">
        <v>3.2765999999999998E-5</v>
      </c>
      <c r="J425" s="1025">
        <v>5.9536999999999995</v>
      </c>
    </row>
    <row r="426" spans="2:10" x14ac:dyDescent="0.25">
      <c r="B426" s="1022" t="s">
        <v>701</v>
      </c>
      <c r="C426" s="1023">
        <v>2075</v>
      </c>
      <c r="D426" s="1022">
        <v>1022000</v>
      </c>
      <c r="E426" s="1024">
        <v>1021000</v>
      </c>
      <c r="F426" s="1025">
        <v>15510</v>
      </c>
      <c r="G426" s="1022">
        <v>1.6964999999999999</v>
      </c>
      <c r="H426" s="1024">
        <v>0.14096238999999999</v>
      </c>
      <c r="I426" s="1024">
        <v>3.2765999999999998E-5</v>
      </c>
      <c r="J426" s="1025">
        <v>5.9536999999999995</v>
      </c>
    </row>
    <row r="427" spans="2:10" x14ac:dyDescent="0.25">
      <c r="B427" s="1022" t="s">
        <v>702</v>
      </c>
      <c r="C427" s="1023">
        <v>2075</v>
      </c>
      <c r="D427" s="1022">
        <v>1022000</v>
      </c>
      <c r="E427" s="1024">
        <v>1021000</v>
      </c>
      <c r="F427" s="1025">
        <v>15510</v>
      </c>
      <c r="G427" s="1022">
        <v>1.6964999999999999</v>
      </c>
      <c r="H427" s="1024">
        <v>0.14096238999999999</v>
      </c>
      <c r="I427" s="1024">
        <v>3.2765999999999998E-5</v>
      </c>
      <c r="J427" s="1025">
        <v>5.9536999999999995</v>
      </c>
    </row>
    <row r="428" spans="2:10" x14ac:dyDescent="0.25">
      <c r="B428" s="1022" t="s">
        <v>891</v>
      </c>
      <c r="C428" s="1023">
        <v>2075</v>
      </c>
      <c r="D428" s="1022">
        <v>1209000</v>
      </c>
      <c r="E428" s="1024">
        <v>1202000</v>
      </c>
      <c r="F428" s="1025">
        <v>1052000</v>
      </c>
      <c r="G428" s="1022">
        <v>17.969000000000001</v>
      </c>
      <c r="H428" s="1024">
        <v>0.164128</v>
      </c>
      <c r="I428" s="1024">
        <v>2.9025999999999998E-4</v>
      </c>
      <c r="J428" s="1025">
        <v>22.988</v>
      </c>
    </row>
    <row r="429" spans="2:10" x14ac:dyDescent="0.25">
      <c r="B429" s="1022" t="s">
        <v>889</v>
      </c>
      <c r="C429" s="1023">
        <v>2075</v>
      </c>
      <c r="D429" s="1022">
        <v>1585000</v>
      </c>
      <c r="E429" s="1024">
        <v>696300</v>
      </c>
      <c r="F429" s="1025">
        <v>286000</v>
      </c>
      <c r="G429" s="1022">
        <v>38.049999999999997</v>
      </c>
      <c r="H429" s="1024">
        <v>0.1118</v>
      </c>
      <c r="I429" s="1024">
        <v>2.5350000000000001E-2</v>
      </c>
      <c r="J429" s="1025">
        <v>45.19</v>
      </c>
    </row>
    <row r="430" spans="2:10" x14ac:dyDescent="0.25">
      <c r="B430" s="1022" t="s">
        <v>892</v>
      </c>
      <c r="C430" s="1023">
        <v>2075</v>
      </c>
      <c r="D430" s="1022">
        <v>1249000</v>
      </c>
      <c r="E430" s="1024">
        <v>1242000</v>
      </c>
      <c r="F430" s="1025">
        <v>1078000</v>
      </c>
      <c r="G430" s="1022">
        <v>23.84</v>
      </c>
      <c r="H430" s="1024">
        <v>0.16985799999999998</v>
      </c>
      <c r="I430" s="1024">
        <v>3.7813000000000001E-4</v>
      </c>
      <c r="J430" s="1025">
        <v>29.157000000000004</v>
      </c>
    </row>
    <row r="431" spans="2:10" x14ac:dyDescent="0.25">
      <c r="B431" s="1022" t="s">
        <v>1054</v>
      </c>
      <c r="C431" s="1023">
        <v>2075</v>
      </c>
      <c r="D431" s="1022">
        <v>1190000</v>
      </c>
      <c r="E431" s="1024">
        <v>51590</v>
      </c>
      <c r="F431" s="1025">
        <v>29220</v>
      </c>
      <c r="G431" s="1022">
        <v>3.7582</v>
      </c>
      <c r="H431" s="1024">
        <v>8.4366999999999984E-3</v>
      </c>
      <c r="I431" s="1024">
        <v>-3.8261190000000002E-3</v>
      </c>
      <c r="J431" s="1025">
        <v>3.0054000000000003</v>
      </c>
    </row>
    <row r="432" spans="2:10" x14ac:dyDescent="0.25">
      <c r="B432" s="1022" t="s">
        <v>800</v>
      </c>
      <c r="C432" s="1023">
        <v>2075</v>
      </c>
      <c r="D432" s="1022">
        <v>1190000</v>
      </c>
      <c r="E432" s="1024">
        <v>51590</v>
      </c>
      <c r="F432" s="1025">
        <v>29220</v>
      </c>
      <c r="G432" s="1022">
        <v>3.7582</v>
      </c>
      <c r="H432" s="1024">
        <v>8.4366999999999984E-3</v>
      </c>
      <c r="I432" s="1024">
        <v>-3.8261190000000002E-3</v>
      </c>
      <c r="J432" s="1025">
        <v>3.0054000000000003</v>
      </c>
    </row>
    <row r="433" spans="2:10" x14ac:dyDescent="0.25">
      <c r="B433" s="1022" t="s">
        <v>806</v>
      </c>
      <c r="C433" s="1023">
        <v>2075</v>
      </c>
      <c r="D433" s="1022">
        <v>1190000</v>
      </c>
      <c r="E433" s="1024">
        <v>51590</v>
      </c>
      <c r="F433" s="1025">
        <v>29220</v>
      </c>
      <c r="G433" s="1022">
        <v>3.7582</v>
      </c>
      <c r="H433" s="1024">
        <v>8.4366999999999984E-3</v>
      </c>
      <c r="I433" s="1024">
        <v>-3.8261190000000002E-3</v>
      </c>
      <c r="J433" s="1025">
        <v>3.0054000000000003</v>
      </c>
    </row>
    <row r="434" spans="2:10" ht="13.8" thickBot="1" x14ac:dyDescent="0.3">
      <c r="B434" s="1026" t="s">
        <v>1061</v>
      </c>
      <c r="C434" s="1027">
        <v>2075</v>
      </c>
      <c r="D434" s="1026">
        <v>1384000</v>
      </c>
      <c r="E434" s="1028">
        <v>1383000</v>
      </c>
      <c r="F434" s="1029">
        <v>5034</v>
      </c>
      <c r="G434" s="1026">
        <v>78.571100000000001</v>
      </c>
      <c r="H434" s="1028">
        <v>0.27494000000000002</v>
      </c>
      <c r="I434" s="1028">
        <v>2.3304000000000003E-3</v>
      </c>
      <c r="J434" s="1029">
        <v>87.594300000000004</v>
      </c>
    </row>
    <row r="435" spans="2:10" x14ac:dyDescent="0.25">
      <c r="B435" s="1018" t="s">
        <v>1058</v>
      </c>
      <c r="C435" s="1019">
        <v>2080</v>
      </c>
      <c r="D435" s="1018">
        <v>1092000</v>
      </c>
      <c r="E435" s="1020">
        <v>1092000</v>
      </c>
      <c r="F435" s="1021">
        <v>3971</v>
      </c>
      <c r="G435" s="1018">
        <v>5.7390999999999996</v>
      </c>
      <c r="H435" s="1020">
        <v>0.18462200000000001</v>
      </c>
      <c r="I435" s="1020">
        <v>8.61E-4</v>
      </c>
      <c r="J435" s="1021">
        <v>11.5648</v>
      </c>
    </row>
    <row r="436" spans="2:10" x14ac:dyDescent="0.25">
      <c r="B436" s="1022" t="s">
        <v>280</v>
      </c>
      <c r="C436" s="1023">
        <v>2080</v>
      </c>
      <c r="D436" s="1022">
        <v>1092000</v>
      </c>
      <c r="E436" s="1024">
        <v>1092000</v>
      </c>
      <c r="F436" s="1025">
        <v>3971</v>
      </c>
      <c r="G436" s="1022">
        <v>5.7390999999999996</v>
      </c>
      <c r="H436" s="1024">
        <v>0.18462200000000001</v>
      </c>
      <c r="I436" s="1024">
        <v>8.61E-4</v>
      </c>
      <c r="J436" s="1025">
        <v>11.5648</v>
      </c>
    </row>
    <row r="437" spans="2:10" x14ac:dyDescent="0.25">
      <c r="B437" s="1022" t="s">
        <v>1059</v>
      </c>
      <c r="C437" s="1023">
        <v>2080</v>
      </c>
      <c r="D437" s="1022">
        <v>1092000</v>
      </c>
      <c r="E437" s="1024">
        <v>1092000</v>
      </c>
      <c r="F437" s="1025">
        <v>3971</v>
      </c>
      <c r="G437" s="1022">
        <v>5.7390999999999996</v>
      </c>
      <c r="H437" s="1024">
        <v>0.18462200000000001</v>
      </c>
      <c r="I437" s="1024">
        <v>8.61E-4</v>
      </c>
      <c r="J437" s="1025">
        <v>11.5648</v>
      </c>
    </row>
    <row r="438" spans="2:10" x14ac:dyDescent="0.25">
      <c r="B438" s="1022" t="s">
        <v>666</v>
      </c>
      <c r="C438" s="1023">
        <v>2080</v>
      </c>
      <c r="D438" s="1022">
        <v>1092000</v>
      </c>
      <c r="E438" s="1024">
        <v>1092000</v>
      </c>
      <c r="F438" s="1025">
        <v>3971</v>
      </c>
      <c r="G438" s="1022">
        <v>5.7390999999999996</v>
      </c>
      <c r="H438" s="1024">
        <v>0.18462200000000001</v>
      </c>
      <c r="I438" s="1024">
        <v>8.61E-4</v>
      </c>
      <c r="J438" s="1025">
        <v>11.5648</v>
      </c>
    </row>
    <row r="439" spans="2:10" x14ac:dyDescent="0.25">
      <c r="B439" s="1022" t="s">
        <v>667</v>
      </c>
      <c r="C439" s="1023">
        <v>2080</v>
      </c>
      <c r="D439" s="1022">
        <v>-1185000</v>
      </c>
      <c r="E439" s="1024">
        <v>0</v>
      </c>
      <c r="F439" s="1025">
        <v>0</v>
      </c>
      <c r="G439" s="1022">
        <v>-85.800000000000011</v>
      </c>
      <c r="H439" s="1024">
        <v>0.54700000000000004</v>
      </c>
      <c r="I439" s="1024">
        <v>-1.8286999999999999E-3</v>
      </c>
      <c r="J439" s="1025">
        <v>-70.08</v>
      </c>
    </row>
    <row r="440" spans="2:10" x14ac:dyDescent="0.25">
      <c r="B440" s="1022" t="s">
        <v>668</v>
      </c>
      <c r="C440" s="1023">
        <v>2080</v>
      </c>
      <c r="D440" s="1022">
        <v>1721000</v>
      </c>
      <c r="E440" s="1024">
        <v>1293000</v>
      </c>
      <c r="F440" s="1025">
        <v>15050</v>
      </c>
      <c r="G440" s="1022">
        <v>125.08</v>
      </c>
      <c r="H440" s="1024">
        <v>0.20477100000000001</v>
      </c>
      <c r="I440" s="1024">
        <v>1.7827000000000001E-3</v>
      </c>
      <c r="J440" s="1025">
        <v>129.82</v>
      </c>
    </row>
    <row r="441" spans="2:10" x14ac:dyDescent="0.25">
      <c r="B441" s="1022" t="s">
        <v>683</v>
      </c>
      <c r="C441" s="1023">
        <v>2080</v>
      </c>
      <c r="D441" s="1022">
        <v>1721000</v>
      </c>
      <c r="E441" s="1024">
        <v>1293000</v>
      </c>
      <c r="F441" s="1025">
        <v>15050</v>
      </c>
      <c r="G441" s="1022">
        <v>125.08</v>
      </c>
      <c r="H441" s="1024">
        <v>0.20477100000000001</v>
      </c>
      <c r="I441" s="1024">
        <v>1.7827000000000001E-3</v>
      </c>
      <c r="J441" s="1025">
        <v>129.82</v>
      </c>
    </row>
    <row r="442" spans="2:10" x14ac:dyDescent="0.25">
      <c r="B442" s="1022" t="s">
        <v>669</v>
      </c>
      <c r="C442" s="1023">
        <v>2080</v>
      </c>
      <c r="D442" s="1022">
        <v>1721000</v>
      </c>
      <c r="E442" s="1024">
        <v>1293000</v>
      </c>
      <c r="F442" s="1025">
        <v>15050</v>
      </c>
      <c r="G442" s="1022">
        <v>125.08</v>
      </c>
      <c r="H442" s="1024">
        <v>0.20477100000000001</v>
      </c>
      <c r="I442" s="1024">
        <v>1.7827000000000001E-3</v>
      </c>
      <c r="J442" s="1025">
        <v>129.82</v>
      </c>
    </row>
    <row r="443" spans="2:10" x14ac:dyDescent="0.25">
      <c r="B443" s="1022" t="s">
        <v>1060</v>
      </c>
      <c r="C443" s="1023">
        <v>2080</v>
      </c>
      <c r="D443" s="1022">
        <v>1022000</v>
      </c>
      <c r="E443" s="1024">
        <v>1021000</v>
      </c>
      <c r="F443" s="1025">
        <v>15510</v>
      </c>
      <c r="G443" s="1022">
        <v>1.6964999999999999</v>
      </c>
      <c r="H443" s="1024">
        <v>0.14096238999999999</v>
      </c>
      <c r="I443" s="1024">
        <v>3.2765999999999998E-5</v>
      </c>
      <c r="J443" s="1025">
        <v>5.9536999999999995</v>
      </c>
    </row>
    <row r="444" spans="2:10" x14ac:dyDescent="0.25">
      <c r="B444" s="1022" t="s">
        <v>701</v>
      </c>
      <c r="C444" s="1023">
        <v>2080</v>
      </c>
      <c r="D444" s="1022">
        <v>1022000</v>
      </c>
      <c r="E444" s="1024">
        <v>1021000</v>
      </c>
      <c r="F444" s="1025">
        <v>15510</v>
      </c>
      <c r="G444" s="1022">
        <v>1.6964999999999999</v>
      </c>
      <c r="H444" s="1024">
        <v>0.14096238999999999</v>
      </c>
      <c r="I444" s="1024">
        <v>3.2765999999999998E-5</v>
      </c>
      <c r="J444" s="1025">
        <v>5.9536999999999995</v>
      </c>
    </row>
    <row r="445" spans="2:10" x14ac:dyDescent="0.25">
      <c r="B445" s="1022" t="s">
        <v>702</v>
      </c>
      <c r="C445" s="1023">
        <v>2080</v>
      </c>
      <c r="D445" s="1022">
        <v>1022000</v>
      </c>
      <c r="E445" s="1024">
        <v>1021000</v>
      </c>
      <c r="F445" s="1025">
        <v>15510</v>
      </c>
      <c r="G445" s="1022">
        <v>1.6964999999999999</v>
      </c>
      <c r="H445" s="1024">
        <v>0.14096238999999999</v>
      </c>
      <c r="I445" s="1024">
        <v>3.2765999999999998E-5</v>
      </c>
      <c r="J445" s="1025">
        <v>5.9536999999999995</v>
      </c>
    </row>
    <row r="446" spans="2:10" x14ac:dyDescent="0.25">
      <c r="B446" s="1022" t="s">
        <v>891</v>
      </c>
      <c r="C446" s="1023">
        <v>2080</v>
      </c>
      <c r="D446" s="1022">
        <v>1209000</v>
      </c>
      <c r="E446" s="1024">
        <v>1202000</v>
      </c>
      <c r="F446" s="1025">
        <v>1052000</v>
      </c>
      <c r="G446" s="1022">
        <v>17.969000000000001</v>
      </c>
      <c r="H446" s="1024">
        <v>0.164128</v>
      </c>
      <c r="I446" s="1024">
        <v>2.9025999999999998E-4</v>
      </c>
      <c r="J446" s="1025">
        <v>22.988</v>
      </c>
    </row>
    <row r="447" spans="2:10" x14ac:dyDescent="0.25">
      <c r="B447" s="1022" t="s">
        <v>889</v>
      </c>
      <c r="C447" s="1023">
        <v>2080</v>
      </c>
      <c r="D447" s="1022">
        <v>1585000</v>
      </c>
      <c r="E447" s="1024">
        <v>696300</v>
      </c>
      <c r="F447" s="1025">
        <v>286000</v>
      </c>
      <c r="G447" s="1022">
        <v>38.049999999999997</v>
      </c>
      <c r="H447" s="1024">
        <v>0.1118</v>
      </c>
      <c r="I447" s="1024">
        <v>2.5350000000000001E-2</v>
      </c>
      <c r="J447" s="1025">
        <v>45.19</v>
      </c>
    </row>
    <row r="448" spans="2:10" x14ac:dyDescent="0.25">
      <c r="B448" s="1022" t="s">
        <v>892</v>
      </c>
      <c r="C448" s="1023">
        <v>2080</v>
      </c>
      <c r="D448" s="1022">
        <v>1249000</v>
      </c>
      <c r="E448" s="1024">
        <v>1242000</v>
      </c>
      <c r="F448" s="1025">
        <v>1078000</v>
      </c>
      <c r="G448" s="1022">
        <v>23.84</v>
      </c>
      <c r="H448" s="1024">
        <v>0.16985799999999998</v>
      </c>
      <c r="I448" s="1024">
        <v>3.7813000000000001E-4</v>
      </c>
      <c r="J448" s="1025">
        <v>29.157000000000004</v>
      </c>
    </row>
    <row r="449" spans="2:10" x14ac:dyDescent="0.25">
      <c r="B449" s="1022" t="s">
        <v>1054</v>
      </c>
      <c r="C449" s="1023">
        <v>2080</v>
      </c>
      <c r="D449" s="1022">
        <v>1190000</v>
      </c>
      <c r="E449" s="1024">
        <v>51590</v>
      </c>
      <c r="F449" s="1025">
        <v>29220</v>
      </c>
      <c r="G449" s="1022">
        <v>3.7582</v>
      </c>
      <c r="H449" s="1024">
        <v>8.4366999999999984E-3</v>
      </c>
      <c r="I449" s="1024">
        <v>-3.8261190000000002E-3</v>
      </c>
      <c r="J449" s="1025">
        <v>3.0054000000000003</v>
      </c>
    </row>
    <row r="450" spans="2:10" x14ac:dyDescent="0.25">
      <c r="B450" s="1022" t="s">
        <v>800</v>
      </c>
      <c r="C450" s="1023">
        <v>2080</v>
      </c>
      <c r="D450" s="1022">
        <v>1190000</v>
      </c>
      <c r="E450" s="1024">
        <v>51590</v>
      </c>
      <c r="F450" s="1025">
        <v>29220</v>
      </c>
      <c r="G450" s="1022">
        <v>3.7582</v>
      </c>
      <c r="H450" s="1024">
        <v>8.4366999999999984E-3</v>
      </c>
      <c r="I450" s="1024">
        <v>-3.8261190000000002E-3</v>
      </c>
      <c r="J450" s="1025">
        <v>3.0054000000000003</v>
      </c>
    </row>
    <row r="451" spans="2:10" x14ac:dyDescent="0.25">
      <c r="B451" s="1022" t="s">
        <v>806</v>
      </c>
      <c r="C451" s="1023">
        <v>2080</v>
      </c>
      <c r="D451" s="1022">
        <v>1190000</v>
      </c>
      <c r="E451" s="1024">
        <v>51590</v>
      </c>
      <c r="F451" s="1025">
        <v>29220</v>
      </c>
      <c r="G451" s="1022">
        <v>3.7582</v>
      </c>
      <c r="H451" s="1024">
        <v>8.4366999999999984E-3</v>
      </c>
      <c r="I451" s="1024">
        <v>-3.8261190000000002E-3</v>
      </c>
      <c r="J451" s="1025">
        <v>3.0054000000000003</v>
      </c>
    </row>
    <row r="452" spans="2:10" ht="13.8" thickBot="1" x14ac:dyDescent="0.3">
      <c r="B452" s="1026" t="s">
        <v>1061</v>
      </c>
      <c r="C452" s="1027">
        <v>2080</v>
      </c>
      <c r="D452" s="1026">
        <v>1384000</v>
      </c>
      <c r="E452" s="1028">
        <v>1383000</v>
      </c>
      <c r="F452" s="1029">
        <v>5034</v>
      </c>
      <c r="G452" s="1026">
        <v>78.571100000000001</v>
      </c>
      <c r="H452" s="1028">
        <v>0.27494000000000002</v>
      </c>
      <c r="I452" s="1028">
        <v>2.3304000000000003E-3</v>
      </c>
      <c r="J452" s="1029">
        <v>87.594300000000004</v>
      </c>
    </row>
    <row r="453" spans="2:10" x14ac:dyDescent="0.25">
      <c r="B453" s="1018" t="s">
        <v>1058</v>
      </c>
      <c r="C453" s="1019">
        <v>2085</v>
      </c>
      <c r="D453" s="1018">
        <v>1092000</v>
      </c>
      <c r="E453" s="1020">
        <v>1092000</v>
      </c>
      <c r="F453" s="1021">
        <v>3971</v>
      </c>
      <c r="G453" s="1018">
        <v>5.7390999999999996</v>
      </c>
      <c r="H453" s="1020">
        <v>0.18462200000000001</v>
      </c>
      <c r="I453" s="1020">
        <v>8.61E-4</v>
      </c>
      <c r="J453" s="1021">
        <v>11.5648</v>
      </c>
    </row>
    <row r="454" spans="2:10" x14ac:dyDescent="0.25">
      <c r="B454" s="1022" t="s">
        <v>280</v>
      </c>
      <c r="C454" s="1023">
        <v>2085</v>
      </c>
      <c r="D454" s="1022">
        <v>1092000</v>
      </c>
      <c r="E454" s="1024">
        <v>1092000</v>
      </c>
      <c r="F454" s="1025">
        <v>3971</v>
      </c>
      <c r="G454" s="1022">
        <v>5.7390999999999996</v>
      </c>
      <c r="H454" s="1024">
        <v>0.18462200000000001</v>
      </c>
      <c r="I454" s="1024">
        <v>8.61E-4</v>
      </c>
      <c r="J454" s="1025">
        <v>11.5648</v>
      </c>
    </row>
    <row r="455" spans="2:10" x14ac:dyDescent="0.25">
      <c r="B455" s="1022" t="s">
        <v>1059</v>
      </c>
      <c r="C455" s="1023">
        <v>2085</v>
      </c>
      <c r="D455" s="1022">
        <v>1092000</v>
      </c>
      <c r="E455" s="1024">
        <v>1092000</v>
      </c>
      <c r="F455" s="1025">
        <v>3971</v>
      </c>
      <c r="G455" s="1022">
        <v>5.7390999999999996</v>
      </c>
      <c r="H455" s="1024">
        <v>0.18462200000000001</v>
      </c>
      <c r="I455" s="1024">
        <v>8.61E-4</v>
      </c>
      <c r="J455" s="1025">
        <v>11.5648</v>
      </c>
    </row>
    <row r="456" spans="2:10" x14ac:dyDescent="0.25">
      <c r="B456" s="1022" t="s">
        <v>666</v>
      </c>
      <c r="C456" s="1023">
        <v>2085</v>
      </c>
      <c r="D456" s="1022">
        <v>1092000</v>
      </c>
      <c r="E456" s="1024">
        <v>1092000</v>
      </c>
      <c r="F456" s="1025">
        <v>3971</v>
      </c>
      <c r="G456" s="1022">
        <v>5.7390999999999996</v>
      </c>
      <c r="H456" s="1024">
        <v>0.18462200000000001</v>
      </c>
      <c r="I456" s="1024">
        <v>8.61E-4</v>
      </c>
      <c r="J456" s="1025">
        <v>11.5648</v>
      </c>
    </row>
    <row r="457" spans="2:10" x14ac:dyDescent="0.25">
      <c r="B457" s="1022" t="s">
        <v>667</v>
      </c>
      <c r="C457" s="1023">
        <v>2085</v>
      </c>
      <c r="D457" s="1022">
        <v>-1185000</v>
      </c>
      <c r="E457" s="1024">
        <v>0</v>
      </c>
      <c r="F457" s="1025">
        <v>0</v>
      </c>
      <c r="G457" s="1022">
        <v>-85.800000000000011</v>
      </c>
      <c r="H457" s="1024">
        <v>0.54700000000000004</v>
      </c>
      <c r="I457" s="1024">
        <v>-1.8286999999999999E-3</v>
      </c>
      <c r="J457" s="1025">
        <v>-70.08</v>
      </c>
    </row>
    <row r="458" spans="2:10" x14ac:dyDescent="0.25">
      <c r="B458" s="1022" t="s">
        <v>668</v>
      </c>
      <c r="C458" s="1023">
        <v>2085</v>
      </c>
      <c r="D458" s="1022">
        <v>1721000</v>
      </c>
      <c r="E458" s="1024">
        <v>1293000</v>
      </c>
      <c r="F458" s="1025">
        <v>15050</v>
      </c>
      <c r="G458" s="1022">
        <v>125.08</v>
      </c>
      <c r="H458" s="1024">
        <v>0.20477100000000001</v>
      </c>
      <c r="I458" s="1024">
        <v>1.7827000000000001E-3</v>
      </c>
      <c r="J458" s="1025">
        <v>129.82</v>
      </c>
    </row>
    <row r="459" spans="2:10" x14ac:dyDescent="0.25">
      <c r="B459" s="1022" t="s">
        <v>683</v>
      </c>
      <c r="C459" s="1023">
        <v>2085</v>
      </c>
      <c r="D459" s="1022">
        <v>1721000</v>
      </c>
      <c r="E459" s="1024">
        <v>1293000</v>
      </c>
      <c r="F459" s="1025">
        <v>15050</v>
      </c>
      <c r="G459" s="1022">
        <v>125.08</v>
      </c>
      <c r="H459" s="1024">
        <v>0.20477100000000001</v>
      </c>
      <c r="I459" s="1024">
        <v>1.7827000000000001E-3</v>
      </c>
      <c r="J459" s="1025">
        <v>129.82</v>
      </c>
    </row>
    <row r="460" spans="2:10" x14ac:dyDescent="0.25">
      <c r="B460" s="1022" t="s">
        <v>669</v>
      </c>
      <c r="C460" s="1023">
        <v>2085</v>
      </c>
      <c r="D460" s="1022">
        <v>1721000</v>
      </c>
      <c r="E460" s="1024">
        <v>1293000</v>
      </c>
      <c r="F460" s="1025">
        <v>15050</v>
      </c>
      <c r="G460" s="1022">
        <v>125.08</v>
      </c>
      <c r="H460" s="1024">
        <v>0.20477100000000001</v>
      </c>
      <c r="I460" s="1024">
        <v>1.7827000000000001E-3</v>
      </c>
      <c r="J460" s="1025">
        <v>129.82</v>
      </c>
    </row>
    <row r="461" spans="2:10" x14ac:dyDescent="0.25">
      <c r="B461" s="1022" t="s">
        <v>1060</v>
      </c>
      <c r="C461" s="1023">
        <v>2085</v>
      </c>
      <c r="D461" s="1022">
        <v>1022000</v>
      </c>
      <c r="E461" s="1024">
        <v>1021000</v>
      </c>
      <c r="F461" s="1025">
        <v>15510</v>
      </c>
      <c r="G461" s="1022">
        <v>1.6964999999999999</v>
      </c>
      <c r="H461" s="1024">
        <v>0.14096238999999999</v>
      </c>
      <c r="I461" s="1024">
        <v>3.2765999999999998E-5</v>
      </c>
      <c r="J461" s="1025">
        <v>5.9536999999999995</v>
      </c>
    </row>
    <row r="462" spans="2:10" x14ac:dyDescent="0.25">
      <c r="B462" s="1022" t="s">
        <v>701</v>
      </c>
      <c r="C462" s="1023">
        <v>2085</v>
      </c>
      <c r="D462" s="1022">
        <v>1022000</v>
      </c>
      <c r="E462" s="1024">
        <v>1021000</v>
      </c>
      <c r="F462" s="1025">
        <v>15510</v>
      </c>
      <c r="G462" s="1022">
        <v>1.6964999999999999</v>
      </c>
      <c r="H462" s="1024">
        <v>0.14096238999999999</v>
      </c>
      <c r="I462" s="1024">
        <v>3.2765999999999998E-5</v>
      </c>
      <c r="J462" s="1025">
        <v>5.9536999999999995</v>
      </c>
    </row>
    <row r="463" spans="2:10" x14ac:dyDescent="0.25">
      <c r="B463" s="1022" t="s">
        <v>702</v>
      </c>
      <c r="C463" s="1023">
        <v>2085</v>
      </c>
      <c r="D463" s="1022">
        <v>1022000</v>
      </c>
      <c r="E463" s="1024">
        <v>1021000</v>
      </c>
      <c r="F463" s="1025">
        <v>15510</v>
      </c>
      <c r="G463" s="1022">
        <v>1.6964999999999999</v>
      </c>
      <c r="H463" s="1024">
        <v>0.14096238999999999</v>
      </c>
      <c r="I463" s="1024">
        <v>3.2765999999999998E-5</v>
      </c>
      <c r="J463" s="1025">
        <v>5.9536999999999995</v>
      </c>
    </row>
    <row r="464" spans="2:10" x14ac:dyDescent="0.25">
      <c r="B464" s="1022" t="s">
        <v>891</v>
      </c>
      <c r="C464" s="1023">
        <v>2085</v>
      </c>
      <c r="D464" s="1022">
        <v>1209000</v>
      </c>
      <c r="E464" s="1024">
        <v>1202000</v>
      </c>
      <c r="F464" s="1025">
        <v>1052000</v>
      </c>
      <c r="G464" s="1022">
        <v>17.969000000000001</v>
      </c>
      <c r="H464" s="1024">
        <v>0.164128</v>
      </c>
      <c r="I464" s="1024">
        <v>2.9025999999999998E-4</v>
      </c>
      <c r="J464" s="1025">
        <v>22.988</v>
      </c>
    </row>
    <row r="465" spans="2:10" x14ac:dyDescent="0.25">
      <c r="B465" s="1022" t="s">
        <v>889</v>
      </c>
      <c r="C465" s="1023">
        <v>2085</v>
      </c>
      <c r="D465" s="1022">
        <v>1585000</v>
      </c>
      <c r="E465" s="1024">
        <v>696300</v>
      </c>
      <c r="F465" s="1025">
        <v>286000</v>
      </c>
      <c r="G465" s="1022">
        <v>38.049999999999997</v>
      </c>
      <c r="H465" s="1024">
        <v>0.1118</v>
      </c>
      <c r="I465" s="1024">
        <v>2.5350000000000001E-2</v>
      </c>
      <c r="J465" s="1025">
        <v>45.19</v>
      </c>
    </row>
    <row r="466" spans="2:10" x14ac:dyDescent="0.25">
      <c r="B466" s="1022" t="s">
        <v>892</v>
      </c>
      <c r="C466" s="1023">
        <v>2085</v>
      </c>
      <c r="D466" s="1022">
        <v>1249000</v>
      </c>
      <c r="E466" s="1024">
        <v>1242000</v>
      </c>
      <c r="F466" s="1025">
        <v>1078000</v>
      </c>
      <c r="G466" s="1022">
        <v>23.84</v>
      </c>
      <c r="H466" s="1024">
        <v>0.16985799999999998</v>
      </c>
      <c r="I466" s="1024">
        <v>3.7813000000000001E-4</v>
      </c>
      <c r="J466" s="1025">
        <v>29.157000000000004</v>
      </c>
    </row>
    <row r="467" spans="2:10" x14ac:dyDescent="0.25">
      <c r="B467" s="1022" t="s">
        <v>1054</v>
      </c>
      <c r="C467" s="1023">
        <v>2085</v>
      </c>
      <c r="D467" s="1022">
        <v>1190000</v>
      </c>
      <c r="E467" s="1024">
        <v>51590</v>
      </c>
      <c r="F467" s="1025">
        <v>29220</v>
      </c>
      <c r="G467" s="1022">
        <v>3.7582</v>
      </c>
      <c r="H467" s="1024">
        <v>8.4366999999999984E-3</v>
      </c>
      <c r="I467" s="1024">
        <v>-3.8261190000000002E-3</v>
      </c>
      <c r="J467" s="1025">
        <v>3.0054000000000003</v>
      </c>
    </row>
    <row r="468" spans="2:10" x14ac:dyDescent="0.25">
      <c r="B468" s="1022" t="s">
        <v>800</v>
      </c>
      <c r="C468" s="1023">
        <v>2085</v>
      </c>
      <c r="D468" s="1022">
        <v>1190000</v>
      </c>
      <c r="E468" s="1024">
        <v>51590</v>
      </c>
      <c r="F468" s="1025">
        <v>29220</v>
      </c>
      <c r="G468" s="1022">
        <v>3.7582</v>
      </c>
      <c r="H468" s="1024">
        <v>8.4366999999999984E-3</v>
      </c>
      <c r="I468" s="1024">
        <v>-3.8261190000000002E-3</v>
      </c>
      <c r="J468" s="1025">
        <v>3.0054000000000003</v>
      </c>
    </row>
    <row r="469" spans="2:10" x14ac:dyDescent="0.25">
      <c r="B469" s="1022" t="s">
        <v>806</v>
      </c>
      <c r="C469" s="1023">
        <v>2085</v>
      </c>
      <c r="D469" s="1022">
        <v>1190000</v>
      </c>
      <c r="E469" s="1024">
        <v>51590</v>
      </c>
      <c r="F469" s="1025">
        <v>29220</v>
      </c>
      <c r="G469" s="1022">
        <v>3.7582</v>
      </c>
      <c r="H469" s="1024">
        <v>8.4366999999999984E-3</v>
      </c>
      <c r="I469" s="1024">
        <v>-3.8261190000000002E-3</v>
      </c>
      <c r="J469" s="1025">
        <v>3.0054000000000003</v>
      </c>
    </row>
    <row r="470" spans="2:10" ht="13.8" thickBot="1" x14ac:dyDescent="0.3">
      <c r="B470" s="1026" t="s">
        <v>1061</v>
      </c>
      <c r="C470" s="1027">
        <v>2085</v>
      </c>
      <c r="D470" s="1026">
        <v>1384000</v>
      </c>
      <c r="E470" s="1028">
        <v>1383000</v>
      </c>
      <c r="F470" s="1029">
        <v>5034</v>
      </c>
      <c r="G470" s="1026">
        <v>78.571100000000001</v>
      </c>
      <c r="H470" s="1028">
        <v>0.27494000000000002</v>
      </c>
      <c r="I470" s="1028">
        <v>2.3304000000000003E-3</v>
      </c>
      <c r="J470" s="1029">
        <v>87.594300000000004</v>
      </c>
    </row>
    <row r="471" spans="2:10" x14ac:dyDescent="0.25">
      <c r="B471" s="1018" t="s">
        <v>1058</v>
      </c>
      <c r="C471" s="1019">
        <v>2090</v>
      </c>
      <c r="D471" s="1018">
        <v>1092000</v>
      </c>
      <c r="E471" s="1020">
        <v>1092000</v>
      </c>
      <c r="F471" s="1021">
        <v>3971</v>
      </c>
      <c r="G471" s="1018">
        <v>5.7390999999999996</v>
      </c>
      <c r="H471" s="1020">
        <v>0.18462200000000001</v>
      </c>
      <c r="I471" s="1020">
        <v>8.61E-4</v>
      </c>
      <c r="J471" s="1021">
        <v>11.5648</v>
      </c>
    </row>
    <row r="472" spans="2:10" x14ac:dyDescent="0.25">
      <c r="B472" s="1022" t="s">
        <v>280</v>
      </c>
      <c r="C472" s="1023">
        <v>2090</v>
      </c>
      <c r="D472" s="1022">
        <v>1092000</v>
      </c>
      <c r="E472" s="1024">
        <v>1092000</v>
      </c>
      <c r="F472" s="1025">
        <v>3971</v>
      </c>
      <c r="G472" s="1022">
        <v>5.7390999999999996</v>
      </c>
      <c r="H472" s="1024">
        <v>0.18462200000000001</v>
      </c>
      <c r="I472" s="1024">
        <v>8.61E-4</v>
      </c>
      <c r="J472" s="1025">
        <v>11.5648</v>
      </c>
    </row>
    <row r="473" spans="2:10" x14ac:dyDescent="0.25">
      <c r="B473" s="1022" t="s">
        <v>1059</v>
      </c>
      <c r="C473" s="1023">
        <v>2090</v>
      </c>
      <c r="D473" s="1022">
        <v>1092000</v>
      </c>
      <c r="E473" s="1024">
        <v>1092000</v>
      </c>
      <c r="F473" s="1025">
        <v>3971</v>
      </c>
      <c r="G473" s="1022">
        <v>5.7390999999999996</v>
      </c>
      <c r="H473" s="1024">
        <v>0.18462200000000001</v>
      </c>
      <c r="I473" s="1024">
        <v>8.61E-4</v>
      </c>
      <c r="J473" s="1025">
        <v>11.5648</v>
      </c>
    </row>
    <row r="474" spans="2:10" x14ac:dyDescent="0.25">
      <c r="B474" s="1022" t="s">
        <v>666</v>
      </c>
      <c r="C474" s="1023">
        <v>2090</v>
      </c>
      <c r="D474" s="1022">
        <v>1092000</v>
      </c>
      <c r="E474" s="1024">
        <v>1092000</v>
      </c>
      <c r="F474" s="1025">
        <v>3971</v>
      </c>
      <c r="G474" s="1022">
        <v>5.7390999999999996</v>
      </c>
      <c r="H474" s="1024">
        <v>0.18462200000000001</v>
      </c>
      <c r="I474" s="1024">
        <v>8.61E-4</v>
      </c>
      <c r="J474" s="1025">
        <v>11.5648</v>
      </c>
    </row>
    <row r="475" spans="2:10" x14ac:dyDescent="0.25">
      <c r="B475" s="1022" t="s">
        <v>667</v>
      </c>
      <c r="C475" s="1023">
        <v>2090</v>
      </c>
      <c r="D475" s="1022">
        <v>-1185000</v>
      </c>
      <c r="E475" s="1024">
        <v>0</v>
      </c>
      <c r="F475" s="1025">
        <v>0</v>
      </c>
      <c r="G475" s="1022">
        <v>-85.800000000000011</v>
      </c>
      <c r="H475" s="1024">
        <v>0.54700000000000004</v>
      </c>
      <c r="I475" s="1024">
        <v>-1.8286999999999999E-3</v>
      </c>
      <c r="J475" s="1025">
        <v>-70.08</v>
      </c>
    </row>
    <row r="476" spans="2:10" x14ac:dyDescent="0.25">
      <c r="B476" s="1022" t="s">
        <v>668</v>
      </c>
      <c r="C476" s="1023">
        <v>2090</v>
      </c>
      <c r="D476" s="1022">
        <v>1721000</v>
      </c>
      <c r="E476" s="1024">
        <v>1293000</v>
      </c>
      <c r="F476" s="1025">
        <v>15050</v>
      </c>
      <c r="G476" s="1022">
        <v>125.08</v>
      </c>
      <c r="H476" s="1024">
        <v>0.20477100000000001</v>
      </c>
      <c r="I476" s="1024">
        <v>1.7827000000000001E-3</v>
      </c>
      <c r="J476" s="1025">
        <v>129.82</v>
      </c>
    </row>
    <row r="477" spans="2:10" x14ac:dyDescent="0.25">
      <c r="B477" s="1022" t="s">
        <v>683</v>
      </c>
      <c r="C477" s="1023">
        <v>2090</v>
      </c>
      <c r="D477" s="1022">
        <v>1721000</v>
      </c>
      <c r="E477" s="1024">
        <v>1293000</v>
      </c>
      <c r="F477" s="1025">
        <v>15050</v>
      </c>
      <c r="G477" s="1022">
        <v>125.08</v>
      </c>
      <c r="H477" s="1024">
        <v>0.20477100000000001</v>
      </c>
      <c r="I477" s="1024">
        <v>1.7827000000000001E-3</v>
      </c>
      <c r="J477" s="1025">
        <v>129.82</v>
      </c>
    </row>
    <row r="478" spans="2:10" x14ac:dyDescent="0.25">
      <c r="B478" s="1022" t="s">
        <v>669</v>
      </c>
      <c r="C478" s="1023">
        <v>2090</v>
      </c>
      <c r="D478" s="1022">
        <v>1721000</v>
      </c>
      <c r="E478" s="1024">
        <v>1293000</v>
      </c>
      <c r="F478" s="1025">
        <v>15050</v>
      </c>
      <c r="G478" s="1022">
        <v>125.08</v>
      </c>
      <c r="H478" s="1024">
        <v>0.20477100000000001</v>
      </c>
      <c r="I478" s="1024">
        <v>1.7827000000000001E-3</v>
      </c>
      <c r="J478" s="1025">
        <v>129.82</v>
      </c>
    </row>
    <row r="479" spans="2:10" x14ac:dyDescent="0.25">
      <c r="B479" s="1022" t="s">
        <v>1060</v>
      </c>
      <c r="C479" s="1023">
        <v>2090</v>
      </c>
      <c r="D479" s="1022">
        <v>1022000</v>
      </c>
      <c r="E479" s="1024">
        <v>1021000</v>
      </c>
      <c r="F479" s="1025">
        <v>15510</v>
      </c>
      <c r="G479" s="1022">
        <v>1.6964999999999999</v>
      </c>
      <c r="H479" s="1024">
        <v>0.14096238999999999</v>
      </c>
      <c r="I479" s="1024">
        <v>3.2765999999999998E-5</v>
      </c>
      <c r="J479" s="1025">
        <v>5.9536999999999995</v>
      </c>
    </row>
    <row r="480" spans="2:10" x14ac:dyDescent="0.25">
      <c r="B480" s="1022" t="s">
        <v>701</v>
      </c>
      <c r="C480" s="1023">
        <v>2090</v>
      </c>
      <c r="D480" s="1022">
        <v>1022000</v>
      </c>
      <c r="E480" s="1024">
        <v>1021000</v>
      </c>
      <c r="F480" s="1025">
        <v>15510</v>
      </c>
      <c r="G480" s="1022">
        <v>1.6964999999999999</v>
      </c>
      <c r="H480" s="1024">
        <v>0.14096238999999999</v>
      </c>
      <c r="I480" s="1024">
        <v>3.2765999999999998E-5</v>
      </c>
      <c r="J480" s="1025">
        <v>5.9536999999999995</v>
      </c>
    </row>
    <row r="481" spans="2:10" x14ac:dyDescent="0.25">
      <c r="B481" s="1022" t="s">
        <v>702</v>
      </c>
      <c r="C481" s="1023">
        <v>2090</v>
      </c>
      <c r="D481" s="1022">
        <v>1022000</v>
      </c>
      <c r="E481" s="1024">
        <v>1021000</v>
      </c>
      <c r="F481" s="1025">
        <v>15510</v>
      </c>
      <c r="G481" s="1022">
        <v>1.6964999999999999</v>
      </c>
      <c r="H481" s="1024">
        <v>0.14096238999999999</v>
      </c>
      <c r="I481" s="1024">
        <v>3.2765999999999998E-5</v>
      </c>
      <c r="J481" s="1025">
        <v>5.9536999999999995</v>
      </c>
    </row>
    <row r="482" spans="2:10" x14ac:dyDescent="0.25">
      <c r="B482" s="1022" t="s">
        <v>891</v>
      </c>
      <c r="C482" s="1023">
        <v>2090</v>
      </c>
      <c r="D482" s="1022">
        <v>1209000</v>
      </c>
      <c r="E482" s="1024">
        <v>1202000</v>
      </c>
      <c r="F482" s="1025">
        <v>1052000</v>
      </c>
      <c r="G482" s="1022">
        <v>17.969000000000001</v>
      </c>
      <c r="H482" s="1024">
        <v>0.164128</v>
      </c>
      <c r="I482" s="1024">
        <v>2.9025999999999998E-4</v>
      </c>
      <c r="J482" s="1025">
        <v>22.988</v>
      </c>
    </row>
    <row r="483" spans="2:10" x14ac:dyDescent="0.25">
      <c r="B483" s="1022" t="s">
        <v>889</v>
      </c>
      <c r="C483" s="1023">
        <v>2090</v>
      </c>
      <c r="D483" s="1022">
        <v>1585000</v>
      </c>
      <c r="E483" s="1024">
        <v>696300</v>
      </c>
      <c r="F483" s="1025">
        <v>286000</v>
      </c>
      <c r="G483" s="1022">
        <v>38.049999999999997</v>
      </c>
      <c r="H483" s="1024">
        <v>0.1118</v>
      </c>
      <c r="I483" s="1024">
        <v>2.5350000000000001E-2</v>
      </c>
      <c r="J483" s="1025">
        <v>45.19</v>
      </c>
    </row>
    <row r="484" spans="2:10" x14ac:dyDescent="0.25">
      <c r="B484" s="1022" t="s">
        <v>892</v>
      </c>
      <c r="C484" s="1023">
        <v>2090</v>
      </c>
      <c r="D484" s="1022">
        <v>1249000</v>
      </c>
      <c r="E484" s="1024">
        <v>1242000</v>
      </c>
      <c r="F484" s="1025">
        <v>1078000</v>
      </c>
      <c r="G484" s="1022">
        <v>23.84</v>
      </c>
      <c r="H484" s="1024">
        <v>0.16985799999999998</v>
      </c>
      <c r="I484" s="1024">
        <v>3.7813000000000001E-4</v>
      </c>
      <c r="J484" s="1025">
        <v>29.157000000000004</v>
      </c>
    </row>
    <row r="485" spans="2:10" x14ac:dyDescent="0.25">
      <c r="B485" s="1022" t="s">
        <v>1054</v>
      </c>
      <c r="C485" s="1023">
        <v>2090</v>
      </c>
      <c r="D485" s="1022">
        <v>1190000</v>
      </c>
      <c r="E485" s="1024">
        <v>51590</v>
      </c>
      <c r="F485" s="1025">
        <v>29220</v>
      </c>
      <c r="G485" s="1022">
        <v>3.7582</v>
      </c>
      <c r="H485" s="1024">
        <v>8.4366999999999984E-3</v>
      </c>
      <c r="I485" s="1024">
        <v>-3.8261190000000002E-3</v>
      </c>
      <c r="J485" s="1025">
        <v>3.0054000000000003</v>
      </c>
    </row>
    <row r="486" spans="2:10" x14ac:dyDescent="0.25">
      <c r="B486" s="1022" t="s">
        <v>800</v>
      </c>
      <c r="C486" s="1023">
        <v>2090</v>
      </c>
      <c r="D486" s="1022">
        <v>1190000</v>
      </c>
      <c r="E486" s="1024">
        <v>51590</v>
      </c>
      <c r="F486" s="1025">
        <v>29220</v>
      </c>
      <c r="G486" s="1022">
        <v>3.7582</v>
      </c>
      <c r="H486" s="1024">
        <v>8.4366999999999984E-3</v>
      </c>
      <c r="I486" s="1024">
        <v>-3.8261190000000002E-3</v>
      </c>
      <c r="J486" s="1025">
        <v>3.0054000000000003</v>
      </c>
    </row>
    <row r="487" spans="2:10" x14ac:dyDescent="0.25">
      <c r="B487" s="1022" t="s">
        <v>806</v>
      </c>
      <c r="C487" s="1023">
        <v>2090</v>
      </c>
      <c r="D487" s="1022">
        <v>1190000</v>
      </c>
      <c r="E487" s="1024">
        <v>51590</v>
      </c>
      <c r="F487" s="1025">
        <v>29220</v>
      </c>
      <c r="G487" s="1022">
        <v>3.7582</v>
      </c>
      <c r="H487" s="1024">
        <v>8.4366999999999984E-3</v>
      </c>
      <c r="I487" s="1024">
        <v>-3.8261190000000002E-3</v>
      </c>
      <c r="J487" s="1025">
        <v>3.0054000000000003</v>
      </c>
    </row>
    <row r="488" spans="2:10" ht="13.8" thickBot="1" x14ac:dyDescent="0.3">
      <c r="B488" s="1026" t="s">
        <v>1061</v>
      </c>
      <c r="C488" s="1027">
        <v>2090</v>
      </c>
      <c r="D488" s="1026">
        <v>1384000</v>
      </c>
      <c r="E488" s="1028">
        <v>1383000</v>
      </c>
      <c r="F488" s="1029">
        <v>5034</v>
      </c>
      <c r="G488" s="1026">
        <v>78.571100000000001</v>
      </c>
      <c r="H488" s="1028">
        <v>0.27494000000000002</v>
      </c>
      <c r="I488" s="1028">
        <v>2.3304000000000003E-3</v>
      </c>
      <c r="J488" s="1029">
        <v>87.594300000000004</v>
      </c>
    </row>
    <row r="489" spans="2:10" x14ac:dyDescent="0.25">
      <c r="B489" s="1018" t="s">
        <v>1058</v>
      </c>
      <c r="C489" s="1019">
        <v>2095</v>
      </c>
      <c r="D489" s="1018">
        <v>1092000</v>
      </c>
      <c r="E489" s="1020">
        <v>1092000</v>
      </c>
      <c r="F489" s="1021">
        <v>3971</v>
      </c>
      <c r="G489" s="1018">
        <v>5.7390999999999996</v>
      </c>
      <c r="H489" s="1020">
        <v>0.18462200000000001</v>
      </c>
      <c r="I489" s="1020">
        <v>8.61E-4</v>
      </c>
      <c r="J489" s="1021">
        <v>11.5648</v>
      </c>
    </row>
    <row r="490" spans="2:10" x14ac:dyDescent="0.25">
      <c r="B490" s="1022" t="s">
        <v>280</v>
      </c>
      <c r="C490" s="1023">
        <v>2095</v>
      </c>
      <c r="D490" s="1022">
        <v>1092000</v>
      </c>
      <c r="E490" s="1024">
        <v>1092000</v>
      </c>
      <c r="F490" s="1025">
        <v>3971</v>
      </c>
      <c r="G490" s="1022">
        <v>5.7390999999999996</v>
      </c>
      <c r="H490" s="1024">
        <v>0.18462200000000001</v>
      </c>
      <c r="I490" s="1024">
        <v>8.61E-4</v>
      </c>
      <c r="J490" s="1025">
        <v>11.5648</v>
      </c>
    </row>
    <row r="491" spans="2:10" x14ac:dyDescent="0.25">
      <c r="B491" s="1022" t="s">
        <v>1059</v>
      </c>
      <c r="C491" s="1023">
        <v>2095</v>
      </c>
      <c r="D491" s="1022">
        <v>1092000</v>
      </c>
      <c r="E491" s="1024">
        <v>1092000</v>
      </c>
      <c r="F491" s="1025">
        <v>3971</v>
      </c>
      <c r="G491" s="1022">
        <v>5.7390999999999996</v>
      </c>
      <c r="H491" s="1024">
        <v>0.18462200000000001</v>
      </c>
      <c r="I491" s="1024">
        <v>8.61E-4</v>
      </c>
      <c r="J491" s="1025">
        <v>11.5648</v>
      </c>
    </row>
    <row r="492" spans="2:10" x14ac:dyDescent="0.25">
      <c r="B492" s="1022" t="s">
        <v>666</v>
      </c>
      <c r="C492" s="1023">
        <v>2095</v>
      </c>
      <c r="D492" s="1022">
        <v>1092000</v>
      </c>
      <c r="E492" s="1024">
        <v>1092000</v>
      </c>
      <c r="F492" s="1025">
        <v>3971</v>
      </c>
      <c r="G492" s="1022">
        <v>5.7390999999999996</v>
      </c>
      <c r="H492" s="1024">
        <v>0.18462200000000001</v>
      </c>
      <c r="I492" s="1024">
        <v>8.61E-4</v>
      </c>
      <c r="J492" s="1025">
        <v>11.5648</v>
      </c>
    </row>
    <row r="493" spans="2:10" x14ac:dyDescent="0.25">
      <c r="B493" s="1022" t="s">
        <v>667</v>
      </c>
      <c r="C493" s="1023">
        <v>2095</v>
      </c>
      <c r="D493" s="1022">
        <v>-1185000</v>
      </c>
      <c r="E493" s="1024">
        <v>0</v>
      </c>
      <c r="F493" s="1025">
        <v>0</v>
      </c>
      <c r="G493" s="1022">
        <v>-85.800000000000011</v>
      </c>
      <c r="H493" s="1024">
        <v>0.54700000000000004</v>
      </c>
      <c r="I493" s="1024">
        <v>-1.8286999999999999E-3</v>
      </c>
      <c r="J493" s="1025">
        <v>-70.08</v>
      </c>
    </row>
    <row r="494" spans="2:10" x14ac:dyDescent="0.25">
      <c r="B494" s="1022" t="s">
        <v>668</v>
      </c>
      <c r="C494" s="1023">
        <v>2095</v>
      </c>
      <c r="D494" s="1022">
        <v>1721000</v>
      </c>
      <c r="E494" s="1024">
        <v>1293000</v>
      </c>
      <c r="F494" s="1025">
        <v>15050</v>
      </c>
      <c r="G494" s="1022">
        <v>125.08</v>
      </c>
      <c r="H494" s="1024">
        <v>0.20477100000000001</v>
      </c>
      <c r="I494" s="1024">
        <v>1.7827000000000001E-3</v>
      </c>
      <c r="J494" s="1025">
        <v>129.82</v>
      </c>
    </row>
    <row r="495" spans="2:10" x14ac:dyDescent="0.25">
      <c r="B495" s="1022" t="s">
        <v>683</v>
      </c>
      <c r="C495" s="1023">
        <v>2095</v>
      </c>
      <c r="D495" s="1022">
        <v>1721000</v>
      </c>
      <c r="E495" s="1024">
        <v>1293000</v>
      </c>
      <c r="F495" s="1025">
        <v>15050</v>
      </c>
      <c r="G495" s="1022">
        <v>125.08</v>
      </c>
      <c r="H495" s="1024">
        <v>0.20477100000000001</v>
      </c>
      <c r="I495" s="1024">
        <v>1.7827000000000001E-3</v>
      </c>
      <c r="J495" s="1025">
        <v>129.82</v>
      </c>
    </row>
    <row r="496" spans="2:10" x14ac:dyDescent="0.25">
      <c r="B496" s="1022" t="s">
        <v>669</v>
      </c>
      <c r="C496" s="1023">
        <v>2095</v>
      </c>
      <c r="D496" s="1022">
        <v>1721000</v>
      </c>
      <c r="E496" s="1024">
        <v>1293000</v>
      </c>
      <c r="F496" s="1025">
        <v>15050</v>
      </c>
      <c r="G496" s="1022">
        <v>125.08</v>
      </c>
      <c r="H496" s="1024">
        <v>0.20477100000000001</v>
      </c>
      <c r="I496" s="1024">
        <v>1.7827000000000001E-3</v>
      </c>
      <c r="J496" s="1025">
        <v>129.82</v>
      </c>
    </row>
    <row r="497" spans="2:10" x14ac:dyDescent="0.25">
      <c r="B497" s="1022" t="s">
        <v>1060</v>
      </c>
      <c r="C497" s="1023">
        <v>2095</v>
      </c>
      <c r="D497" s="1022">
        <v>1022000</v>
      </c>
      <c r="E497" s="1024">
        <v>1021000</v>
      </c>
      <c r="F497" s="1025">
        <v>15510</v>
      </c>
      <c r="G497" s="1022">
        <v>1.6964999999999999</v>
      </c>
      <c r="H497" s="1024">
        <v>0.14096238999999999</v>
      </c>
      <c r="I497" s="1024">
        <v>3.2765999999999998E-5</v>
      </c>
      <c r="J497" s="1025">
        <v>5.9536999999999995</v>
      </c>
    </row>
    <row r="498" spans="2:10" x14ac:dyDescent="0.25">
      <c r="B498" s="1022" t="s">
        <v>701</v>
      </c>
      <c r="C498" s="1023">
        <v>2095</v>
      </c>
      <c r="D498" s="1022">
        <v>1022000</v>
      </c>
      <c r="E498" s="1024">
        <v>1021000</v>
      </c>
      <c r="F498" s="1025">
        <v>15510</v>
      </c>
      <c r="G498" s="1022">
        <v>1.6964999999999999</v>
      </c>
      <c r="H498" s="1024">
        <v>0.14096238999999999</v>
      </c>
      <c r="I498" s="1024">
        <v>3.2765999999999998E-5</v>
      </c>
      <c r="J498" s="1025">
        <v>5.9536999999999995</v>
      </c>
    </row>
    <row r="499" spans="2:10" x14ac:dyDescent="0.25">
      <c r="B499" s="1022" t="s">
        <v>702</v>
      </c>
      <c r="C499" s="1023">
        <v>2095</v>
      </c>
      <c r="D499" s="1022">
        <v>1022000</v>
      </c>
      <c r="E499" s="1024">
        <v>1021000</v>
      </c>
      <c r="F499" s="1025">
        <v>15510</v>
      </c>
      <c r="G499" s="1022">
        <v>1.6964999999999999</v>
      </c>
      <c r="H499" s="1024">
        <v>0.14096238999999999</v>
      </c>
      <c r="I499" s="1024">
        <v>3.2765999999999998E-5</v>
      </c>
      <c r="J499" s="1025">
        <v>5.9536999999999995</v>
      </c>
    </row>
    <row r="500" spans="2:10" x14ac:dyDescent="0.25">
      <c r="B500" s="1022" t="s">
        <v>891</v>
      </c>
      <c r="C500" s="1023">
        <v>2095</v>
      </c>
      <c r="D500" s="1022">
        <v>1209000</v>
      </c>
      <c r="E500" s="1024">
        <v>1202000</v>
      </c>
      <c r="F500" s="1025">
        <v>1052000</v>
      </c>
      <c r="G500" s="1022">
        <v>17.969000000000001</v>
      </c>
      <c r="H500" s="1024">
        <v>0.164128</v>
      </c>
      <c r="I500" s="1024">
        <v>2.9025999999999998E-4</v>
      </c>
      <c r="J500" s="1025">
        <v>22.988</v>
      </c>
    </row>
    <row r="501" spans="2:10" x14ac:dyDescent="0.25">
      <c r="B501" s="1022" t="s">
        <v>889</v>
      </c>
      <c r="C501" s="1023">
        <v>2095</v>
      </c>
      <c r="D501" s="1022">
        <v>1585000</v>
      </c>
      <c r="E501" s="1024">
        <v>696300</v>
      </c>
      <c r="F501" s="1025">
        <v>286000</v>
      </c>
      <c r="G501" s="1022">
        <v>38.049999999999997</v>
      </c>
      <c r="H501" s="1024">
        <v>0.1118</v>
      </c>
      <c r="I501" s="1024">
        <v>2.5350000000000001E-2</v>
      </c>
      <c r="J501" s="1025">
        <v>45.19</v>
      </c>
    </row>
    <row r="502" spans="2:10" x14ac:dyDescent="0.25">
      <c r="B502" s="1022" t="s">
        <v>892</v>
      </c>
      <c r="C502" s="1023">
        <v>2095</v>
      </c>
      <c r="D502" s="1022">
        <v>1249000</v>
      </c>
      <c r="E502" s="1024">
        <v>1242000</v>
      </c>
      <c r="F502" s="1025">
        <v>1078000</v>
      </c>
      <c r="G502" s="1022">
        <v>23.84</v>
      </c>
      <c r="H502" s="1024">
        <v>0.16985799999999998</v>
      </c>
      <c r="I502" s="1024">
        <v>3.7813000000000001E-4</v>
      </c>
      <c r="J502" s="1025">
        <v>29.157000000000004</v>
      </c>
    </row>
    <row r="503" spans="2:10" x14ac:dyDescent="0.25">
      <c r="B503" s="1022" t="s">
        <v>1054</v>
      </c>
      <c r="C503" s="1023">
        <v>2095</v>
      </c>
      <c r="D503" s="1022">
        <v>1190000</v>
      </c>
      <c r="E503" s="1024">
        <v>51590</v>
      </c>
      <c r="F503" s="1025">
        <v>29220</v>
      </c>
      <c r="G503" s="1022">
        <v>3.7582</v>
      </c>
      <c r="H503" s="1024">
        <v>8.4366999999999984E-3</v>
      </c>
      <c r="I503" s="1024">
        <v>-3.8261190000000002E-3</v>
      </c>
      <c r="J503" s="1025">
        <v>3.0054000000000003</v>
      </c>
    </row>
    <row r="504" spans="2:10" x14ac:dyDescent="0.25">
      <c r="B504" s="1022" t="s">
        <v>800</v>
      </c>
      <c r="C504" s="1023">
        <v>2095</v>
      </c>
      <c r="D504" s="1022">
        <v>1190000</v>
      </c>
      <c r="E504" s="1024">
        <v>51590</v>
      </c>
      <c r="F504" s="1025">
        <v>29220</v>
      </c>
      <c r="G504" s="1022">
        <v>3.7582</v>
      </c>
      <c r="H504" s="1024">
        <v>8.4366999999999984E-3</v>
      </c>
      <c r="I504" s="1024">
        <v>-3.8261190000000002E-3</v>
      </c>
      <c r="J504" s="1025">
        <v>3.0054000000000003</v>
      </c>
    </row>
    <row r="505" spans="2:10" x14ac:dyDescent="0.25">
      <c r="B505" s="1022" t="s">
        <v>806</v>
      </c>
      <c r="C505" s="1023">
        <v>2095</v>
      </c>
      <c r="D505" s="1022">
        <v>1190000</v>
      </c>
      <c r="E505" s="1024">
        <v>51590</v>
      </c>
      <c r="F505" s="1025">
        <v>29220</v>
      </c>
      <c r="G505" s="1022">
        <v>3.7582</v>
      </c>
      <c r="H505" s="1024">
        <v>8.4366999999999984E-3</v>
      </c>
      <c r="I505" s="1024">
        <v>-3.8261190000000002E-3</v>
      </c>
      <c r="J505" s="1025">
        <v>3.0054000000000003</v>
      </c>
    </row>
    <row r="506" spans="2:10" ht="13.8" thickBot="1" x14ac:dyDescent="0.3">
      <c r="B506" s="1026" t="s">
        <v>1061</v>
      </c>
      <c r="C506" s="1027">
        <v>2095</v>
      </c>
      <c r="D506" s="1026">
        <v>1384000</v>
      </c>
      <c r="E506" s="1028">
        <v>1383000</v>
      </c>
      <c r="F506" s="1029">
        <v>5034</v>
      </c>
      <c r="G506" s="1026">
        <v>78.571100000000001</v>
      </c>
      <c r="H506" s="1028">
        <v>0.27494000000000002</v>
      </c>
      <c r="I506" s="1028">
        <v>2.3304000000000003E-3</v>
      </c>
      <c r="J506" s="1029">
        <v>87.594300000000004</v>
      </c>
    </row>
    <row r="507" spans="2:10" x14ac:dyDescent="0.25">
      <c r="B507" s="1018" t="s">
        <v>1058</v>
      </c>
      <c r="C507" s="1019">
        <v>2100</v>
      </c>
      <c r="D507" s="1018">
        <v>1092000</v>
      </c>
      <c r="E507" s="1020">
        <v>1092000</v>
      </c>
      <c r="F507" s="1021">
        <v>3971</v>
      </c>
      <c r="G507" s="1018">
        <v>5.7390999999999996</v>
      </c>
      <c r="H507" s="1020">
        <v>0.18462200000000001</v>
      </c>
      <c r="I507" s="1020">
        <v>8.61E-4</v>
      </c>
      <c r="J507" s="1021">
        <v>11.5648</v>
      </c>
    </row>
    <row r="508" spans="2:10" x14ac:dyDescent="0.25">
      <c r="B508" s="1022" t="s">
        <v>280</v>
      </c>
      <c r="C508" s="1023">
        <v>2100</v>
      </c>
      <c r="D508" s="1022">
        <v>1092000</v>
      </c>
      <c r="E508" s="1024">
        <v>1092000</v>
      </c>
      <c r="F508" s="1025">
        <v>3971</v>
      </c>
      <c r="G508" s="1022">
        <v>5.7390999999999996</v>
      </c>
      <c r="H508" s="1024">
        <v>0.18462200000000001</v>
      </c>
      <c r="I508" s="1024">
        <v>8.61E-4</v>
      </c>
      <c r="J508" s="1025">
        <v>11.5648</v>
      </c>
    </row>
    <row r="509" spans="2:10" x14ac:dyDescent="0.25">
      <c r="B509" s="1022" t="s">
        <v>1059</v>
      </c>
      <c r="C509" s="1023">
        <v>2100</v>
      </c>
      <c r="D509" s="1022">
        <v>1092000</v>
      </c>
      <c r="E509" s="1024">
        <v>1092000</v>
      </c>
      <c r="F509" s="1025">
        <v>3971</v>
      </c>
      <c r="G509" s="1022">
        <v>5.7390999999999996</v>
      </c>
      <c r="H509" s="1024">
        <v>0.18462200000000001</v>
      </c>
      <c r="I509" s="1024">
        <v>8.61E-4</v>
      </c>
      <c r="J509" s="1025">
        <v>11.5648</v>
      </c>
    </row>
    <row r="510" spans="2:10" x14ac:dyDescent="0.25">
      <c r="B510" s="1022" t="s">
        <v>666</v>
      </c>
      <c r="C510" s="1023">
        <v>2100</v>
      </c>
      <c r="D510" s="1022">
        <v>1092000</v>
      </c>
      <c r="E510" s="1024">
        <v>1092000</v>
      </c>
      <c r="F510" s="1025">
        <v>3971</v>
      </c>
      <c r="G510" s="1022">
        <v>5.7390999999999996</v>
      </c>
      <c r="H510" s="1024">
        <v>0.18462200000000001</v>
      </c>
      <c r="I510" s="1024">
        <v>8.61E-4</v>
      </c>
      <c r="J510" s="1025">
        <v>11.5648</v>
      </c>
    </row>
    <row r="511" spans="2:10" x14ac:dyDescent="0.25">
      <c r="B511" s="1022" t="s">
        <v>667</v>
      </c>
      <c r="C511" s="1023">
        <v>2100</v>
      </c>
      <c r="D511" s="1022">
        <v>-1185000</v>
      </c>
      <c r="E511" s="1024">
        <v>0</v>
      </c>
      <c r="F511" s="1025">
        <v>0</v>
      </c>
      <c r="G511" s="1022">
        <v>-85.800000000000011</v>
      </c>
      <c r="H511" s="1024">
        <v>0.54700000000000004</v>
      </c>
      <c r="I511" s="1024">
        <v>-1.8286999999999999E-3</v>
      </c>
      <c r="J511" s="1025">
        <v>-70.08</v>
      </c>
    </row>
    <row r="512" spans="2:10" x14ac:dyDescent="0.25">
      <c r="B512" s="1022" t="s">
        <v>668</v>
      </c>
      <c r="C512" s="1023">
        <v>2100</v>
      </c>
      <c r="D512" s="1022">
        <v>1721000</v>
      </c>
      <c r="E512" s="1024">
        <v>1293000</v>
      </c>
      <c r="F512" s="1025">
        <v>15050</v>
      </c>
      <c r="G512" s="1022">
        <v>125.08</v>
      </c>
      <c r="H512" s="1024">
        <v>0.20477100000000001</v>
      </c>
      <c r="I512" s="1024">
        <v>1.7827000000000001E-3</v>
      </c>
      <c r="J512" s="1025">
        <v>129.82</v>
      </c>
    </row>
    <row r="513" spans="2:10" x14ac:dyDescent="0.25">
      <c r="B513" s="1022" t="s">
        <v>683</v>
      </c>
      <c r="C513" s="1023">
        <v>2100</v>
      </c>
      <c r="D513" s="1022">
        <v>1721000</v>
      </c>
      <c r="E513" s="1024">
        <v>1293000</v>
      </c>
      <c r="F513" s="1025">
        <v>15050</v>
      </c>
      <c r="G513" s="1022">
        <v>125.08</v>
      </c>
      <c r="H513" s="1024">
        <v>0.20477100000000001</v>
      </c>
      <c r="I513" s="1024">
        <v>1.7827000000000001E-3</v>
      </c>
      <c r="J513" s="1025">
        <v>129.82</v>
      </c>
    </row>
    <row r="514" spans="2:10" x14ac:dyDescent="0.25">
      <c r="B514" s="1022" t="s">
        <v>669</v>
      </c>
      <c r="C514" s="1023">
        <v>2100</v>
      </c>
      <c r="D514" s="1022">
        <v>1721000</v>
      </c>
      <c r="E514" s="1024">
        <v>1293000</v>
      </c>
      <c r="F514" s="1025">
        <v>15050</v>
      </c>
      <c r="G514" s="1022">
        <v>125.08</v>
      </c>
      <c r="H514" s="1024">
        <v>0.20477100000000001</v>
      </c>
      <c r="I514" s="1024">
        <v>1.7827000000000001E-3</v>
      </c>
      <c r="J514" s="1025">
        <v>129.82</v>
      </c>
    </row>
    <row r="515" spans="2:10" x14ac:dyDescent="0.25">
      <c r="B515" s="1022" t="s">
        <v>1060</v>
      </c>
      <c r="C515" s="1023">
        <v>2100</v>
      </c>
      <c r="D515" s="1022">
        <v>1022000</v>
      </c>
      <c r="E515" s="1024">
        <v>1021000</v>
      </c>
      <c r="F515" s="1025">
        <v>15510</v>
      </c>
      <c r="G515" s="1022">
        <v>1.6964999999999999</v>
      </c>
      <c r="H515" s="1024">
        <v>0.14096238999999999</v>
      </c>
      <c r="I515" s="1024">
        <v>3.2765999999999998E-5</v>
      </c>
      <c r="J515" s="1025">
        <v>5.9536999999999995</v>
      </c>
    </row>
    <row r="516" spans="2:10" x14ac:dyDescent="0.25">
      <c r="B516" s="1022" t="s">
        <v>701</v>
      </c>
      <c r="C516" s="1023">
        <v>2100</v>
      </c>
      <c r="D516" s="1022">
        <v>1022000</v>
      </c>
      <c r="E516" s="1024">
        <v>1021000</v>
      </c>
      <c r="F516" s="1025">
        <v>15510</v>
      </c>
      <c r="G516" s="1022">
        <v>1.6964999999999999</v>
      </c>
      <c r="H516" s="1024">
        <v>0.14096238999999999</v>
      </c>
      <c r="I516" s="1024">
        <v>3.2765999999999998E-5</v>
      </c>
      <c r="J516" s="1025">
        <v>5.9536999999999995</v>
      </c>
    </row>
    <row r="517" spans="2:10" x14ac:dyDescent="0.25">
      <c r="B517" s="1022" t="s">
        <v>702</v>
      </c>
      <c r="C517" s="1023">
        <v>2100</v>
      </c>
      <c r="D517" s="1022">
        <v>1022000</v>
      </c>
      <c r="E517" s="1024">
        <v>1021000</v>
      </c>
      <c r="F517" s="1025">
        <v>15510</v>
      </c>
      <c r="G517" s="1022">
        <v>1.6964999999999999</v>
      </c>
      <c r="H517" s="1024">
        <v>0.14096238999999999</v>
      </c>
      <c r="I517" s="1024">
        <v>3.2765999999999998E-5</v>
      </c>
      <c r="J517" s="1025">
        <v>5.9536999999999995</v>
      </c>
    </row>
    <row r="518" spans="2:10" x14ac:dyDescent="0.25">
      <c r="B518" s="1022" t="s">
        <v>891</v>
      </c>
      <c r="C518" s="1023">
        <v>2100</v>
      </c>
      <c r="D518" s="1022">
        <v>1209000</v>
      </c>
      <c r="E518" s="1024">
        <v>1202000</v>
      </c>
      <c r="F518" s="1025">
        <v>1052000</v>
      </c>
      <c r="G518" s="1022">
        <v>17.969000000000001</v>
      </c>
      <c r="H518" s="1024">
        <v>0.164128</v>
      </c>
      <c r="I518" s="1024">
        <v>2.9025999999999998E-4</v>
      </c>
      <c r="J518" s="1025">
        <v>22.988</v>
      </c>
    </row>
    <row r="519" spans="2:10" x14ac:dyDescent="0.25">
      <c r="B519" s="1022" t="s">
        <v>889</v>
      </c>
      <c r="C519" s="1023">
        <v>2100</v>
      </c>
      <c r="D519" s="1022">
        <v>1585000</v>
      </c>
      <c r="E519" s="1024">
        <v>696300</v>
      </c>
      <c r="F519" s="1025">
        <v>286000</v>
      </c>
      <c r="G519" s="1022">
        <v>38.049999999999997</v>
      </c>
      <c r="H519" s="1024">
        <v>0.1118</v>
      </c>
      <c r="I519" s="1024">
        <v>2.5350000000000001E-2</v>
      </c>
      <c r="J519" s="1025">
        <v>45.19</v>
      </c>
    </row>
    <row r="520" spans="2:10" x14ac:dyDescent="0.25">
      <c r="B520" s="1022" t="s">
        <v>892</v>
      </c>
      <c r="C520" s="1023">
        <v>2100</v>
      </c>
      <c r="D520" s="1022">
        <v>1249000</v>
      </c>
      <c r="E520" s="1024">
        <v>1242000</v>
      </c>
      <c r="F520" s="1025">
        <v>1078000</v>
      </c>
      <c r="G520" s="1022">
        <v>23.84</v>
      </c>
      <c r="H520" s="1024">
        <v>0.16985799999999998</v>
      </c>
      <c r="I520" s="1024">
        <v>3.7813000000000001E-4</v>
      </c>
      <c r="J520" s="1025">
        <v>29.157000000000004</v>
      </c>
    </row>
    <row r="521" spans="2:10" x14ac:dyDescent="0.25">
      <c r="B521" s="1022" t="s">
        <v>1054</v>
      </c>
      <c r="C521" s="1023">
        <v>2100</v>
      </c>
      <c r="D521" s="1022">
        <v>1190000</v>
      </c>
      <c r="E521" s="1024">
        <v>51590</v>
      </c>
      <c r="F521" s="1025">
        <v>29220</v>
      </c>
      <c r="G521" s="1022">
        <v>3.7582</v>
      </c>
      <c r="H521" s="1024">
        <v>8.4366999999999984E-3</v>
      </c>
      <c r="I521" s="1024">
        <v>-3.8261190000000002E-3</v>
      </c>
      <c r="J521" s="1025">
        <v>3.0054000000000003</v>
      </c>
    </row>
    <row r="522" spans="2:10" x14ac:dyDescent="0.25">
      <c r="B522" s="1022" t="s">
        <v>800</v>
      </c>
      <c r="C522" s="1023">
        <v>2100</v>
      </c>
      <c r="D522" s="1022">
        <v>1190000</v>
      </c>
      <c r="E522" s="1024">
        <v>51590</v>
      </c>
      <c r="F522" s="1025">
        <v>29220</v>
      </c>
      <c r="G522" s="1022">
        <v>3.7582</v>
      </c>
      <c r="H522" s="1024">
        <v>8.4366999999999984E-3</v>
      </c>
      <c r="I522" s="1024">
        <v>-3.8261190000000002E-3</v>
      </c>
      <c r="J522" s="1025">
        <v>3.0054000000000003</v>
      </c>
    </row>
    <row r="523" spans="2:10" x14ac:dyDescent="0.25">
      <c r="B523" s="1022" t="s">
        <v>806</v>
      </c>
      <c r="C523" s="1023">
        <v>2100</v>
      </c>
      <c r="D523" s="1022">
        <v>1190000</v>
      </c>
      <c r="E523" s="1024">
        <v>51590</v>
      </c>
      <c r="F523" s="1025">
        <v>29220</v>
      </c>
      <c r="G523" s="1022">
        <v>3.7582</v>
      </c>
      <c r="H523" s="1024">
        <v>8.4366999999999984E-3</v>
      </c>
      <c r="I523" s="1024">
        <v>-3.8261190000000002E-3</v>
      </c>
      <c r="J523" s="1025">
        <v>3.0054000000000003</v>
      </c>
    </row>
    <row r="524" spans="2:10" ht="13.8" thickBot="1" x14ac:dyDescent="0.3">
      <c r="B524" s="1026" t="s">
        <v>1061</v>
      </c>
      <c r="C524" s="1027">
        <v>2100</v>
      </c>
      <c r="D524" s="1026">
        <v>1384000</v>
      </c>
      <c r="E524" s="1028">
        <v>1383000</v>
      </c>
      <c r="F524" s="1029">
        <v>5034</v>
      </c>
      <c r="G524" s="1026">
        <v>78.571100000000001</v>
      </c>
      <c r="H524" s="1028">
        <v>0.27494000000000002</v>
      </c>
      <c r="I524" s="1028">
        <v>2.3304000000000003E-3</v>
      </c>
      <c r="J524" s="1029">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3"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251460</xdr:colOff>
                    <xdr:row>1</xdr:row>
                    <xdr:rowOff>22860</xdr:rowOff>
                  </from>
                  <to>
                    <xdr:col>13</xdr:col>
                    <xdr:colOff>38100</xdr:colOff>
                    <xdr:row>4</xdr:row>
                    <xdr:rowOff>99060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99060</xdr:colOff>
                    <xdr:row>68</xdr:row>
                    <xdr:rowOff>60960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33203125" defaultRowHeight="13.2" x14ac:dyDescent="0.25"/>
  <cols>
    <col min="1" max="1" width="19" customWidth="1"/>
    <col min="2" max="2" width="16" customWidth="1"/>
    <col min="3" max="3" width="17.33203125" customWidth="1"/>
    <col min="4" max="4" width="17.6640625" customWidth="1"/>
    <col min="5" max="5" width="14.33203125" customWidth="1"/>
    <col min="6" max="6" width="20.6640625" customWidth="1"/>
    <col min="7" max="7" width="22.44140625" customWidth="1"/>
  </cols>
  <sheetData>
    <row r="1" spans="1:12" ht="30.75" customHeight="1" x14ac:dyDescent="0.3">
      <c r="A1" s="34" t="s">
        <v>29</v>
      </c>
    </row>
    <row r="2" spans="1:12" ht="15" customHeight="1" x14ac:dyDescent="0.25">
      <c r="K2" s="35"/>
      <c r="L2" s="36"/>
    </row>
    <row r="3" spans="1:12" ht="15" customHeight="1" x14ac:dyDescent="0.25">
      <c r="F3" s="39"/>
      <c r="G3" s="39"/>
      <c r="K3" s="35"/>
      <c r="L3" s="36"/>
    </row>
    <row r="4" spans="1:12" ht="15" customHeight="1" x14ac:dyDescent="0.25">
      <c r="F4" s="39"/>
      <c r="G4" s="39"/>
      <c r="K4" s="35"/>
      <c r="L4" s="36"/>
    </row>
    <row r="5" spans="1:12" ht="15" customHeight="1" x14ac:dyDescent="0.25">
      <c r="L5" s="36"/>
    </row>
    <row r="6" spans="1:12" ht="15" customHeight="1" x14ac:dyDescent="0.25">
      <c r="L6" s="36"/>
    </row>
    <row r="7" spans="1:12" ht="15" customHeight="1" x14ac:dyDescent="0.25">
      <c r="L7" s="36"/>
    </row>
    <row r="10" spans="1:12" ht="13.8" thickBot="1" x14ac:dyDescent="0.3"/>
    <row r="11" spans="1:12" s="47" customFormat="1" ht="24.75" customHeight="1" thickTop="1" thickBot="1" x14ac:dyDescent="0.35">
      <c r="A11" s="43" t="s">
        <v>36</v>
      </c>
      <c r="B11" s="44"/>
      <c r="C11" s="45"/>
      <c r="D11" s="45"/>
      <c r="E11" s="45"/>
      <c r="F11" s="45"/>
      <c r="G11" s="46"/>
    </row>
    <row r="12" spans="1:12" s="47" customFormat="1" ht="24.75" customHeight="1" thickTop="1" thickBot="1" x14ac:dyDescent="0.35">
      <c r="A12" s="1074"/>
      <c r="B12" s="1569"/>
      <c r="C12" s="1570"/>
      <c r="D12" s="1570"/>
      <c r="E12" s="1570"/>
      <c r="F12" s="1570"/>
      <c r="G12" s="1570"/>
    </row>
    <row r="13" spans="1:12" s="47" customFormat="1" ht="21" customHeight="1" thickTop="1" x14ac:dyDescent="0.25">
      <c r="A13" s="48" t="s">
        <v>37</v>
      </c>
      <c r="B13" s="49" t="s">
        <v>38</v>
      </c>
      <c r="C13" s="50" t="s">
        <v>39</v>
      </c>
      <c r="D13" s="50" t="s">
        <v>40</v>
      </c>
      <c r="E13" s="50" t="s">
        <v>41</v>
      </c>
      <c r="F13" s="50" t="s">
        <v>42</v>
      </c>
      <c r="G13" s="51" t="s">
        <v>43</v>
      </c>
    </row>
    <row r="14" spans="1:12" s="47" customFormat="1" ht="15" customHeight="1" x14ac:dyDescent="0.25">
      <c r="A14" s="821">
        <f>'Cash Flow Analysis'!B65</f>
        <v>1</v>
      </c>
      <c r="B14" s="1075">
        <f>IF(B13="","",IF('Cash Flow Analysis'!$B$31=0,"N/A",IF(A14=1,1,IF(A13=debt_period,"",B13+1))))</f>
        <v>1</v>
      </c>
      <c r="C14" s="824">
        <f ca="1">IF(OR(A14="",B14="",B14="N/A"),"",IF(B14=1,-'Cash Flow Analysis'!G65,IF(B14="N/A",0,G13)))</f>
        <v>430393279.23883724</v>
      </c>
      <c r="D14" s="824">
        <f ca="1">IF(debt_period=0,
E14+F14,
IF(OR(A14="",B14="",B14="N/A"),"",IF(B14=1,((debt_interest*(1+debt_interest)^debt_period)/((1+debt_interest)^debt_period-1))*(-'Cash Flow Analysis'!G65),IF(G13=0,"",D13))))</f>
        <v>15924551.331836978</v>
      </c>
      <c r="E14" s="824">
        <f t="shared" ref="E14:E57" ca="1" si="0">IF(OR(A14="",B14="",B14="N/A"),"",C14*debt_interest)</f>
        <v>15924551.331836978</v>
      </c>
      <c r="F14" s="824">
        <f>IF(debt_period=0,
IF(B14=(anal_period+construct),0,0),
IF(OR(A14="",B14="",B14="N/A"),"",D14-E14))</f>
        <v>0</v>
      </c>
      <c r="G14" s="1076">
        <f t="shared" ref="G14:G57" ca="1" si="1">IF(OR(A14="",B14="",B14="N/A"),"",C14-F14)</f>
        <v>430393279.23883724</v>
      </c>
    </row>
    <row r="15" spans="1:12" s="47" customFormat="1" ht="15" customHeight="1" x14ac:dyDescent="0.25">
      <c r="A15" s="821">
        <f>'Cash Flow Analysis'!B66</f>
        <v>2</v>
      </c>
      <c r="B15" s="1075">
        <f>IF(B14="","",IF('Cash Flow Analysis'!$B$31=0,"N/A",IF(A15=1,1,IF(A14=debt_period,"",B14+1))))</f>
        <v>2</v>
      </c>
      <c r="C15" s="824">
        <f ca="1">IF(OR(A15="",B15="",B15="N/A"),"",IF(B15=1,-'Cash Flow Analysis'!G66,IF(B15="N/A",0,G14)))</f>
        <v>430393279.23883724</v>
      </c>
      <c r="D15" s="824">
        <f ca="1">IF(debt_period=0,
E15+F15,
IF(OR(A15="",B15="",B15="N/A"),"",IF(B15=1,((debt_interest*(1+debt_interest)^debt_period)/((1+debt_interest)^debt_period-1))*(-'Cash Flow Analysis'!G66),IF(G14=0,"",D14))))</f>
        <v>15924551.331836978</v>
      </c>
      <c r="E15" s="824">
        <f t="shared" ca="1" si="0"/>
        <v>15924551.331836978</v>
      </c>
      <c r="F15" s="824">
        <f>IF(debt_period=0,
IF(B15=(anal_period+construct),C14,0),
IF(OR(A15="",B15="",B15="N/A"),"",D15-E15))</f>
        <v>0</v>
      </c>
      <c r="G15" s="1076">
        <f t="shared" ca="1" si="1"/>
        <v>430393279.23883724</v>
      </c>
    </row>
    <row r="16" spans="1:12" s="47" customFormat="1" ht="15" customHeight="1" x14ac:dyDescent="0.25">
      <c r="A16" s="821">
        <f>'Cash Flow Analysis'!B67</f>
        <v>3</v>
      </c>
      <c r="B16" s="1075">
        <f>IF(B15="","",IF('Cash Flow Analysis'!$B$31=0,"N/A",IF(A16=1,1,IF(A15=debt_period,"",B15+1))))</f>
        <v>3</v>
      </c>
      <c r="C16" s="824">
        <f ca="1">IF(OR(A16="",B16="",B16="N/A"),"",IF(B16=1,-'Cash Flow Analysis'!G67,IF(B16="N/A",0,G15)))</f>
        <v>430393279.23883724</v>
      </c>
      <c r="D16" s="824">
        <f ca="1">IF(debt_period=0,
E16+F16,
IF(OR(A16="",B16="",B16="N/A"),"",IF(B16=1,((debt_interest*(1+debt_interest)^debt_period)/((1+debt_interest)^debt_period-1))*(-'Cash Flow Analysis'!G67),IF(G15=0,"",D15))))</f>
        <v>15924551.331836978</v>
      </c>
      <c r="E16" s="824">
        <f t="shared" ca="1" si="0"/>
        <v>15924551.331836978</v>
      </c>
      <c r="F16" s="824">
        <f t="shared" ref="F16:F57" si="2">IF(debt_period=0,
IF(B16=(anal_period+construct),C16,0),
IF(OR(A16="",B16="",B16="N/A"),"",D16-E16))</f>
        <v>0</v>
      </c>
      <c r="G16" s="1076">
        <f t="shared" ca="1" si="1"/>
        <v>430393279.23883724</v>
      </c>
    </row>
    <row r="17" spans="1:7" s="47" customFormat="1" ht="15" customHeight="1" x14ac:dyDescent="0.25">
      <c r="A17" s="821">
        <f>'Cash Flow Analysis'!B68</f>
        <v>4</v>
      </c>
      <c r="B17" s="1075">
        <f>IF(B16="","",IF('Cash Flow Analysis'!$B$31=0,"N/A",IF(A17=1,1,IF(A16=debt_period,"",B16+1))))</f>
        <v>4</v>
      </c>
      <c r="C17" s="824">
        <f ca="1">IF(OR(A17="",B17="",B17="N/A"),"",IF(B17=1,-'Cash Flow Analysis'!G68,IF(B17="N/A",0,G16)))</f>
        <v>430393279.23883724</v>
      </c>
      <c r="D17" s="824">
        <f ca="1">IF(debt_period=0,
E17+F17,
IF(OR(A17="",B17="",B17="N/A"),"",IF(B17=1,((debt_interest*(1+debt_interest)^debt_period)/((1+debt_interest)^debt_period-1))*(-'Cash Flow Analysis'!G68),IF(G16=0,"",D16))))</f>
        <v>15924551.331836978</v>
      </c>
      <c r="E17" s="824">
        <f t="shared" ca="1" si="0"/>
        <v>15924551.331836978</v>
      </c>
      <c r="F17" s="824">
        <f t="shared" si="2"/>
        <v>0</v>
      </c>
      <c r="G17" s="1076">
        <f t="shared" ca="1" si="1"/>
        <v>430393279.23883724</v>
      </c>
    </row>
    <row r="18" spans="1:7" s="47" customFormat="1" ht="15" customHeight="1" x14ac:dyDescent="0.25">
      <c r="A18" s="821">
        <f>'Cash Flow Analysis'!B69</f>
        <v>5</v>
      </c>
      <c r="B18" s="1075">
        <f>IF(B17="","",IF('Cash Flow Analysis'!$B$31=0,"N/A",IF(A18=1,1,IF(A17=debt_period,"",B17+1))))</f>
        <v>5</v>
      </c>
      <c r="C18" s="824">
        <f ca="1">IF(OR(A18="",B18="",B18="N/A"),"",IF(B18=1,-'Cash Flow Analysis'!G69,IF(B18="N/A",0,G17)))</f>
        <v>430393279.23883724</v>
      </c>
      <c r="D18" s="824">
        <f ca="1">IF(debt_period=0,
E18+F18,
IF(OR(A18="",B18="",B18="N/A"),"",IF(B18=1,((debt_interest*(1+debt_interest)^debt_period)/((1+debt_interest)^debt_period-1))*(-'Cash Flow Analysis'!G69),IF(G17=0,"",D17))))</f>
        <v>15924551.331836978</v>
      </c>
      <c r="E18" s="824">
        <f t="shared" ca="1" si="0"/>
        <v>15924551.331836978</v>
      </c>
      <c r="F18" s="824">
        <f t="shared" si="2"/>
        <v>0</v>
      </c>
      <c r="G18" s="1076">
        <f t="shared" ca="1" si="1"/>
        <v>430393279.23883724</v>
      </c>
    </row>
    <row r="19" spans="1:7" s="47" customFormat="1" ht="15" customHeight="1" x14ac:dyDescent="0.25">
      <c r="A19" s="821">
        <f>'Cash Flow Analysis'!B70</f>
        <v>6</v>
      </c>
      <c r="B19" s="1075">
        <f>IF(B18="","",IF('Cash Flow Analysis'!$B$31=0,"N/A",IF(A19=1,1,IF(A18=debt_period,"",B18+1))))</f>
        <v>6</v>
      </c>
      <c r="C19" s="824">
        <f ca="1">IF(OR(A19="",B19="",B19="N/A"),"",IF(B19=1,-'Cash Flow Analysis'!G70,IF(B19="N/A",0,G18)))</f>
        <v>430393279.23883724</v>
      </c>
      <c r="D19" s="824">
        <f ca="1">IF(debt_period=0,
E19+F19,
IF(OR(A19="",B19="",B19="N/A"),"",IF(B19=1,((debt_interest*(1+debt_interest)^debt_period)/((1+debt_interest)^debt_period-1))*(-'Cash Flow Analysis'!G70),IF(G18=0,"",D18))))</f>
        <v>15924551.331836978</v>
      </c>
      <c r="E19" s="824">
        <f t="shared" ca="1" si="0"/>
        <v>15924551.331836978</v>
      </c>
      <c r="F19" s="824">
        <f t="shared" si="2"/>
        <v>0</v>
      </c>
      <c r="G19" s="1076">
        <f t="shared" ca="1" si="1"/>
        <v>430393279.23883724</v>
      </c>
    </row>
    <row r="20" spans="1:7" s="47" customFormat="1" ht="15" customHeight="1" x14ac:dyDescent="0.25">
      <c r="A20" s="821">
        <f>'Cash Flow Analysis'!B71</f>
        <v>7</v>
      </c>
      <c r="B20" s="1075">
        <f>IF(B19="","",IF('Cash Flow Analysis'!$B$31=0,"N/A",IF(A20=1,1,IF(A19=debt_period,"",B19+1))))</f>
        <v>7</v>
      </c>
      <c r="C20" s="824">
        <f ca="1">IF(OR(A20="",B20="",B20="N/A"),"",IF(B20=1,-'Cash Flow Analysis'!G71,IF(B20="N/A",0,G19)))</f>
        <v>430393279.23883724</v>
      </c>
      <c r="D20" s="824">
        <f ca="1">IF(debt_period=0,
E20+F20,
IF(OR(A20="",B20="",B20="N/A"),"",IF(B20=1,((debt_interest*(1+debt_interest)^debt_period)/((1+debt_interest)^debt_period-1))*(-'Cash Flow Analysis'!G71),IF(G19=0,"",D19))))</f>
        <v>15924551.331836978</v>
      </c>
      <c r="E20" s="824">
        <f t="shared" ca="1" si="0"/>
        <v>15924551.331836978</v>
      </c>
      <c r="F20" s="824">
        <f t="shared" si="2"/>
        <v>0</v>
      </c>
      <c r="G20" s="1076">
        <f t="shared" ca="1" si="1"/>
        <v>430393279.23883724</v>
      </c>
    </row>
    <row r="21" spans="1:7" s="47" customFormat="1" ht="15" customHeight="1" x14ac:dyDescent="0.25">
      <c r="A21" s="821">
        <f>'Cash Flow Analysis'!B72</f>
        <v>8</v>
      </c>
      <c r="B21" s="1075">
        <f>IF(B20="","",IF('Cash Flow Analysis'!$B$31=0,"N/A",IF(A21=1,1,IF(A20=debt_period,"",B20+1))))</f>
        <v>8</v>
      </c>
      <c r="C21" s="824">
        <f ca="1">IF(OR(A21="",B21="",B21="N/A"),"",IF(B21=1,-'Cash Flow Analysis'!G72,IF(B21="N/A",0,G20)))</f>
        <v>430393279.23883724</v>
      </c>
      <c r="D21" s="824">
        <f ca="1">IF(debt_period=0,
E21+F21,
IF(OR(A21="",B21="",B21="N/A"),"",IF(B21=1,((debt_interest*(1+debt_interest)^debt_period)/((1+debt_interest)^debt_period-1))*(-'Cash Flow Analysis'!G72),IF(G20=0,"",D20))))</f>
        <v>15924551.331836978</v>
      </c>
      <c r="E21" s="824">
        <f t="shared" ca="1" si="0"/>
        <v>15924551.331836978</v>
      </c>
      <c r="F21" s="824">
        <f t="shared" si="2"/>
        <v>0</v>
      </c>
      <c r="G21" s="1076">
        <f t="shared" ca="1" si="1"/>
        <v>430393279.23883724</v>
      </c>
    </row>
    <row r="22" spans="1:7" s="47" customFormat="1" ht="15" customHeight="1" x14ac:dyDescent="0.25">
      <c r="A22" s="821">
        <f>'Cash Flow Analysis'!B73</f>
        <v>9</v>
      </c>
      <c r="B22" s="1075">
        <f>IF(B21="","",IF('Cash Flow Analysis'!$B$31=0,"N/A",IF(A22=1,1,IF(A21=debt_period,"",B21+1))))</f>
        <v>9</v>
      </c>
      <c r="C22" s="824">
        <f ca="1">IF(OR(A22="",B22="",B22="N/A"),"",IF(B22=1,-'Cash Flow Analysis'!G73,IF(B22="N/A",0,G21)))</f>
        <v>430393279.23883724</v>
      </c>
      <c r="D22" s="824">
        <f ca="1">IF(debt_period=0,
E22+F22,
IF(OR(A22="",B22="",B22="N/A"),"",IF(B22=1,((debt_interest*(1+debt_interest)^debt_period)/((1+debt_interest)^debt_period-1))*(-'Cash Flow Analysis'!G73),IF(G21=0,"",D21))))</f>
        <v>15924551.331836978</v>
      </c>
      <c r="E22" s="824">
        <f t="shared" ca="1" si="0"/>
        <v>15924551.331836978</v>
      </c>
      <c r="F22" s="824">
        <f t="shared" si="2"/>
        <v>0</v>
      </c>
      <c r="G22" s="1076">
        <f t="shared" ca="1" si="1"/>
        <v>430393279.23883724</v>
      </c>
    </row>
    <row r="23" spans="1:7" s="47" customFormat="1" ht="15" customHeight="1" x14ac:dyDescent="0.25">
      <c r="A23" s="821">
        <f>'Cash Flow Analysis'!B74</f>
        <v>10</v>
      </c>
      <c r="B23" s="1075">
        <f>IF(B22="","",IF('Cash Flow Analysis'!$B$31=0,"N/A",IF(A23=1,1,IF(A22=debt_period,"",B22+1))))</f>
        <v>10</v>
      </c>
      <c r="C23" s="824">
        <f ca="1">IF(OR(A23="",B23="",B23="N/A"),"",IF(B23=1,-'Cash Flow Analysis'!G74,IF(B23="N/A",0,G22)))</f>
        <v>430393279.23883724</v>
      </c>
      <c r="D23" s="824">
        <f ca="1">IF(debt_period=0,
E23+F23,
IF(OR(A23="",B23="",B23="N/A"),"",IF(B23=1,((debt_interest*(1+debt_interest)^debt_period)/((1+debt_interest)^debt_period-1))*(-'Cash Flow Analysis'!G74),IF(G22=0,"",D22))))</f>
        <v>15924551.331836978</v>
      </c>
      <c r="E23" s="824">
        <f t="shared" ca="1" si="0"/>
        <v>15924551.331836978</v>
      </c>
      <c r="F23" s="824">
        <f t="shared" si="2"/>
        <v>0</v>
      </c>
      <c r="G23" s="1076">
        <f t="shared" ca="1" si="1"/>
        <v>430393279.23883724</v>
      </c>
    </row>
    <row r="24" spans="1:7" s="47" customFormat="1" ht="15" customHeight="1" x14ac:dyDescent="0.25">
      <c r="A24" s="821">
        <f>'Cash Flow Analysis'!B75</f>
        <v>11</v>
      </c>
      <c r="B24" s="1075">
        <f>IF(B23="","",IF('Cash Flow Analysis'!$B$31=0,"N/A",IF(A24=1,1,IF(A23=debt_period,"",B23+1))))</f>
        <v>11</v>
      </c>
      <c r="C24" s="824">
        <f ca="1">IF(OR(A24="",B24="",B24="N/A"),"",IF(B24=1,-'Cash Flow Analysis'!G75,IF(B24="N/A",0,G23)))</f>
        <v>430393279.23883724</v>
      </c>
      <c r="D24" s="824">
        <f ca="1">IF(debt_period=0,
E24+F24,
IF(OR(A24="",B24="",B24="N/A"),"",IF(B24=1,((debt_interest*(1+debt_interest)^debt_period)/((1+debt_interest)^debt_period-1))*(-'Cash Flow Analysis'!G75),IF(G23=0,"",D23))))</f>
        <v>15924551.331836978</v>
      </c>
      <c r="E24" s="824">
        <f t="shared" ca="1" si="0"/>
        <v>15924551.331836978</v>
      </c>
      <c r="F24" s="824">
        <f t="shared" si="2"/>
        <v>0</v>
      </c>
      <c r="G24" s="1076">
        <f t="shared" ca="1" si="1"/>
        <v>430393279.23883724</v>
      </c>
    </row>
    <row r="25" spans="1:7" s="47" customFormat="1" ht="15" customHeight="1" x14ac:dyDescent="0.25">
      <c r="A25" s="821">
        <f>'Cash Flow Analysis'!B76</f>
        <v>12</v>
      </c>
      <c r="B25" s="1075">
        <f>IF(B24="","",IF('Cash Flow Analysis'!$B$31=0,"N/A",IF(A25=1,1,IF(A24=debt_period,"",B24+1))))</f>
        <v>12</v>
      </c>
      <c r="C25" s="824">
        <f ca="1">IF(OR(A25="",B25="",B25="N/A"),"",IF(B25=1,-'Cash Flow Analysis'!G76,IF(B25="N/A",0,G24)))</f>
        <v>430393279.23883724</v>
      </c>
      <c r="D25" s="824">
        <f ca="1">IF(debt_period=0,
E25+F25,
IF(OR(A25="",B25="",B25="N/A"),"",IF(B25=1,((debt_interest*(1+debt_interest)^debt_period)/((1+debt_interest)^debt_period-1))*(-'Cash Flow Analysis'!G76),IF(G24=0,"",D24))))</f>
        <v>15924551.331836978</v>
      </c>
      <c r="E25" s="824">
        <f t="shared" ca="1" si="0"/>
        <v>15924551.331836978</v>
      </c>
      <c r="F25" s="824">
        <f t="shared" si="2"/>
        <v>0</v>
      </c>
      <c r="G25" s="1076">
        <f t="shared" ca="1" si="1"/>
        <v>430393279.23883724</v>
      </c>
    </row>
    <row r="26" spans="1:7" s="47" customFormat="1" ht="15" customHeight="1" x14ac:dyDescent="0.25">
      <c r="A26" s="821">
        <f>'Cash Flow Analysis'!B77</f>
        <v>13</v>
      </c>
      <c r="B26" s="1075">
        <f>IF(B25="","",IF('Cash Flow Analysis'!$B$31=0,"N/A",IF(A26=1,1,IF(A25=debt_period,"",B25+1))))</f>
        <v>13</v>
      </c>
      <c r="C26" s="824">
        <f ca="1">IF(OR(A26="",B26="",B26="N/A"),"",IF(B26=1,-'Cash Flow Analysis'!G77,IF(B26="N/A",0,G25)))</f>
        <v>430393279.23883724</v>
      </c>
      <c r="D26" s="824">
        <f ca="1">IF(debt_period=0,
E26+F26,
IF(OR(A26="",B26="",B26="N/A"),"",IF(B26=1,((debt_interest*(1+debt_interest)^debt_period)/((1+debt_interest)^debt_period-1))*(-'Cash Flow Analysis'!G77),IF(G25=0,"",D25))))</f>
        <v>15924551.331836978</v>
      </c>
      <c r="E26" s="824">
        <f t="shared" ca="1" si="0"/>
        <v>15924551.331836978</v>
      </c>
      <c r="F26" s="824">
        <f t="shared" si="2"/>
        <v>0</v>
      </c>
      <c r="G26" s="1076">
        <f t="shared" ca="1" si="1"/>
        <v>430393279.23883724</v>
      </c>
    </row>
    <row r="27" spans="1:7" s="47" customFormat="1" ht="15" customHeight="1" x14ac:dyDescent="0.25">
      <c r="A27" s="821">
        <f>'Cash Flow Analysis'!B78</f>
        <v>14</v>
      </c>
      <c r="B27" s="1075">
        <f>IF(B26="","",IF('Cash Flow Analysis'!$B$31=0,"N/A",IF(A27=1,1,IF(A26=debt_period,"",B26+1))))</f>
        <v>14</v>
      </c>
      <c r="C27" s="824">
        <f ca="1">IF(OR(A27="",B27="",B27="N/A"),"",IF(B27=1,-'Cash Flow Analysis'!G78,IF(B27="N/A",0,G26)))</f>
        <v>430393279.23883724</v>
      </c>
      <c r="D27" s="824">
        <f ca="1">IF(debt_period=0,
E27+F27,
IF(OR(A27="",B27="",B27="N/A"),"",IF(B27=1,((debt_interest*(1+debt_interest)^debt_period)/((1+debt_interest)^debt_period-1))*(-'Cash Flow Analysis'!G78),IF(G26=0,"",D26))))</f>
        <v>15924551.331836978</v>
      </c>
      <c r="E27" s="824">
        <f t="shared" ca="1" si="0"/>
        <v>15924551.331836978</v>
      </c>
      <c r="F27" s="824">
        <f t="shared" si="2"/>
        <v>0</v>
      </c>
      <c r="G27" s="1076">
        <f t="shared" ca="1" si="1"/>
        <v>430393279.23883724</v>
      </c>
    </row>
    <row r="28" spans="1:7" s="47" customFormat="1" ht="15" customHeight="1" x14ac:dyDescent="0.25">
      <c r="A28" s="821">
        <f>'Cash Flow Analysis'!B79</f>
        <v>15</v>
      </c>
      <c r="B28" s="1075">
        <f>IF(B27="","",IF('Cash Flow Analysis'!$B$31=0,"N/A",IF(A28=1,1,IF(A27=debt_period,"",B27+1))))</f>
        <v>15</v>
      </c>
      <c r="C28" s="824">
        <f ca="1">IF(OR(A28="",B28="",B28="N/A"),"",IF(B28=1,-'Cash Flow Analysis'!G79,IF(B28="N/A",0,G27)))</f>
        <v>430393279.23883724</v>
      </c>
      <c r="D28" s="824">
        <f ca="1">IF(debt_period=0,
E28+F28,
IF(OR(A28="",B28="",B28="N/A"),"",IF(B28=1,((debt_interest*(1+debt_interest)^debt_period)/((1+debt_interest)^debt_period-1))*(-'Cash Flow Analysis'!G79),IF(G27=0,"",D27))))</f>
        <v>15924551.331836978</v>
      </c>
      <c r="E28" s="824">
        <f t="shared" ca="1" si="0"/>
        <v>15924551.331836978</v>
      </c>
      <c r="F28" s="824">
        <f t="shared" si="2"/>
        <v>0</v>
      </c>
      <c r="G28" s="1076">
        <f t="shared" ca="1" si="1"/>
        <v>430393279.23883724</v>
      </c>
    </row>
    <row r="29" spans="1:7" s="47" customFormat="1" ht="15" customHeight="1" x14ac:dyDescent="0.25">
      <c r="A29" s="821">
        <f>'Cash Flow Analysis'!B80</f>
        <v>16</v>
      </c>
      <c r="B29" s="1075">
        <f>IF(B28="","",IF('Cash Flow Analysis'!$B$31=0,"N/A",IF(A29=1,1,IF(A28=debt_period,"",B28+1))))</f>
        <v>16</v>
      </c>
      <c r="C29" s="824">
        <f ca="1">IF(OR(A29="",B29="",B29="N/A"),"",IF(B29=1,-'Cash Flow Analysis'!G80,IF(B29="N/A",0,G28)))</f>
        <v>430393279.23883724</v>
      </c>
      <c r="D29" s="824">
        <f ca="1">IF(debt_period=0,
E29+F29,
IF(OR(A29="",B29="",B29="N/A"),"",IF(B29=1,((debt_interest*(1+debt_interest)^debt_period)/((1+debt_interest)^debt_period-1))*(-'Cash Flow Analysis'!G80),IF(G28=0,"",D28))))</f>
        <v>15924551.331836978</v>
      </c>
      <c r="E29" s="824">
        <f t="shared" ca="1" si="0"/>
        <v>15924551.331836978</v>
      </c>
      <c r="F29" s="824">
        <f t="shared" si="2"/>
        <v>0</v>
      </c>
      <c r="G29" s="1076">
        <f t="shared" ca="1" si="1"/>
        <v>430393279.23883724</v>
      </c>
    </row>
    <row r="30" spans="1:7" s="47" customFormat="1" ht="15" customHeight="1" x14ac:dyDescent="0.25">
      <c r="A30" s="821">
        <f>'Cash Flow Analysis'!B81</f>
        <v>17</v>
      </c>
      <c r="B30" s="1075">
        <f>IF(B29="","",IF('Cash Flow Analysis'!$B$31=0,"N/A",IF(A30=1,1,IF(A29=debt_period,"",B29+1))))</f>
        <v>17</v>
      </c>
      <c r="C30" s="824">
        <f ca="1">IF(OR(A30="",B30="",B30="N/A"),"",IF(B30=1,-'Cash Flow Analysis'!G81,IF(B30="N/A",0,G29)))</f>
        <v>430393279.23883724</v>
      </c>
      <c r="D30" s="824">
        <f ca="1">IF(debt_period=0,
E30+F30,
IF(OR(A30="",B30="",B30="N/A"),"",IF(B30=1,((debt_interest*(1+debt_interest)^debt_period)/((1+debt_interest)^debt_period-1))*(-'Cash Flow Analysis'!G81),IF(G29=0,"",D29))))</f>
        <v>15924551.331836978</v>
      </c>
      <c r="E30" s="824">
        <f t="shared" ca="1" si="0"/>
        <v>15924551.331836978</v>
      </c>
      <c r="F30" s="824">
        <f t="shared" si="2"/>
        <v>0</v>
      </c>
      <c r="G30" s="1076">
        <f t="shared" ca="1" si="1"/>
        <v>430393279.23883724</v>
      </c>
    </row>
    <row r="31" spans="1:7" s="47" customFormat="1" ht="15" customHeight="1" x14ac:dyDescent="0.25">
      <c r="A31" s="821">
        <f>'Cash Flow Analysis'!B82</f>
        <v>18</v>
      </c>
      <c r="B31" s="1075">
        <f>IF(B30="","",IF('Cash Flow Analysis'!$B$31=0,"N/A",IF(A31=1,1,IF(A30=debt_period,"",B30+1))))</f>
        <v>18</v>
      </c>
      <c r="C31" s="824">
        <f ca="1">IF(OR(A31="",B31="",B31="N/A"),"",IF(B31=1,-'Cash Flow Analysis'!G82,IF(B31="N/A",0,G30)))</f>
        <v>430393279.23883724</v>
      </c>
      <c r="D31" s="824">
        <f ca="1">IF(debt_period=0,
E31+F31,
IF(OR(A31="",B31="",B31="N/A"),"",IF(B31=1,((debt_interest*(1+debt_interest)^debt_period)/((1+debt_interest)^debt_period-1))*(-'Cash Flow Analysis'!G82),IF(G30=0,"",D30))))</f>
        <v>15924551.331836978</v>
      </c>
      <c r="E31" s="824">
        <f t="shared" ca="1" si="0"/>
        <v>15924551.331836978</v>
      </c>
      <c r="F31" s="824">
        <f t="shared" si="2"/>
        <v>0</v>
      </c>
      <c r="G31" s="1076">
        <f t="shared" ca="1" si="1"/>
        <v>430393279.23883724</v>
      </c>
    </row>
    <row r="32" spans="1:7" s="47" customFormat="1" ht="15" customHeight="1" x14ac:dyDescent="0.25">
      <c r="A32" s="821">
        <f>'Cash Flow Analysis'!B83</f>
        <v>19</v>
      </c>
      <c r="B32" s="1075">
        <f>IF(B31="","",IF('Cash Flow Analysis'!$B$31=0,"N/A",IF(A32=1,1,IF(A31=debt_period,"",B31+1))))</f>
        <v>19</v>
      </c>
      <c r="C32" s="824">
        <f ca="1">IF(OR(A32="",B32="",B32="N/A"),"",IF(B32=1,-'Cash Flow Analysis'!G83,IF(B32="N/A",0,G31)))</f>
        <v>430393279.23883724</v>
      </c>
      <c r="D32" s="824">
        <f ca="1">IF(debt_period=0,
E32+F32,
IF(OR(A32="",B32="",B32="N/A"),"",IF(B32=1,((debt_interest*(1+debt_interest)^debt_period)/((1+debt_interest)^debt_period-1))*(-'Cash Flow Analysis'!G83),IF(G31=0,"",D31))))</f>
        <v>15924551.331836978</v>
      </c>
      <c r="E32" s="824">
        <f t="shared" ca="1" si="0"/>
        <v>15924551.331836978</v>
      </c>
      <c r="F32" s="824">
        <f t="shared" si="2"/>
        <v>0</v>
      </c>
      <c r="G32" s="1076">
        <f t="shared" ca="1" si="1"/>
        <v>430393279.23883724</v>
      </c>
    </row>
    <row r="33" spans="1:7" s="47" customFormat="1" ht="15" customHeight="1" x14ac:dyDescent="0.25">
      <c r="A33" s="821">
        <f>'Cash Flow Analysis'!B84</f>
        <v>20</v>
      </c>
      <c r="B33" s="1075">
        <f>IF(B32="","",IF('Cash Flow Analysis'!$B$31=0,"N/A",IF(A33=1,1,IF(A32=debt_period,"",B32+1))))</f>
        <v>20</v>
      </c>
      <c r="C33" s="824">
        <f ca="1">IF(OR(A33="",B33="",B33="N/A"),"",IF(B33=1,-'Cash Flow Analysis'!G84,IF(B33="N/A",0,G32)))</f>
        <v>430393279.23883724</v>
      </c>
      <c r="D33" s="824">
        <f ca="1">IF(debt_period=0,
E33+F33,
IF(OR(A33="",B33="",B33="N/A"),"",IF(B33=1,((debt_interest*(1+debt_interest)^debt_period)/((1+debt_interest)^debt_period-1))*(-'Cash Flow Analysis'!G84),IF(G32=0,"",D32))))</f>
        <v>15924551.331836978</v>
      </c>
      <c r="E33" s="824">
        <f t="shared" ca="1" si="0"/>
        <v>15924551.331836978</v>
      </c>
      <c r="F33" s="824">
        <f t="shared" si="2"/>
        <v>0</v>
      </c>
      <c r="G33" s="1076">
        <f t="shared" ca="1" si="1"/>
        <v>430393279.23883724</v>
      </c>
    </row>
    <row r="34" spans="1:7" s="47" customFormat="1" ht="15" customHeight="1" x14ac:dyDescent="0.25">
      <c r="A34" s="821">
        <f>'Cash Flow Analysis'!B85</f>
        <v>21</v>
      </c>
      <c r="B34" s="1075">
        <f>IF(B33="","",IF('Cash Flow Analysis'!$B$31=0,"N/A",IF(A34=1,1,IF(A33=debt_period,"",B33+1))))</f>
        <v>21</v>
      </c>
      <c r="C34" s="824">
        <f ca="1">IF(OR(A34="",B34="",B34="N/A"),"",IF(B34=1,-'Cash Flow Analysis'!G85,IF(B34="N/A",0,G33)))</f>
        <v>430393279.23883724</v>
      </c>
      <c r="D34" s="824">
        <f ca="1">IF(debt_period=0,
E34+F34,
IF(OR(A34="",B34="",B34="N/A"),"",IF(B34=1,((debt_interest*(1+debt_interest)^debt_period)/((1+debt_interest)^debt_period-1))*(-'Cash Flow Analysis'!G85),IF(G33=0,"",D33))))</f>
        <v>15924551.331836978</v>
      </c>
      <c r="E34" s="824">
        <f t="shared" ca="1" si="0"/>
        <v>15924551.331836978</v>
      </c>
      <c r="F34" s="824">
        <f t="shared" si="2"/>
        <v>0</v>
      </c>
      <c r="G34" s="1076">
        <f t="shared" ca="1" si="1"/>
        <v>430393279.23883724</v>
      </c>
    </row>
    <row r="35" spans="1:7" s="47" customFormat="1" ht="15" customHeight="1" x14ac:dyDescent="0.25">
      <c r="A35" s="821">
        <f>'Cash Flow Analysis'!B86</f>
        <v>22</v>
      </c>
      <c r="B35" s="1075">
        <f>IF(B34="","",IF('Cash Flow Analysis'!$B$31=0,"N/A",IF(A35=1,1,IF(A34=debt_period,"",B34+1))))</f>
        <v>22</v>
      </c>
      <c r="C35" s="824">
        <f ca="1">IF(OR(A35="",B35="",B35="N/A"),"",IF(B35=1,-'Cash Flow Analysis'!G86,IF(B35="N/A",0,G34)))</f>
        <v>430393279.23883724</v>
      </c>
      <c r="D35" s="824">
        <f ca="1">IF(debt_period=0,
E35+F35,
IF(OR(A35="",B35="",B35="N/A"),"",IF(B35=1,((debt_interest*(1+debt_interest)^debt_period)/((1+debt_interest)^debt_period-1))*(-'Cash Flow Analysis'!G86),IF(G34=0,"",D34))))</f>
        <v>15924551.331836978</v>
      </c>
      <c r="E35" s="824">
        <f t="shared" ca="1" si="0"/>
        <v>15924551.331836978</v>
      </c>
      <c r="F35" s="824">
        <f t="shared" si="2"/>
        <v>0</v>
      </c>
      <c r="G35" s="1076">
        <f t="shared" ca="1" si="1"/>
        <v>430393279.23883724</v>
      </c>
    </row>
    <row r="36" spans="1:7" s="47" customFormat="1" ht="15" customHeight="1" x14ac:dyDescent="0.25">
      <c r="A36" s="821">
        <f>'Cash Flow Analysis'!B87</f>
        <v>23</v>
      </c>
      <c r="B36" s="1075">
        <f>IF(B35="","",IF('Cash Flow Analysis'!$B$31=0,"N/A",IF(A36=1,1,IF(A35=debt_period,"",B35+1))))</f>
        <v>23</v>
      </c>
      <c r="C36" s="824">
        <f ca="1">IF(OR(A36="",B36="",B36="N/A"),"",IF(B36=1,-'Cash Flow Analysis'!G87,IF(B36="N/A",0,G35)))</f>
        <v>430393279.23883724</v>
      </c>
      <c r="D36" s="824">
        <f ca="1">IF(debt_period=0,
E36+F36,
IF(OR(A36="",B36="",B36="N/A"),"",IF(B36=1,((debt_interest*(1+debt_interest)^debt_period)/((1+debt_interest)^debt_period-1))*(-'Cash Flow Analysis'!G87),IF(G35=0,"",D35))))</f>
        <v>15924551.331836978</v>
      </c>
      <c r="E36" s="824">
        <f t="shared" ca="1" si="0"/>
        <v>15924551.331836978</v>
      </c>
      <c r="F36" s="824">
        <f t="shared" si="2"/>
        <v>0</v>
      </c>
      <c r="G36" s="1076">
        <f t="shared" ca="1" si="1"/>
        <v>430393279.23883724</v>
      </c>
    </row>
    <row r="37" spans="1:7" s="47" customFormat="1" ht="15" customHeight="1" x14ac:dyDescent="0.25">
      <c r="A37" s="821">
        <f>'Cash Flow Analysis'!B88</f>
        <v>24</v>
      </c>
      <c r="B37" s="1075">
        <f>IF(B36="","",IF('Cash Flow Analysis'!$B$31=0,"N/A",IF(A37=1,1,IF(A36=debt_period,"",B36+1))))</f>
        <v>24</v>
      </c>
      <c r="C37" s="824">
        <f ca="1">IF(OR(A37="",B37="",B37="N/A"),"",IF(B37=1,-'Cash Flow Analysis'!G88,IF(B37="N/A",0,G36)))</f>
        <v>430393279.23883724</v>
      </c>
      <c r="D37" s="824">
        <f ca="1">IF(debt_period=0,
E37+F37,
IF(OR(A37="",B37="",B37="N/A"),"",IF(B37=1,((debt_interest*(1+debt_interest)^debt_period)/((1+debt_interest)^debt_period-1))*(-'Cash Flow Analysis'!G88),IF(G36=0,"",D36))))</f>
        <v>15924551.331836978</v>
      </c>
      <c r="E37" s="824">
        <f t="shared" ca="1" si="0"/>
        <v>15924551.331836978</v>
      </c>
      <c r="F37" s="824">
        <f t="shared" si="2"/>
        <v>0</v>
      </c>
      <c r="G37" s="1076">
        <f t="shared" ca="1" si="1"/>
        <v>430393279.23883724</v>
      </c>
    </row>
    <row r="38" spans="1:7" s="47" customFormat="1" ht="15" customHeight="1" x14ac:dyDescent="0.25">
      <c r="A38" s="821">
        <f>'Cash Flow Analysis'!B89</f>
        <v>25</v>
      </c>
      <c r="B38" s="1075">
        <f>IF(B37="","",IF('Cash Flow Analysis'!$B$31=0,"N/A",IF(A38=1,1,IF(A37=debt_period,"",B37+1))))</f>
        <v>25</v>
      </c>
      <c r="C38" s="824">
        <f ca="1">IF(OR(A38="",B38="",B38="N/A"),"",IF(B38=1,-'Cash Flow Analysis'!G89,IF(B38="N/A",0,G37)))</f>
        <v>430393279.23883724</v>
      </c>
      <c r="D38" s="824">
        <f ca="1">IF(debt_period=0,
E38+F38,
IF(OR(A38="",B38="",B38="N/A"),"",IF(B38=1,((debt_interest*(1+debt_interest)^debt_period)/((1+debt_interest)^debt_period-1))*(-'Cash Flow Analysis'!G89),IF(G37=0,"",D37))))</f>
        <v>15924551.331836978</v>
      </c>
      <c r="E38" s="824">
        <f t="shared" ca="1" si="0"/>
        <v>15924551.331836978</v>
      </c>
      <c r="F38" s="824">
        <f t="shared" si="2"/>
        <v>0</v>
      </c>
      <c r="G38" s="1076">
        <f t="shared" ca="1" si="1"/>
        <v>430393279.23883724</v>
      </c>
    </row>
    <row r="39" spans="1:7" s="47" customFormat="1" ht="15" customHeight="1" x14ac:dyDescent="0.25">
      <c r="A39" s="821">
        <f>'Cash Flow Analysis'!B90</f>
        <v>26</v>
      </c>
      <c r="B39" s="1075">
        <f>IF(B38="","",IF('Cash Flow Analysis'!$B$31=0,"N/A",IF(A39=1,1,IF(A38=debt_period,"",B38+1))))</f>
        <v>26</v>
      </c>
      <c r="C39" s="824">
        <f ca="1">IF(OR(A39="",B39="",B39="N/A"),"",IF(B39=1,-'Cash Flow Analysis'!G90,IF(B39="N/A",0,G38)))</f>
        <v>430393279.23883724</v>
      </c>
      <c r="D39" s="824">
        <f ca="1">IF(debt_period=0,
E39+F39,
IF(OR(A39="",B39="",B39="N/A"),"",IF(B39=1,((debt_interest*(1+debt_interest)^debt_period)/((1+debt_interest)^debt_period-1))*(-'Cash Flow Analysis'!G90),IF(G38=0,"",D38))))</f>
        <v>15924551.331836978</v>
      </c>
      <c r="E39" s="824">
        <f t="shared" ca="1" si="0"/>
        <v>15924551.331836978</v>
      </c>
      <c r="F39" s="824">
        <f t="shared" si="2"/>
        <v>0</v>
      </c>
      <c r="G39" s="1076">
        <f t="shared" ca="1" si="1"/>
        <v>430393279.23883724</v>
      </c>
    </row>
    <row r="40" spans="1:7" s="47" customFormat="1" ht="15" customHeight="1" x14ac:dyDescent="0.25">
      <c r="A40" s="821">
        <f>'Cash Flow Analysis'!B91</f>
        <v>27</v>
      </c>
      <c r="B40" s="1075">
        <f>IF(B39="","",IF('Cash Flow Analysis'!$B$31=0,"N/A",IF(A40=1,1,IF(A39=debt_period,"",B39+1))))</f>
        <v>27</v>
      </c>
      <c r="C40" s="824">
        <f ca="1">IF(OR(A40="",B40="",B40="N/A"),"",IF(B40=1,-'Cash Flow Analysis'!G91,IF(B40="N/A",0,G39)))</f>
        <v>430393279.23883724</v>
      </c>
      <c r="D40" s="824">
        <f ca="1">IF(debt_period=0,
E40+F40,
IF(OR(A40="",B40="",B40="N/A"),"",IF(B40=1,((debt_interest*(1+debt_interest)^debt_period)/((1+debt_interest)^debt_period-1))*(-'Cash Flow Analysis'!G91),IF(G39=0,"",D39))))</f>
        <v>15924551.331836978</v>
      </c>
      <c r="E40" s="824">
        <f t="shared" ca="1" si="0"/>
        <v>15924551.331836978</v>
      </c>
      <c r="F40" s="824">
        <f t="shared" si="2"/>
        <v>0</v>
      </c>
      <c r="G40" s="1076">
        <f t="shared" ca="1" si="1"/>
        <v>430393279.23883724</v>
      </c>
    </row>
    <row r="41" spans="1:7" s="47" customFormat="1" ht="15" customHeight="1" x14ac:dyDescent="0.25">
      <c r="A41" s="821">
        <f>'Cash Flow Analysis'!B92</f>
        <v>28</v>
      </c>
      <c r="B41" s="1075">
        <f>IF(B40="","",IF('Cash Flow Analysis'!$B$31=0,"N/A",IF(A41=1,1,IF(A40=debt_period,"",B40+1))))</f>
        <v>28</v>
      </c>
      <c r="C41" s="824">
        <f ca="1">IF(OR(A41="",B41="",B41="N/A"),"",IF(B41=1,-'Cash Flow Analysis'!G92,IF(B41="N/A",0,G40)))</f>
        <v>430393279.23883724</v>
      </c>
      <c r="D41" s="824">
        <f ca="1">IF(debt_period=0,
E41+F41,
IF(OR(A41="",B41="",B41="N/A"),"",IF(B41=1,((debt_interest*(1+debt_interest)^debt_period)/((1+debt_interest)^debt_period-1))*(-'Cash Flow Analysis'!G92),IF(G40=0,"",D40))))</f>
        <v>15924551.331836978</v>
      </c>
      <c r="E41" s="824">
        <f t="shared" ca="1" si="0"/>
        <v>15924551.331836978</v>
      </c>
      <c r="F41" s="824">
        <f t="shared" si="2"/>
        <v>0</v>
      </c>
      <c r="G41" s="1076">
        <f t="shared" ca="1" si="1"/>
        <v>430393279.23883724</v>
      </c>
    </row>
    <row r="42" spans="1:7" s="47" customFormat="1" ht="15" customHeight="1" x14ac:dyDescent="0.25">
      <c r="A42" s="821">
        <f>'Cash Flow Analysis'!B93</f>
        <v>29</v>
      </c>
      <c r="B42" s="1075">
        <f>IF(B41="","",IF('Cash Flow Analysis'!$B$31=0,"N/A",IF(A42=1,1,IF(A41=debt_period,"",B41+1))))</f>
        <v>29</v>
      </c>
      <c r="C42" s="824">
        <f ca="1">IF(OR(A42="",B42="",B42="N/A"),"",IF(B42=1,-'Cash Flow Analysis'!G93,IF(B42="N/A",0,G41)))</f>
        <v>430393279.23883724</v>
      </c>
      <c r="D42" s="824">
        <f ca="1">IF(debt_period=0,
E42+F42,
IF(OR(A42="",B42="",B42="N/A"),"",IF(B42=1,((debt_interest*(1+debt_interest)^debt_period)/((1+debt_interest)^debt_period-1))*(-'Cash Flow Analysis'!G93),IF(G41=0,"",D41))))</f>
        <v>15924551.331836978</v>
      </c>
      <c r="E42" s="824">
        <f t="shared" ca="1" si="0"/>
        <v>15924551.331836978</v>
      </c>
      <c r="F42" s="824">
        <f t="shared" si="2"/>
        <v>0</v>
      </c>
      <c r="G42" s="1076">
        <f t="shared" ca="1" si="1"/>
        <v>430393279.23883724</v>
      </c>
    </row>
    <row r="43" spans="1:7" s="47" customFormat="1" ht="15" customHeight="1" x14ac:dyDescent="0.25">
      <c r="A43" s="821">
        <f>'Cash Flow Analysis'!B94</f>
        <v>30</v>
      </c>
      <c r="B43" s="1075">
        <f>IF(B42="","",IF('Cash Flow Analysis'!$B$31=0,"N/A",IF(A43=1,1,IF(A42=debt_period,"",B42+1))))</f>
        <v>30</v>
      </c>
      <c r="C43" s="824">
        <f ca="1">IF(OR(A43="",B43="",B43="N/A"),"",IF(B43=1,-'Cash Flow Analysis'!G94,IF(B43="N/A",0,G42)))</f>
        <v>430393279.23883724</v>
      </c>
      <c r="D43" s="824">
        <f ca="1">IF(debt_period=0,
E43+F43,
IF(OR(A43="",B43="",B43="N/A"),"",IF(B43=1,((debt_interest*(1+debt_interest)^debt_period)/((1+debt_interest)^debt_period-1))*(-'Cash Flow Analysis'!G94),IF(G42=0,"",D42))))</f>
        <v>15924551.331836978</v>
      </c>
      <c r="E43" s="824">
        <f t="shared" ca="1" si="0"/>
        <v>15924551.331836978</v>
      </c>
      <c r="F43" s="824">
        <f t="shared" si="2"/>
        <v>0</v>
      </c>
      <c r="G43" s="1076">
        <f t="shared" ca="1" si="1"/>
        <v>430393279.23883724</v>
      </c>
    </row>
    <row r="44" spans="1:7" s="47" customFormat="1" ht="15" customHeight="1" x14ac:dyDescent="0.25">
      <c r="A44" s="821">
        <f>'Cash Flow Analysis'!B95</f>
        <v>31</v>
      </c>
      <c r="B44" s="1075">
        <f>IF(B43="","",IF('Cash Flow Analysis'!$B$31=0,"N/A",IF(A44=1,1,IF(A43=debt_period,"",B43+1))))</f>
        <v>31</v>
      </c>
      <c r="C44" s="824">
        <f ca="1">IF(OR(A44="",B44="",B44="N/A"),"",IF(B44=1,-'Cash Flow Analysis'!G95,IF(B44="N/A",0,G43)))</f>
        <v>430393279.23883724</v>
      </c>
      <c r="D44" s="824">
        <f ca="1">IF(debt_period=0,
E44+F44,
IF(OR(A44="",B44="",B44="N/A"),"",IF(B44=1,((debt_interest*(1+debt_interest)^debt_period)/((1+debt_interest)^debt_period-1))*(-'Cash Flow Analysis'!G95),IF(G43=0,"",D43))))</f>
        <v>15924551.331836978</v>
      </c>
      <c r="E44" s="824">
        <f t="shared" ca="1" si="0"/>
        <v>15924551.331836978</v>
      </c>
      <c r="F44" s="824">
        <f t="shared" si="2"/>
        <v>0</v>
      </c>
      <c r="G44" s="1076">
        <f t="shared" ca="1" si="1"/>
        <v>430393279.23883724</v>
      </c>
    </row>
    <row r="45" spans="1:7" s="47" customFormat="1" ht="15" customHeight="1" x14ac:dyDescent="0.25">
      <c r="A45" s="821">
        <f>'Cash Flow Analysis'!B96</f>
        <v>32</v>
      </c>
      <c r="B45" s="1075">
        <f>IF(B44="","",IF('Cash Flow Analysis'!$B$31=0,"N/A",IF(A45=1,1,IF(A44=debt_period,"",B44+1))))</f>
        <v>32</v>
      </c>
      <c r="C45" s="824">
        <f ca="1">IF(OR(A45="",B45="",B45="N/A"),"",IF(B45=1,-'Cash Flow Analysis'!G96,IF(B45="N/A",0,G44)))</f>
        <v>430393279.23883724</v>
      </c>
      <c r="D45" s="824">
        <f ca="1">IF(debt_period=0,
E45+F45,
IF(OR(A45="",B45="",B45="N/A"),"",IF(B45=1,((debt_interest*(1+debt_interest)^debt_period)/((1+debt_interest)^debt_period-1))*(-'Cash Flow Analysis'!G96),IF(G44=0,"",D44))))</f>
        <v>15924551.331836978</v>
      </c>
      <c r="E45" s="824">
        <f t="shared" ca="1" si="0"/>
        <v>15924551.331836978</v>
      </c>
      <c r="F45" s="824">
        <f t="shared" si="2"/>
        <v>0</v>
      </c>
      <c r="G45" s="1076">
        <f t="shared" ca="1" si="1"/>
        <v>430393279.23883724</v>
      </c>
    </row>
    <row r="46" spans="1:7" s="47" customFormat="1" ht="15" customHeight="1" x14ac:dyDescent="0.25">
      <c r="A46" s="821">
        <f>'Cash Flow Analysis'!B97</f>
        <v>33</v>
      </c>
      <c r="B46" s="1075">
        <f>IF(B45="","",IF('Cash Flow Analysis'!$B$31=0,"N/A",IF(A46=1,1,IF(A45=debt_period,"",B45+1))))</f>
        <v>33</v>
      </c>
      <c r="C46" s="824">
        <f ca="1">IF(OR(A46="",B46="",B46="N/A"),"",IF(B46=1,-'Cash Flow Analysis'!G97,IF(B46="N/A",0,G45)))</f>
        <v>430393279.23883724</v>
      </c>
      <c r="D46" s="824">
        <f ca="1">IF(debt_period=0,
E46+F46,
IF(OR(A46="",B46="",B46="N/A"),"",IF(B46=1,((debt_interest*(1+debt_interest)^debt_period)/((1+debt_interest)^debt_period-1))*(-'Cash Flow Analysis'!G97),IF(G45=0,"",D45))))</f>
        <v>15924551.331836978</v>
      </c>
      <c r="E46" s="824">
        <f t="shared" ca="1" si="0"/>
        <v>15924551.331836978</v>
      </c>
      <c r="F46" s="824">
        <f t="shared" si="2"/>
        <v>0</v>
      </c>
      <c r="G46" s="1076">
        <f t="shared" ca="1" si="1"/>
        <v>430393279.23883724</v>
      </c>
    </row>
    <row r="47" spans="1:7" s="47" customFormat="1" ht="15" customHeight="1" x14ac:dyDescent="0.25">
      <c r="A47" s="821">
        <f>'Cash Flow Analysis'!B98</f>
        <v>34</v>
      </c>
      <c r="B47" s="1075">
        <f>IF(B46="","",IF('Cash Flow Analysis'!$B$31=0,"N/A",IF(A47=1,1,IF(A46=debt_period,"",B46+1))))</f>
        <v>34</v>
      </c>
      <c r="C47" s="824">
        <f ca="1">IF(OR(A47="",B47="",B47="N/A"),"",IF(B47=1,-'Cash Flow Analysis'!G98,IF(B47="N/A",0,G46)))</f>
        <v>430393279.23883724</v>
      </c>
      <c r="D47" s="824">
        <f ca="1">IF(debt_period=0,
E47+F47,
IF(OR(A47="",B47="",B47="N/A"),"",IF(B47=1,((debt_interest*(1+debt_interest)^debt_period)/((1+debt_interest)^debt_period-1))*(-'Cash Flow Analysis'!G98),IF(G46=0,"",D46))))</f>
        <v>15924551.331836978</v>
      </c>
      <c r="E47" s="824">
        <f t="shared" ca="1" si="0"/>
        <v>15924551.331836978</v>
      </c>
      <c r="F47" s="824">
        <f t="shared" si="2"/>
        <v>0</v>
      </c>
      <c r="G47" s="1076">
        <f t="shared" ca="1" si="1"/>
        <v>430393279.23883724</v>
      </c>
    </row>
    <row r="48" spans="1:7" s="47" customFormat="1" ht="15" customHeight="1" x14ac:dyDescent="0.25">
      <c r="A48" s="821">
        <f>'Cash Flow Analysis'!B99</f>
        <v>35</v>
      </c>
      <c r="B48" s="1075">
        <f>IF(B47="","",IF('Cash Flow Analysis'!$B$31=0,"N/A",IF(A48=1,1,IF(A47=debt_period,"",B47+1))))</f>
        <v>35</v>
      </c>
      <c r="C48" s="824">
        <f ca="1">IF(OR(A48="",B48="",B48="N/A"),"",IF(B48=1,-'Cash Flow Analysis'!G99,IF(B48="N/A",0,G47)))</f>
        <v>430393279.23883724</v>
      </c>
      <c r="D48" s="824">
        <f ca="1">IF(debt_period=0,
E48+F48,
IF(OR(A48="",B48="",B48="N/A"),"",IF(B48=1,((debt_interest*(1+debt_interest)^debt_period)/((1+debt_interest)^debt_period-1))*(-'Cash Flow Analysis'!G99),IF(G47=0,"",D47))))</f>
        <v>15924551.331836978</v>
      </c>
      <c r="E48" s="824">
        <f t="shared" ca="1" si="0"/>
        <v>15924551.331836978</v>
      </c>
      <c r="F48" s="824">
        <f t="shared" si="2"/>
        <v>0</v>
      </c>
      <c r="G48" s="1076">
        <f t="shared" ca="1" si="1"/>
        <v>430393279.23883724</v>
      </c>
    </row>
    <row r="49" spans="1:7" s="47" customFormat="1" ht="15" customHeight="1" x14ac:dyDescent="0.25">
      <c r="A49" s="821">
        <f>'Cash Flow Analysis'!B100</f>
        <v>36</v>
      </c>
      <c r="B49" s="1075">
        <f>IF(B48="","",IF('Cash Flow Analysis'!$B$31=0,"N/A",IF(A49=1,1,IF(A48=debt_period,"",B48+1))))</f>
        <v>36</v>
      </c>
      <c r="C49" s="824">
        <f ca="1">IF(OR(A49="",B49="",B49="N/A"),"",IF(B49=1,-'Cash Flow Analysis'!G100,IF(B49="N/A",0,G48)))</f>
        <v>430393279.23883724</v>
      </c>
      <c r="D49" s="824">
        <f ca="1">IF(debt_period=0,
E49+F49,
IF(OR(A49="",B49="",B49="N/A"),"",IF(B49=1,((debt_interest*(1+debt_interest)^debt_period)/((1+debt_interest)^debt_period-1))*(-'Cash Flow Analysis'!G100),IF(G48=0,"",D48))))</f>
        <v>15924551.331836978</v>
      </c>
      <c r="E49" s="824">
        <f t="shared" ca="1" si="0"/>
        <v>15924551.331836978</v>
      </c>
      <c r="F49" s="824">
        <f t="shared" si="2"/>
        <v>0</v>
      </c>
      <c r="G49" s="1076">
        <f t="shared" ca="1" si="1"/>
        <v>430393279.23883724</v>
      </c>
    </row>
    <row r="50" spans="1:7" s="47" customFormat="1" ht="15" customHeight="1" x14ac:dyDescent="0.25">
      <c r="A50" s="821">
        <f>'Cash Flow Analysis'!B101</f>
        <v>37</v>
      </c>
      <c r="B50" s="1075">
        <f>IF(B49="","",IF('Cash Flow Analysis'!$B$31=0,"N/A",IF(A50=1,1,IF(A49=debt_period,"",B49+1))))</f>
        <v>37</v>
      </c>
      <c r="C50" s="824">
        <f ca="1">IF(OR(A50="",B50="",B50="N/A"),"",IF(B50=1,-'Cash Flow Analysis'!G101,IF(B50="N/A",0,G49)))</f>
        <v>430393279.23883724</v>
      </c>
      <c r="D50" s="824">
        <f ca="1">IF(debt_period=0,
E50+F50,
IF(OR(A50="",B50="",B50="N/A"),"",IF(B50=1,((debt_interest*(1+debt_interest)^debt_period)/((1+debt_interest)^debt_period-1))*(-'Cash Flow Analysis'!G101),IF(G49=0,"",D49))))</f>
        <v>15924551.331836978</v>
      </c>
      <c r="E50" s="824">
        <f t="shared" ca="1" si="0"/>
        <v>15924551.331836978</v>
      </c>
      <c r="F50" s="824">
        <f t="shared" si="2"/>
        <v>0</v>
      </c>
      <c r="G50" s="1076">
        <f t="shared" ca="1" si="1"/>
        <v>430393279.23883724</v>
      </c>
    </row>
    <row r="51" spans="1:7" s="47" customFormat="1" ht="15" customHeight="1" x14ac:dyDescent="0.25">
      <c r="A51" s="821">
        <f>'Cash Flow Analysis'!B102</f>
        <v>38</v>
      </c>
      <c r="B51" s="1075">
        <f>IF(B50="","",IF('Cash Flow Analysis'!$B$31=0,"N/A",IF(A51=1,1,IF(A50=debt_period,"",B50+1))))</f>
        <v>38</v>
      </c>
      <c r="C51" s="824">
        <f ca="1">IF(OR(A51="",B51="",B51="N/A"),"",IF(B51=1,-'Cash Flow Analysis'!G102,IF(B51="N/A",0,G50)))</f>
        <v>430393279.23883724</v>
      </c>
      <c r="D51" s="824">
        <f ca="1">IF(debt_period=0,
E51+F51,
IF(OR(A51="",B51="",B51="N/A"),"",IF(B51=1,((debt_interest*(1+debt_interest)^debt_period)/((1+debt_interest)^debt_period-1))*(-'Cash Flow Analysis'!G102),IF(G50=0,"",D50))))</f>
        <v>15924551.331836978</v>
      </c>
      <c r="E51" s="824">
        <f t="shared" ca="1" si="0"/>
        <v>15924551.331836978</v>
      </c>
      <c r="F51" s="824">
        <f t="shared" si="2"/>
        <v>0</v>
      </c>
      <c r="G51" s="1076">
        <f t="shared" ca="1" si="1"/>
        <v>430393279.23883724</v>
      </c>
    </row>
    <row r="52" spans="1:7" s="47" customFormat="1" ht="15" customHeight="1" x14ac:dyDescent="0.25">
      <c r="A52" s="821">
        <f>'Cash Flow Analysis'!B103</f>
        <v>39</v>
      </c>
      <c r="B52" s="1075">
        <f>IF(B51="","",IF('Cash Flow Analysis'!$B$31=0,"N/A",IF(A52=1,1,IF(A51=debt_period,"",B51+1))))</f>
        <v>39</v>
      </c>
      <c r="C52" s="824">
        <f ca="1">IF(OR(A52="",B52="",B52="N/A"),"",IF(B52=1,-'Cash Flow Analysis'!G103,IF(B52="N/A",0,G51)))</f>
        <v>430393279.23883724</v>
      </c>
      <c r="D52" s="824">
        <f ca="1">IF(debt_period=0,
E52+F52,
IF(OR(A52="",B52="",B52="N/A"),"",IF(B52=1,((debt_interest*(1+debt_interest)^debt_period)/((1+debt_interest)^debt_period-1))*(-'Cash Flow Analysis'!G103),IF(G51=0,"",D51))))</f>
        <v>15924551.331836978</v>
      </c>
      <c r="E52" s="824">
        <f t="shared" ca="1" si="0"/>
        <v>15924551.331836978</v>
      </c>
      <c r="F52" s="824">
        <f t="shared" si="2"/>
        <v>0</v>
      </c>
      <c r="G52" s="1076">
        <f t="shared" ca="1" si="1"/>
        <v>430393279.23883724</v>
      </c>
    </row>
    <row r="53" spans="1:7" s="47" customFormat="1" ht="15" customHeight="1" x14ac:dyDescent="0.25">
      <c r="A53" s="821">
        <f>'Cash Flow Analysis'!B104</f>
        <v>40</v>
      </c>
      <c r="B53" s="1075">
        <f>IF(B52="","",IF('Cash Flow Analysis'!$B$31=0,"N/A",IF(A53=1,1,IF(A52=debt_period,"",B52+1))))</f>
        <v>40</v>
      </c>
      <c r="C53" s="824">
        <f ca="1">IF(OR(A53="",B53="",B53="N/A"),"",IF(B53=1,-'Cash Flow Analysis'!G104,IF(B53="N/A",0,G52)))</f>
        <v>430393279.23883724</v>
      </c>
      <c r="D53" s="824">
        <f ca="1">IF(debt_period=0,
E53+F53,
IF(OR(A53="",B53="",B53="N/A"),"",IF(B53=1,((debt_interest*(1+debt_interest)^debt_period)/((1+debt_interest)^debt_period-1))*(-'Cash Flow Analysis'!G104),IF(G52=0,"",D52))))</f>
        <v>15924551.331836978</v>
      </c>
      <c r="E53" s="824">
        <f t="shared" ca="1" si="0"/>
        <v>15924551.331836978</v>
      </c>
      <c r="F53" s="824">
        <f t="shared" si="2"/>
        <v>0</v>
      </c>
      <c r="G53" s="1076">
        <f t="shared" ca="1" si="1"/>
        <v>430393279.23883724</v>
      </c>
    </row>
    <row r="54" spans="1:7" s="47" customFormat="1" ht="15" customHeight="1" x14ac:dyDescent="0.25">
      <c r="A54" s="821">
        <f>'Cash Flow Analysis'!B105</f>
        <v>41</v>
      </c>
      <c r="B54" s="1075">
        <f>IF(B53="","",IF('Cash Flow Analysis'!$B$31=0,"N/A",IF(A54=1,1,IF(A53=debt_period,"",B53+1))))</f>
        <v>41</v>
      </c>
      <c r="C54" s="824">
        <f ca="1">IF(OR(A54="",B54="",B54="N/A"),"",IF(B54=1,-'Cash Flow Analysis'!G105,IF(B54="N/A",0,G53)))</f>
        <v>430393279.23883724</v>
      </c>
      <c r="D54" s="824">
        <f ca="1">IF(debt_period=0,
E54+F54,
IF(OR(A54="",B54="",B54="N/A"),"",IF(B54=1,((debt_interest*(1+debt_interest)^debt_period)/((1+debt_interest)^debt_period-1))*(-'Cash Flow Analysis'!G105),IF(G53=0,"",D53))))</f>
        <v>15924551.331836978</v>
      </c>
      <c r="E54" s="824">
        <f t="shared" ca="1" si="0"/>
        <v>15924551.331836978</v>
      </c>
      <c r="F54" s="824">
        <f t="shared" si="2"/>
        <v>0</v>
      </c>
      <c r="G54" s="1076">
        <f t="shared" ca="1" si="1"/>
        <v>430393279.23883724</v>
      </c>
    </row>
    <row r="55" spans="1:7" s="47" customFormat="1" ht="15" customHeight="1" x14ac:dyDescent="0.25">
      <c r="A55" s="821">
        <f>'Cash Flow Analysis'!B106</f>
        <v>42</v>
      </c>
      <c r="B55" s="1075">
        <f>IF(B54="","",IF('Cash Flow Analysis'!$B$31=0,"N/A",IF(A55=1,1,IF(A54=debt_period,"",B54+1))))</f>
        <v>42</v>
      </c>
      <c r="C55" s="824">
        <f ca="1">IF(OR(A55="",B55="",B55="N/A"),"",IF(B55=1,-'Cash Flow Analysis'!G106,IF(B55="N/A",0,G54)))</f>
        <v>430393279.23883724</v>
      </c>
      <c r="D55" s="824">
        <f ca="1">IF(debt_period=0,
E55+F55,
IF(OR(A55="",B55="",B55="N/A"),"",IF(B55=1,((debt_interest*(1+debt_interest)^debt_period)/((1+debt_interest)^debt_period-1))*(-'Cash Flow Analysis'!G106),IF(G54=0,"",D54))))</f>
        <v>15924551.331836978</v>
      </c>
      <c r="E55" s="824">
        <f t="shared" ca="1" si="0"/>
        <v>15924551.331836978</v>
      </c>
      <c r="F55" s="824">
        <f t="shared" si="2"/>
        <v>0</v>
      </c>
      <c r="G55" s="1076">
        <f t="shared" ca="1" si="1"/>
        <v>430393279.23883724</v>
      </c>
    </row>
    <row r="56" spans="1:7" s="47" customFormat="1" ht="15" customHeight="1" x14ac:dyDescent="0.25">
      <c r="A56" s="821">
        <f>'Cash Flow Analysis'!B107</f>
        <v>43</v>
      </c>
      <c r="B56" s="1075">
        <f>IF(B55="","",IF('Cash Flow Analysis'!$B$31=0,"N/A",IF(A56=1,1,IF(A55=debt_period,"",B55+1))))</f>
        <v>43</v>
      </c>
      <c r="C56" s="824">
        <f ca="1">IF(OR(A56="",B56="",B56="N/A"),"",IF(B56=1,-'Cash Flow Analysis'!G107,IF(B56="N/A",0,G55)))</f>
        <v>430393279.23883724</v>
      </c>
      <c r="D56" s="824">
        <f ca="1">IF(debt_period=0,
E56+F56,
IF(OR(A56="",B56="",B56="N/A"),"",IF(B56=1,((debt_interest*(1+debt_interest)^debt_period)/((1+debt_interest)^debt_period-1))*(-'Cash Flow Analysis'!G107),IF(G55=0,"",D55))))</f>
        <v>446317830.57067424</v>
      </c>
      <c r="E56" s="824">
        <f t="shared" ca="1" si="0"/>
        <v>15924551.331836978</v>
      </c>
      <c r="F56" s="824">
        <f t="shared" ca="1" si="2"/>
        <v>430393279.23883724</v>
      </c>
      <c r="G56" s="1076">
        <f t="shared" ca="1" si="1"/>
        <v>0</v>
      </c>
    </row>
    <row r="57" spans="1:7" s="47" customFormat="1" ht="15" customHeight="1" thickBot="1" x14ac:dyDescent="0.3">
      <c r="A57" s="1077" t="str">
        <f>'Cash Flow Analysis'!B108</f>
        <v/>
      </c>
      <c r="B57" s="1078">
        <f>IF(B56="","",IF('Cash Flow Analysis'!$B$31=0,"N/A",IF(A57=1,1,IF(A56=debt_period,"",B56+1))))</f>
        <v>44</v>
      </c>
      <c r="C57" s="1079" t="str">
        <f>IF(OR(A57="",B57="",B57="N/A"),"",IF(B57=1,-'Cash Flow Analysis'!G108,IF(B57="N/A",0,G56)))</f>
        <v/>
      </c>
      <c r="D57" s="1079" t="str">
        <f>IF(F57=0,E57,
IF(OR(A57="",B57="",B57="N/A"),"",IF(B57=1,((debt_interest*(1+debt_interest)^debt_period)/((1+debt_interest)^debt_period-1))*(-'Cash Flow Analysis'!G108),IF(G56=0,"",D56))))</f>
        <v/>
      </c>
      <c r="E57" s="1079" t="str">
        <f t="shared" si="0"/>
        <v/>
      </c>
      <c r="F57" s="1079">
        <f t="shared" si="2"/>
        <v>0</v>
      </c>
      <c r="G57" s="1080" t="str">
        <f t="shared" si="1"/>
        <v/>
      </c>
    </row>
    <row r="58" spans="1:7" ht="13.8"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33203125" defaultRowHeight="13.2" x14ac:dyDescent="0.25"/>
  <cols>
    <col min="1" max="1" width="31.33203125" customWidth="1"/>
    <col min="2" max="2" width="23.5546875" customWidth="1"/>
    <col min="3" max="3" width="19" customWidth="1"/>
    <col min="4" max="4" width="11.33203125" customWidth="1"/>
    <col min="5" max="5" width="12.6640625" customWidth="1"/>
    <col min="6" max="6" width="10.6640625" customWidth="1"/>
    <col min="7" max="7" width="13.33203125" customWidth="1"/>
    <col min="8" max="8" width="13.6640625" customWidth="1"/>
    <col min="9" max="9" width="11" customWidth="1"/>
    <col min="10" max="25" width="17.33203125" customWidth="1"/>
  </cols>
  <sheetData>
    <row r="1" spans="1:8" ht="30.75" customHeight="1" x14ac:dyDescent="0.3">
      <c r="A1" s="34" t="s">
        <v>44</v>
      </c>
    </row>
    <row r="2" spans="1:8" ht="15" customHeight="1" x14ac:dyDescent="0.25"/>
    <row r="3" spans="1:8" ht="15" customHeight="1" x14ac:dyDescent="0.3">
      <c r="A3" s="37" t="s">
        <v>30</v>
      </c>
      <c r="B3" s="38"/>
      <c r="C3" s="38"/>
      <c r="D3" s="38"/>
      <c r="E3" s="39"/>
      <c r="F3" s="39"/>
      <c r="G3" s="39"/>
    </row>
    <row r="4" spans="1:8" ht="15" customHeight="1" x14ac:dyDescent="0.3">
      <c r="A4" s="37" t="s">
        <v>31</v>
      </c>
      <c r="B4" s="38"/>
      <c r="C4" s="38"/>
      <c r="D4" s="38"/>
      <c r="E4" s="39"/>
      <c r="F4" s="39"/>
      <c r="G4" s="39"/>
    </row>
    <row r="5" spans="1:8" ht="15" customHeight="1" x14ac:dyDescent="0.25"/>
    <row r="6" spans="1:8" ht="15" customHeight="1" x14ac:dyDescent="0.25">
      <c r="A6" s="33"/>
      <c r="B6" s="36" t="s">
        <v>32</v>
      </c>
    </row>
    <row r="7" spans="1:8" ht="15" customHeight="1" x14ac:dyDescent="0.25">
      <c r="A7" s="40"/>
      <c r="B7" s="36" t="s">
        <v>33</v>
      </c>
    </row>
    <row r="8" spans="1:8" ht="15" customHeight="1" x14ac:dyDescent="0.25">
      <c r="A8" s="41"/>
      <c r="B8" s="36" t="s">
        <v>34</v>
      </c>
    </row>
    <row r="9" spans="1:8" ht="15" customHeight="1" x14ac:dyDescent="0.25">
      <c r="A9" s="42"/>
      <c r="B9" s="36" t="s">
        <v>35</v>
      </c>
    </row>
    <row r="10" spans="1:8" ht="15" customHeight="1" x14ac:dyDescent="0.25"/>
    <row r="11" spans="1:8" ht="15" customHeight="1" thickBot="1" x14ac:dyDescent="0.3"/>
    <row r="12" spans="1:8" ht="29.25" customHeight="1" thickTop="1" thickBot="1" x14ac:dyDescent="0.35">
      <c r="B12" s="57" t="s">
        <v>45</v>
      </c>
      <c r="C12" s="58"/>
      <c r="D12" s="58"/>
      <c r="E12" s="58"/>
      <c r="F12" s="58"/>
      <c r="G12" s="58"/>
      <c r="H12" s="59"/>
    </row>
    <row r="13" spans="1:8" ht="15" customHeight="1" thickTop="1" thickBot="1" x14ac:dyDescent="0.3">
      <c r="B13" s="60"/>
      <c r="C13" s="1571" t="s">
        <v>46</v>
      </c>
      <c r="D13" s="1571"/>
      <c r="E13" s="1571"/>
      <c r="F13" s="1571"/>
      <c r="G13" s="1571"/>
      <c r="H13" s="1572"/>
    </row>
    <row r="14" spans="1:8" ht="15" customHeight="1" thickTop="1" thickBot="1" x14ac:dyDescent="0.3">
      <c r="B14" s="63" t="s">
        <v>46</v>
      </c>
      <c r="C14" s="64">
        <v>3</v>
      </c>
      <c r="D14" s="61">
        <v>5</v>
      </c>
      <c r="E14" s="61">
        <v>7</v>
      </c>
      <c r="F14" s="61">
        <v>10</v>
      </c>
      <c r="G14" s="61">
        <v>15</v>
      </c>
      <c r="H14" s="62">
        <v>20</v>
      </c>
    </row>
    <row r="15" spans="1:8" ht="15" customHeight="1" thickTop="1" x14ac:dyDescent="0.25">
      <c r="B15" s="65">
        <v>1</v>
      </c>
      <c r="C15" s="66">
        <v>0.33329999999999999</v>
      </c>
      <c r="D15" s="67">
        <v>0.2</v>
      </c>
      <c r="E15" s="67">
        <v>0.1429</v>
      </c>
      <c r="F15" s="67">
        <v>0.1</v>
      </c>
      <c r="G15" s="67">
        <v>0.05</v>
      </c>
      <c r="H15" s="68">
        <v>3.7499999999999999E-2</v>
      </c>
    </row>
    <row r="16" spans="1:8" ht="15" customHeight="1" x14ac:dyDescent="0.25">
      <c r="B16" s="69">
        <v>2</v>
      </c>
      <c r="C16" s="70">
        <v>0.44450000000000001</v>
      </c>
      <c r="D16" s="71">
        <v>0.32</v>
      </c>
      <c r="E16" s="71">
        <v>0.24490000000000001</v>
      </c>
      <c r="F16" s="71">
        <v>0.18</v>
      </c>
      <c r="G16" s="71">
        <v>9.5000000000000001E-2</v>
      </c>
      <c r="H16" s="72">
        <v>7.2190000000000004E-2</v>
      </c>
    </row>
    <row r="17" spans="2:8" ht="15" customHeight="1" x14ac:dyDescent="0.25">
      <c r="B17" s="69">
        <v>3</v>
      </c>
      <c r="C17" s="70">
        <v>0.14810000000000001</v>
      </c>
      <c r="D17" s="71">
        <v>0.192</v>
      </c>
      <c r="E17" s="71">
        <v>0.1749</v>
      </c>
      <c r="F17" s="71">
        <v>0.14399999999999999</v>
      </c>
      <c r="G17" s="71">
        <v>8.5500000000000007E-2</v>
      </c>
      <c r="H17" s="72">
        <v>6.6769999999999996E-2</v>
      </c>
    </row>
    <row r="18" spans="2:8" ht="15" customHeight="1" x14ac:dyDescent="0.25">
      <c r="B18" s="69">
        <v>4</v>
      </c>
      <c r="C18" s="70">
        <v>7.4099999999999999E-2</v>
      </c>
      <c r="D18" s="71">
        <v>0.1152</v>
      </c>
      <c r="E18" s="71">
        <v>0.1249</v>
      </c>
      <c r="F18" s="71">
        <v>0.1152</v>
      </c>
      <c r="G18" s="71">
        <v>7.6999999999999999E-2</v>
      </c>
      <c r="H18" s="72">
        <v>6.1769999999999999E-2</v>
      </c>
    </row>
    <row r="19" spans="2:8" ht="15" customHeight="1" x14ac:dyDescent="0.25">
      <c r="B19" s="69">
        <v>5</v>
      </c>
      <c r="C19" s="70"/>
      <c r="D19" s="71">
        <v>0.1152</v>
      </c>
      <c r="E19" s="71">
        <v>8.9300000000000004E-2</v>
      </c>
      <c r="F19" s="71">
        <v>9.2200000000000004E-2</v>
      </c>
      <c r="G19" s="71">
        <v>6.93E-2</v>
      </c>
      <c r="H19" s="72">
        <v>5.713E-2</v>
      </c>
    </row>
    <row r="20" spans="2:8" ht="15" customHeight="1" x14ac:dyDescent="0.25">
      <c r="B20" s="69">
        <v>6</v>
      </c>
      <c r="C20" s="70"/>
      <c r="D20" s="71">
        <v>5.7599999999999998E-2</v>
      </c>
      <c r="E20" s="71">
        <v>8.9200000000000002E-2</v>
      </c>
      <c r="F20" s="71">
        <v>7.3700000000000002E-2</v>
      </c>
      <c r="G20" s="71">
        <v>6.2300000000000001E-2</v>
      </c>
      <c r="H20" s="72">
        <v>5.2850000000000001E-2</v>
      </c>
    </row>
    <row r="21" spans="2:8" ht="15" customHeight="1" x14ac:dyDescent="0.25">
      <c r="B21" s="69">
        <v>7</v>
      </c>
      <c r="C21" s="70"/>
      <c r="D21" s="71"/>
      <c r="E21" s="71">
        <v>8.9300000000000004E-2</v>
      </c>
      <c r="F21" s="71">
        <v>6.5500000000000003E-2</v>
      </c>
      <c r="G21" s="71">
        <v>5.8999999999999997E-2</v>
      </c>
      <c r="H21" s="72">
        <v>4.888E-2</v>
      </c>
    </row>
    <row r="22" spans="2:8" ht="15" customHeight="1" x14ac:dyDescent="0.25">
      <c r="B22" s="69">
        <v>8</v>
      </c>
      <c r="C22" s="70"/>
      <c r="D22" s="71"/>
      <c r="E22" s="71">
        <v>4.4600000000000001E-2</v>
      </c>
      <c r="F22" s="71">
        <v>6.5500000000000003E-2</v>
      </c>
      <c r="G22" s="71">
        <v>5.8999999999999997E-2</v>
      </c>
      <c r="H22" s="72">
        <v>4.5220000000000003E-2</v>
      </c>
    </row>
    <row r="23" spans="2:8" ht="15" customHeight="1" x14ac:dyDescent="0.25">
      <c r="B23" s="69">
        <v>9</v>
      </c>
      <c r="C23" s="70"/>
      <c r="D23" s="71"/>
      <c r="E23" s="71"/>
      <c r="F23" s="71">
        <v>6.5600000000000006E-2</v>
      </c>
      <c r="G23" s="71">
        <v>5.91E-2</v>
      </c>
      <c r="H23" s="72">
        <v>4.462E-2</v>
      </c>
    </row>
    <row r="24" spans="2:8" ht="15" customHeight="1" x14ac:dyDescent="0.25">
      <c r="B24" s="69">
        <v>10</v>
      </c>
      <c r="C24" s="70"/>
      <c r="D24" s="71"/>
      <c r="E24" s="71"/>
      <c r="F24" s="71">
        <v>6.5500000000000003E-2</v>
      </c>
      <c r="G24" s="71">
        <v>5.8999999999999997E-2</v>
      </c>
      <c r="H24" s="72">
        <v>4.4609999999999997E-2</v>
      </c>
    </row>
    <row r="25" spans="2:8" ht="15" customHeight="1" x14ac:dyDescent="0.25">
      <c r="B25" s="69">
        <v>11</v>
      </c>
      <c r="C25" s="70"/>
      <c r="D25" s="71"/>
      <c r="E25" s="71"/>
      <c r="F25" s="71">
        <v>3.2800000000000003E-2</v>
      </c>
      <c r="G25" s="71">
        <v>5.91E-2</v>
      </c>
      <c r="H25" s="72">
        <v>4.462E-2</v>
      </c>
    </row>
    <row r="26" spans="2:8" ht="15" customHeight="1" x14ac:dyDescent="0.25">
      <c r="B26" s="69">
        <v>12</v>
      </c>
      <c r="C26" s="70"/>
      <c r="D26" s="71"/>
      <c r="E26" s="71"/>
      <c r="F26" s="71"/>
      <c r="G26" s="71">
        <v>5.8999999999999997E-2</v>
      </c>
      <c r="H26" s="72">
        <v>4.4609999999999997E-2</v>
      </c>
    </row>
    <row r="27" spans="2:8" ht="15" customHeight="1" x14ac:dyDescent="0.25">
      <c r="B27" s="69">
        <v>13</v>
      </c>
      <c r="C27" s="70"/>
      <c r="D27" s="71"/>
      <c r="E27" s="71"/>
      <c r="F27" s="71"/>
      <c r="G27" s="71">
        <v>5.91E-2</v>
      </c>
      <c r="H27" s="72">
        <v>4.462E-2</v>
      </c>
    </row>
    <row r="28" spans="2:8" ht="15" customHeight="1" x14ac:dyDescent="0.25">
      <c r="B28" s="69">
        <v>14</v>
      </c>
      <c r="C28" s="70"/>
      <c r="D28" s="71"/>
      <c r="E28" s="71"/>
      <c r="F28" s="71"/>
      <c r="G28" s="71">
        <v>5.8999999999999997E-2</v>
      </c>
      <c r="H28" s="72">
        <v>4.4609999999999997E-2</v>
      </c>
    </row>
    <row r="29" spans="2:8" ht="15" customHeight="1" x14ac:dyDescent="0.25">
      <c r="B29" s="69">
        <v>15</v>
      </c>
      <c r="C29" s="70"/>
      <c r="D29" s="71"/>
      <c r="E29" s="71"/>
      <c r="F29" s="71"/>
      <c r="G29" s="71">
        <v>5.91E-2</v>
      </c>
      <c r="H29" s="72">
        <v>4.462E-2</v>
      </c>
    </row>
    <row r="30" spans="2:8" ht="15" customHeight="1" x14ac:dyDescent="0.25">
      <c r="B30" s="69">
        <v>16</v>
      </c>
      <c r="C30" s="70"/>
      <c r="D30" s="71"/>
      <c r="E30" s="71"/>
      <c r="F30" s="71"/>
      <c r="G30" s="71">
        <v>2.9499999999999998E-2</v>
      </c>
      <c r="H30" s="72">
        <v>4.4609999999999997E-2</v>
      </c>
    </row>
    <row r="31" spans="2:8" ht="15" customHeight="1" x14ac:dyDescent="0.25">
      <c r="B31" s="69">
        <v>17</v>
      </c>
      <c r="C31" s="70"/>
      <c r="D31" s="71"/>
      <c r="E31" s="71"/>
      <c r="F31" s="71"/>
      <c r="G31" s="71"/>
      <c r="H31" s="72">
        <v>4.462E-2</v>
      </c>
    </row>
    <row r="32" spans="2:8" ht="15" customHeight="1" x14ac:dyDescent="0.25">
      <c r="B32" s="69">
        <v>18</v>
      </c>
      <c r="C32" s="70"/>
      <c r="D32" s="71"/>
      <c r="E32" s="71"/>
      <c r="F32" s="71"/>
      <c r="G32" s="71"/>
      <c r="H32" s="72">
        <v>4.4609999999999997E-2</v>
      </c>
    </row>
    <row r="33" spans="1:24" ht="15" customHeight="1" x14ac:dyDescent="0.25">
      <c r="B33" s="69">
        <v>19</v>
      </c>
      <c r="C33" s="70"/>
      <c r="D33" s="71"/>
      <c r="E33" s="71"/>
      <c r="F33" s="71"/>
      <c r="G33" s="71"/>
      <c r="H33" s="72">
        <v>4.462E-2</v>
      </c>
    </row>
    <row r="34" spans="1:24" ht="15" customHeight="1" x14ac:dyDescent="0.25">
      <c r="B34" s="69">
        <v>20</v>
      </c>
      <c r="C34" s="70"/>
      <c r="D34" s="71"/>
      <c r="E34" s="71"/>
      <c r="F34" s="71"/>
      <c r="G34" s="71"/>
      <c r="H34" s="72">
        <v>4.4609999999999997E-2</v>
      </c>
    </row>
    <row r="35" spans="1:24" ht="15" customHeight="1" thickBot="1" x14ac:dyDescent="0.3">
      <c r="B35" s="73">
        <v>21</v>
      </c>
      <c r="C35" s="74"/>
      <c r="D35" s="75"/>
      <c r="E35" s="75"/>
      <c r="F35" s="75"/>
      <c r="G35" s="75"/>
      <c r="H35" s="76">
        <v>2.231E-2</v>
      </c>
    </row>
    <row r="36" spans="1:24" ht="15" customHeight="1" thickTop="1" x14ac:dyDescent="0.25">
      <c r="B36" s="77" t="s">
        <v>47</v>
      </c>
      <c r="C36" s="78">
        <f t="shared" ref="C36:H36" ca="1" si="0">NPV(real_irr,C15:C35)</f>
        <v>0.861730483722558</v>
      </c>
      <c r="D36" s="79">
        <f t="shared" ca="1" si="0"/>
        <v>0.81132579180653486</v>
      </c>
      <c r="E36" s="79">
        <f t="shared" ca="1" si="0"/>
        <v>0.76611247423420981</v>
      </c>
      <c r="F36" s="79">
        <f t="shared" ca="1" si="0"/>
        <v>0.70592323058796147</v>
      </c>
      <c r="G36" s="79">
        <f t="shared" ca="1" si="0"/>
        <v>0.57966874115937961</v>
      </c>
      <c r="H36" s="80">
        <f t="shared" ca="1" si="0"/>
        <v>0.50624177952518146</v>
      </c>
    </row>
    <row r="37" spans="1:24" ht="15" customHeight="1" thickBot="1" x14ac:dyDescent="0.3">
      <c r="B37" s="73" t="s">
        <v>48</v>
      </c>
      <c r="C37" s="81">
        <f t="shared" ref="C37:H37" ca="1" si="1">NPV(nominal_irr,C15:C35)</f>
        <v>0.83149291060393982</v>
      </c>
      <c r="D37" s="82">
        <f t="shared" ca="1" si="1"/>
        <v>0.77231075823151107</v>
      </c>
      <c r="E37" s="82">
        <f t="shared" ca="1" si="1"/>
        <v>0.72034649543580254</v>
      </c>
      <c r="F37" s="82">
        <f t="shared" ca="1" si="1"/>
        <v>0.65286934217044934</v>
      </c>
      <c r="G37" s="82">
        <f t="shared" ca="1" si="1"/>
        <v>0.51586770297474116</v>
      </c>
      <c r="H37" s="83">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35">
      <c r="A41" s="84" t="s">
        <v>49</v>
      </c>
      <c r="B41" s="85"/>
    </row>
    <row r="42" spans="1:24" ht="15" customHeight="1" thickTop="1" x14ac:dyDescent="0.25">
      <c r="A42" s="86" t="s">
        <v>384</v>
      </c>
      <c r="B42" s="87" t="str">
        <f>depr_type</f>
        <v>MACRS</v>
      </c>
    </row>
    <row r="43" spans="1:24" ht="15" customHeight="1" x14ac:dyDescent="0.25">
      <c r="A43" s="88" t="s">
        <v>50</v>
      </c>
      <c r="B43" s="89">
        <f>depr_length</f>
        <v>20</v>
      </c>
    </row>
    <row r="44" spans="1:24" ht="15" customHeight="1" thickBot="1" x14ac:dyDescent="0.3">
      <c r="A44" s="90" t="s">
        <v>51</v>
      </c>
      <c r="B44" s="91">
        <f ca="1">-('Cash Flow Analysis'!G65+SUM('Cash Flow Analysis'!H65:H113))</f>
        <v>717322132.06472874</v>
      </c>
    </row>
    <row r="45" spans="1:24" ht="15" customHeight="1" thickTop="1" x14ac:dyDescent="0.25"/>
    <row r="46" spans="1:24" ht="15" customHeight="1" thickBot="1" x14ac:dyDescent="0.3"/>
    <row r="47" spans="1:24" ht="27" customHeight="1" thickTop="1" thickBot="1" x14ac:dyDescent="0.35">
      <c r="A47" s="92" t="s">
        <v>52</v>
      </c>
      <c r="B47" s="58"/>
      <c r="C47" s="58"/>
      <c r="D47" s="58"/>
      <c r="E47" s="58"/>
      <c r="F47" s="58"/>
      <c r="G47" s="58"/>
      <c r="H47" s="58"/>
      <c r="I47" s="58"/>
      <c r="J47" s="58"/>
      <c r="K47" s="58"/>
      <c r="L47" s="58"/>
      <c r="M47" s="58"/>
      <c r="N47" s="58"/>
      <c r="O47" s="58"/>
      <c r="P47" s="58"/>
      <c r="Q47" s="58"/>
      <c r="R47" s="58"/>
      <c r="S47" s="58"/>
      <c r="T47" s="58"/>
      <c r="U47" s="58"/>
      <c r="V47" s="58"/>
      <c r="W47" s="58"/>
      <c r="X47" s="59"/>
    </row>
    <row r="48" spans="1:24" ht="30.75" customHeight="1" thickTop="1" thickBot="1" x14ac:dyDescent="0.3">
      <c r="A48" s="93" t="s">
        <v>53</v>
      </c>
      <c r="B48" s="94" t="s">
        <v>54</v>
      </c>
      <c r="C48" s="95">
        <v>1</v>
      </c>
      <c r="D48" s="96">
        <v>2</v>
      </c>
      <c r="E48" s="96">
        <v>3</v>
      </c>
      <c r="F48" s="96">
        <v>4</v>
      </c>
      <c r="G48" s="96">
        <v>5</v>
      </c>
      <c r="H48" s="96">
        <v>6</v>
      </c>
      <c r="I48" s="96">
        <v>7</v>
      </c>
      <c r="J48" s="96">
        <v>8</v>
      </c>
      <c r="K48" s="96">
        <v>9</v>
      </c>
      <c r="L48" s="96">
        <v>10</v>
      </c>
      <c r="M48" s="96">
        <v>11</v>
      </c>
      <c r="N48" s="96">
        <v>12</v>
      </c>
      <c r="O48" s="96">
        <v>13</v>
      </c>
      <c r="P48" s="96">
        <v>14</v>
      </c>
      <c r="Q48" s="96">
        <v>15</v>
      </c>
      <c r="R48" s="96">
        <v>16</v>
      </c>
      <c r="S48" s="96">
        <v>17</v>
      </c>
      <c r="T48" s="96">
        <v>18</v>
      </c>
      <c r="U48" s="96">
        <v>19</v>
      </c>
      <c r="V48" s="96">
        <v>20</v>
      </c>
      <c r="W48" s="85">
        <v>21</v>
      </c>
      <c r="X48" s="63" t="s">
        <v>55</v>
      </c>
    </row>
    <row r="49" spans="1:24" ht="15" customHeight="1" thickTop="1" x14ac:dyDescent="0.25">
      <c r="A49" s="77">
        <f>IF('Cash Flow Analysis'!C65="","",'Cash Flow Analysis'!C65)</f>
        <v>-3</v>
      </c>
      <c r="B49" s="818">
        <f>IF(A49="","",IF(A49&lt;1,0,IF(A49=1,$B$44-'Cash Flow Analysis'!I65,-'Cash Flow Analysis'!I65)))</f>
        <v>0</v>
      </c>
      <c r="C49" s="97">
        <f>IF(B49="","",IF(AND($B$42="Straight Line",$C$48&lt;=depr_length),B49/depr_length,IF(AND($B$42="MACRS",$C$48&lt;=depr_length+1),B49*INDEX(MACRS_Table,MATCH($C$48,recovery_year,0),MATCH($B$43,recovery_period,0)),"")))</f>
        <v>0</v>
      </c>
      <c r="D49" s="98">
        <f t="shared" ref="D49:W49" si="2">IF($B$49="","",IF(AND($B$42="Straight Line",D48&lt;=depr_length),$B$49/depr_length,IF(AND($B$42="MACRS",D48&lt;=depr_length+1),$B$49*INDEX(MACRS_Table,MATCH(D48,recovery_year,0),MATCH($B$43,recovery_period,0)),"")))</f>
        <v>0</v>
      </c>
      <c r="E49" s="98">
        <f t="shared" si="2"/>
        <v>0</v>
      </c>
      <c r="F49" s="98">
        <f t="shared" si="2"/>
        <v>0</v>
      </c>
      <c r="G49" s="98">
        <f t="shared" si="2"/>
        <v>0</v>
      </c>
      <c r="H49" s="98">
        <f t="shared" si="2"/>
        <v>0</v>
      </c>
      <c r="I49" s="98">
        <f t="shared" si="2"/>
        <v>0</v>
      </c>
      <c r="J49" s="98">
        <f t="shared" si="2"/>
        <v>0</v>
      </c>
      <c r="K49" s="98">
        <f t="shared" si="2"/>
        <v>0</v>
      </c>
      <c r="L49" s="98">
        <f t="shared" si="2"/>
        <v>0</v>
      </c>
      <c r="M49" s="98">
        <f t="shared" si="2"/>
        <v>0</v>
      </c>
      <c r="N49" s="98">
        <f t="shared" si="2"/>
        <v>0</v>
      </c>
      <c r="O49" s="98">
        <f t="shared" si="2"/>
        <v>0</v>
      </c>
      <c r="P49" s="98">
        <f t="shared" si="2"/>
        <v>0</v>
      </c>
      <c r="Q49" s="98">
        <f t="shared" si="2"/>
        <v>0</v>
      </c>
      <c r="R49" s="98">
        <f t="shared" si="2"/>
        <v>0</v>
      </c>
      <c r="S49" s="98">
        <f t="shared" si="2"/>
        <v>0</v>
      </c>
      <c r="T49" s="98">
        <f t="shared" si="2"/>
        <v>0</v>
      </c>
      <c r="U49" s="98">
        <f t="shared" si="2"/>
        <v>0</v>
      </c>
      <c r="V49" s="98">
        <f t="shared" si="2"/>
        <v>0</v>
      </c>
      <c r="W49" s="99">
        <f t="shared" si="2"/>
        <v>0</v>
      </c>
      <c r="X49" s="100">
        <f t="shared" ref="X49:X92" si="3">SUM(C49:W49)</f>
        <v>0</v>
      </c>
    </row>
    <row r="50" spans="1:24" ht="15" customHeight="1" x14ac:dyDescent="0.25">
      <c r="A50" s="69">
        <f>IF('Cash Flow Analysis'!C66="","",'Cash Flow Analysis'!C66)</f>
        <v>-2</v>
      </c>
      <c r="B50" s="819">
        <f>IF(A50="","",IF(A50&lt;1,0,IF(A50=1,$B$44-'Cash Flow Analysis'!I66,-'Cash Flow Analysis'!I66)))</f>
        <v>0</v>
      </c>
      <c r="C50" s="102">
        <f t="shared" ref="C50:W50" si="4">IF($B$50="","",IF(AND($B$42="Straight Line",C48&lt;=depr_length),$B$50/depr_length,IF(AND($B$42="MACRS",C48&lt;=depr_length+1),$B$50*INDEX(MACRS_Table,MATCH(C48,recovery_year,0),MATCH($B$43,recovery_period,0)),"")))</f>
        <v>0</v>
      </c>
      <c r="D50" s="103">
        <f t="shared" si="4"/>
        <v>0</v>
      </c>
      <c r="E50" s="103">
        <f t="shared" si="4"/>
        <v>0</v>
      </c>
      <c r="F50" s="103">
        <f t="shared" si="4"/>
        <v>0</v>
      </c>
      <c r="G50" s="103">
        <f t="shared" si="4"/>
        <v>0</v>
      </c>
      <c r="H50" s="103">
        <f t="shared" si="4"/>
        <v>0</v>
      </c>
      <c r="I50" s="103">
        <f t="shared" si="4"/>
        <v>0</v>
      </c>
      <c r="J50" s="103">
        <f t="shared" si="4"/>
        <v>0</v>
      </c>
      <c r="K50" s="103">
        <f t="shared" si="4"/>
        <v>0</v>
      </c>
      <c r="L50" s="103">
        <f t="shared" si="4"/>
        <v>0</v>
      </c>
      <c r="M50" s="103">
        <f t="shared" si="4"/>
        <v>0</v>
      </c>
      <c r="N50" s="103">
        <f t="shared" si="4"/>
        <v>0</v>
      </c>
      <c r="O50" s="103">
        <f t="shared" si="4"/>
        <v>0</v>
      </c>
      <c r="P50" s="103">
        <f t="shared" si="4"/>
        <v>0</v>
      </c>
      <c r="Q50" s="103">
        <f t="shared" si="4"/>
        <v>0</v>
      </c>
      <c r="R50" s="103">
        <f t="shared" si="4"/>
        <v>0</v>
      </c>
      <c r="S50" s="103">
        <f t="shared" si="4"/>
        <v>0</v>
      </c>
      <c r="T50" s="103">
        <f t="shared" si="4"/>
        <v>0</v>
      </c>
      <c r="U50" s="103">
        <f t="shared" si="4"/>
        <v>0</v>
      </c>
      <c r="V50" s="103">
        <f t="shared" si="4"/>
        <v>0</v>
      </c>
      <c r="W50" s="104">
        <f t="shared" si="4"/>
        <v>0</v>
      </c>
      <c r="X50" s="101">
        <f t="shared" si="3"/>
        <v>0</v>
      </c>
    </row>
    <row r="51" spans="1:24" ht="15" customHeight="1" x14ac:dyDescent="0.25">
      <c r="A51" s="69">
        <f>IF('Cash Flow Analysis'!C67="","",'Cash Flow Analysis'!C67)</f>
        <v>-1</v>
      </c>
      <c r="B51" s="819">
        <f>IF(A51="","",IF(A51&lt;1,0,IF(A51=1,$B$44-'Cash Flow Analysis'!I67,-'Cash Flow Analysis'!I67)))</f>
        <v>0</v>
      </c>
      <c r="C51" s="102">
        <f t="shared" ref="C51:W51" si="5">IF($B$51="","",IF(AND($B$42="Straight Line",C48&lt;=depr_length),$B$51/depr_length,IF(AND($B$42="MACRS",C48&lt;=depr_length+1),$B$51*INDEX(MACRS_Table,MATCH(C48,recovery_year,0),MATCH($B$43,recovery_period,0)),"")))</f>
        <v>0</v>
      </c>
      <c r="D51" s="103">
        <f t="shared" si="5"/>
        <v>0</v>
      </c>
      <c r="E51" s="103">
        <f t="shared" si="5"/>
        <v>0</v>
      </c>
      <c r="F51" s="103">
        <f t="shared" si="5"/>
        <v>0</v>
      </c>
      <c r="G51" s="103">
        <f t="shared" si="5"/>
        <v>0</v>
      </c>
      <c r="H51" s="103">
        <f t="shared" si="5"/>
        <v>0</v>
      </c>
      <c r="I51" s="103">
        <f t="shared" si="5"/>
        <v>0</v>
      </c>
      <c r="J51" s="103">
        <f t="shared" si="5"/>
        <v>0</v>
      </c>
      <c r="K51" s="103">
        <f t="shared" si="5"/>
        <v>0</v>
      </c>
      <c r="L51" s="103">
        <f t="shared" si="5"/>
        <v>0</v>
      </c>
      <c r="M51" s="103">
        <f t="shared" si="5"/>
        <v>0</v>
      </c>
      <c r="N51" s="103">
        <f t="shared" si="5"/>
        <v>0</v>
      </c>
      <c r="O51" s="103">
        <f t="shared" si="5"/>
        <v>0</v>
      </c>
      <c r="P51" s="103">
        <f t="shared" si="5"/>
        <v>0</v>
      </c>
      <c r="Q51" s="103">
        <f t="shared" si="5"/>
        <v>0</v>
      </c>
      <c r="R51" s="103">
        <f t="shared" si="5"/>
        <v>0</v>
      </c>
      <c r="S51" s="103">
        <f t="shared" si="5"/>
        <v>0</v>
      </c>
      <c r="T51" s="103">
        <f t="shared" si="5"/>
        <v>0</v>
      </c>
      <c r="U51" s="103">
        <f t="shared" si="5"/>
        <v>0</v>
      </c>
      <c r="V51" s="103">
        <f t="shared" si="5"/>
        <v>0</v>
      </c>
      <c r="W51" s="104">
        <f t="shared" si="5"/>
        <v>0</v>
      </c>
      <c r="X51" s="101">
        <f t="shared" si="3"/>
        <v>0</v>
      </c>
    </row>
    <row r="52" spans="1:24" ht="15" customHeight="1" x14ac:dyDescent="0.25">
      <c r="A52" s="69">
        <f>IF('Cash Flow Analysis'!C68="","",'Cash Flow Analysis'!C68)</f>
        <v>1</v>
      </c>
      <c r="B52" s="819">
        <f ca="1">IF(A52="","",IF(A52&lt;1,0,IF(A52=1,$B$44-'Cash Flow Analysis'!I68,-'Cash Flow Analysis'!I68)))</f>
        <v>721117088.43259847</v>
      </c>
      <c r="C52" s="102">
        <f t="shared" ref="C52:W52" ca="1" si="6">IF($B$52="","",IF(AND($B$42="Straight Line",C48&lt;=depr_length),$B$52/depr_length,IF(AND($B$42="MACRS",C48&lt;=depr_length+1),$B$52*INDEX(MACRS_Table,MATCH(C48,recovery_year,0),MATCH($B$43,recovery_period,0)),"")))</f>
        <v>27041890.81622244</v>
      </c>
      <c r="D52" s="103">
        <f t="shared" ca="1" si="6"/>
        <v>52057442.613949284</v>
      </c>
      <c r="E52" s="103">
        <f t="shared" ca="1" si="6"/>
        <v>48148987.994644597</v>
      </c>
      <c r="F52" s="103">
        <f t="shared" ca="1" si="6"/>
        <v>44543402.552481607</v>
      </c>
      <c r="G52" s="103">
        <f t="shared" ca="1" si="6"/>
        <v>41197419.262154348</v>
      </c>
      <c r="H52" s="103">
        <f t="shared" ca="1" si="6"/>
        <v>38111038.123662829</v>
      </c>
      <c r="I52" s="103">
        <f t="shared" ca="1" si="6"/>
        <v>35248203.282585412</v>
      </c>
      <c r="J52" s="103">
        <f t="shared" ca="1" si="6"/>
        <v>32608914.738922104</v>
      </c>
      <c r="K52" s="103">
        <f t="shared" ca="1" si="6"/>
        <v>32176244.485862542</v>
      </c>
      <c r="L52" s="103">
        <f t="shared" ca="1" si="6"/>
        <v>32169033.314978216</v>
      </c>
      <c r="M52" s="103">
        <f t="shared" ca="1" si="6"/>
        <v>32176244.485862542</v>
      </c>
      <c r="N52" s="103">
        <f t="shared" ca="1" si="6"/>
        <v>32169033.314978216</v>
      </c>
      <c r="O52" s="103">
        <f t="shared" ca="1" si="6"/>
        <v>32176244.485862542</v>
      </c>
      <c r="P52" s="103">
        <f t="shared" ca="1" si="6"/>
        <v>32169033.314978216</v>
      </c>
      <c r="Q52" s="103">
        <f t="shared" ca="1" si="6"/>
        <v>32176244.485862542</v>
      </c>
      <c r="R52" s="103">
        <f t="shared" ca="1" si="6"/>
        <v>32169033.314978216</v>
      </c>
      <c r="S52" s="103">
        <f t="shared" ca="1" si="6"/>
        <v>32176244.485862542</v>
      </c>
      <c r="T52" s="103">
        <f t="shared" ca="1" si="6"/>
        <v>32169033.314978216</v>
      </c>
      <c r="U52" s="103">
        <f t="shared" ca="1" si="6"/>
        <v>32176244.485862542</v>
      </c>
      <c r="V52" s="103">
        <f t="shared" ca="1" si="6"/>
        <v>32169033.314978216</v>
      </c>
      <c r="W52" s="104">
        <f t="shared" ca="1" si="6"/>
        <v>16088122.242931271</v>
      </c>
      <c r="X52" s="101">
        <f t="shared" ca="1" si="3"/>
        <v>721117088.43259847</v>
      </c>
    </row>
    <row r="53" spans="1:24" ht="15" customHeight="1" x14ac:dyDescent="0.25">
      <c r="A53" s="69">
        <f>IF('Cash Flow Analysis'!C69="","",'Cash Flow Analysis'!C69)</f>
        <v>2</v>
      </c>
      <c r="B53" s="819">
        <f ca="1">IF(A53="","",IF(A53&lt;1,0,IF(A53=1,$B$44-'Cash Flow Analysis'!I69,-'Cash Flow Analysis'!I69)))</f>
        <v>3867060.5388592649</v>
      </c>
      <c r="C53" s="102">
        <f t="shared" ref="C53:W53" ca="1" si="7">IF($B$53="","",IF(AND($B$42="Straight Line",C48&lt;=depr_length),$B$53/depr_length,IF(AND($B$42="MACRS",C48&lt;=depr_length+1),$B$53*INDEX(MACRS_Table,MATCH(C48,recovery_year,0),MATCH($B$43,recovery_period,0)),"")))</f>
        <v>145014.77020722243</v>
      </c>
      <c r="D53" s="103">
        <f t="shared" ca="1" si="7"/>
        <v>279163.10030025034</v>
      </c>
      <c r="E53" s="103">
        <f t="shared" ca="1" si="7"/>
        <v>258203.6321796331</v>
      </c>
      <c r="F53" s="103">
        <f t="shared" ca="1" si="7"/>
        <v>238868.32948533678</v>
      </c>
      <c r="G53" s="103">
        <f t="shared" ca="1" si="7"/>
        <v>220925.16858502981</v>
      </c>
      <c r="H53" s="103">
        <f t="shared" ca="1" si="7"/>
        <v>204374.14947871215</v>
      </c>
      <c r="I53" s="103">
        <f t="shared" ca="1" si="7"/>
        <v>189021.91913944087</v>
      </c>
      <c r="J53" s="103">
        <f t="shared" ca="1" si="7"/>
        <v>174868.47756721597</v>
      </c>
      <c r="K53" s="103">
        <f t="shared" ca="1" si="7"/>
        <v>172548.24124390041</v>
      </c>
      <c r="L53" s="103">
        <f t="shared" ca="1" si="7"/>
        <v>172509.5706385118</v>
      </c>
      <c r="M53" s="103">
        <f t="shared" ca="1" si="7"/>
        <v>172548.24124390041</v>
      </c>
      <c r="N53" s="103">
        <f t="shared" ca="1" si="7"/>
        <v>172509.5706385118</v>
      </c>
      <c r="O53" s="103">
        <f t="shared" ca="1" si="7"/>
        <v>172548.24124390041</v>
      </c>
      <c r="P53" s="103">
        <f t="shared" ca="1" si="7"/>
        <v>172509.5706385118</v>
      </c>
      <c r="Q53" s="103">
        <f t="shared" ca="1" si="7"/>
        <v>172548.24124390041</v>
      </c>
      <c r="R53" s="103">
        <f t="shared" ca="1" si="7"/>
        <v>172509.5706385118</v>
      </c>
      <c r="S53" s="103">
        <f t="shared" ca="1" si="7"/>
        <v>172548.24124390041</v>
      </c>
      <c r="T53" s="103">
        <f t="shared" ca="1" si="7"/>
        <v>172509.5706385118</v>
      </c>
      <c r="U53" s="103">
        <f t="shared" ca="1" si="7"/>
        <v>172548.24124390041</v>
      </c>
      <c r="V53" s="103">
        <f t="shared" ca="1" si="7"/>
        <v>172509.5706385118</v>
      </c>
      <c r="W53" s="104">
        <f t="shared" ca="1" si="7"/>
        <v>86274.120621950206</v>
      </c>
      <c r="X53" s="101">
        <f t="shared" ca="1" si="3"/>
        <v>3867060.5388592645</v>
      </c>
    </row>
    <row r="54" spans="1:24" ht="15" customHeight="1" x14ac:dyDescent="0.25">
      <c r="A54" s="69">
        <f>IF('Cash Flow Analysis'!C70="","",'Cash Flow Analysis'!C70)</f>
        <v>3</v>
      </c>
      <c r="B54" s="819">
        <f ca="1">IF(A54="","",IF(A54&lt;1,0,IF(A54=1,$B$44-'Cash Flow Analysis'!I70,-'Cash Flow Analysis'!I70)))</f>
        <v>3940534.6890975907</v>
      </c>
      <c r="C54" s="102">
        <f t="shared" ref="C54:W54" ca="1" si="8">IF($B$54="","",IF(AND($B$42="Straight Line",C48&lt;=depr_length),$B$54/depr_length,IF(AND($B$42="MACRS",C48&lt;=depr_length+1),$B$54*INDEX(MACRS_Table,MATCH(C48,recovery_year,0),MATCH($B$43,recovery_period,0)),"")))</f>
        <v>147770.05084115965</v>
      </c>
      <c r="D54" s="103">
        <f t="shared" ca="1" si="8"/>
        <v>284467.19920595508</v>
      </c>
      <c r="E54" s="103">
        <f t="shared" ca="1" si="8"/>
        <v>263109.50119104615</v>
      </c>
      <c r="F54" s="103">
        <f t="shared" ca="1" si="8"/>
        <v>243406.82774555817</v>
      </c>
      <c r="G54" s="103">
        <f t="shared" ca="1" si="8"/>
        <v>225122.74678814536</v>
      </c>
      <c r="H54" s="103">
        <f t="shared" ca="1" si="8"/>
        <v>208257.25831880767</v>
      </c>
      <c r="I54" s="103">
        <f t="shared" ca="1" si="8"/>
        <v>192613.33560309024</v>
      </c>
      <c r="J54" s="103">
        <f t="shared" ca="1" si="8"/>
        <v>178190.97864099307</v>
      </c>
      <c r="K54" s="103">
        <f t="shared" ca="1" si="8"/>
        <v>175826.65782753451</v>
      </c>
      <c r="L54" s="103">
        <f t="shared" ca="1" si="8"/>
        <v>175787.25248064351</v>
      </c>
      <c r="M54" s="103">
        <f t="shared" ca="1" si="8"/>
        <v>175826.65782753451</v>
      </c>
      <c r="N54" s="103">
        <f t="shared" ca="1" si="8"/>
        <v>175787.25248064351</v>
      </c>
      <c r="O54" s="103">
        <f t="shared" ca="1" si="8"/>
        <v>175826.65782753451</v>
      </c>
      <c r="P54" s="103">
        <f t="shared" ca="1" si="8"/>
        <v>175787.25248064351</v>
      </c>
      <c r="Q54" s="103">
        <f t="shared" ca="1" si="8"/>
        <v>175826.65782753451</v>
      </c>
      <c r="R54" s="103">
        <f t="shared" ca="1" si="8"/>
        <v>175787.25248064351</v>
      </c>
      <c r="S54" s="103">
        <f t="shared" ca="1" si="8"/>
        <v>175826.65782753451</v>
      </c>
      <c r="T54" s="103">
        <f t="shared" ca="1" si="8"/>
        <v>175787.25248064351</v>
      </c>
      <c r="U54" s="103">
        <f t="shared" ca="1" si="8"/>
        <v>175826.65782753451</v>
      </c>
      <c r="V54" s="103">
        <f t="shared" ca="1" si="8"/>
        <v>175787.25248064351</v>
      </c>
      <c r="W54" s="104">
        <f t="shared" ca="1" si="8"/>
        <v>87913.328913767255</v>
      </c>
      <c r="X54" s="101">
        <f t="shared" ca="1" si="3"/>
        <v>3940534.6890975907</v>
      </c>
    </row>
    <row r="55" spans="1:24" ht="15" customHeight="1" x14ac:dyDescent="0.25">
      <c r="A55" s="69">
        <f>IF('Cash Flow Analysis'!C71="","",'Cash Flow Analysis'!C71)</f>
        <v>4</v>
      </c>
      <c r="B55" s="819">
        <f ca="1">IF(A55="","",IF(A55&lt;1,0,IF(A55=1,$B$44-'Cash Flow Analysis'!I71,-'Cash Flow Analysis'!I71)))</f>
        <v>4015404.848190445</v>
      </c>
      <c r="C55" s="102">
        <f t="shared" ref="C55:W55" ca="1" si="9">IF($B$55="","",IF(AND($B$42="Straight Line",C48&lt;=depr_length),$B$55/depr_length,IF(AND($B$42="MACRS",C48&lt;=depr_length+1),$B$55*INDEX(MACRS_Table,MATCH(C48,recovery_year,0),MATCH($B$43,recovery_period,0)),"")))</f>
        <v>150577.68180714169</v>
      </c>
      <c r="D55" s="103">
        <f t="shared" ca="1" si="9"/>
        <v>289872.07599086827</v>
      </c>
      <c r="E55" s="103">
        <f t="shared" ca="1" si="9"/>
        <v>268108.58171367599</v>
      </c>
      <c r="F55" s="103">
        <f t="shared" ca="1" si="9"/>
        <v>248031.55747272377</v>
      </c>
      <c r="G55" s="103">
        <f t="shared" ca="1" si="9"/>
        <v>229400.07897712011</v>
      </c>
      <c r="H55" s="103">
        <f t="shared" ca="1" si="9"/>
        <v>212214.14622686504</v>
      </c>
      <c r="I55" s="103">
        <f t="shared" ca="1" si="9"/>
        <v>196272.98897954894</v>
      </c>
      <c r="J55" s="103">
        <f t="shared" ca="1" si="9"/>
        <v>181576.60723517195</v>
      </c>
      <c r="K55" s="103">
        <f t="shared" ca="1" si="9"/>
        <v>179167.36432625767</v>
      </c>
      <c r="L55" s="103">
        <f t="shared" ca="1" si="9"/>
        <v>179127.21027777574</v>
      </c>
      <c r="M55" s="103">
        <f t="shared" ca="1" si="9"/>
        <v>179167.36432625767</v>
      </c>
      <c r="N55" s="103">
        <f t="shared" ca="1" si="9"/>
        <v>179127.21027777574</v>
      </c>
      <c r="O55" s="103">
        <f t="shared" ca="1" si="9"/>
        <v>179167.36432625767</v>
      </c>
      <c r="P55" s="103">
        <f t="shared" ca="1" si="9"/>
        <v>179127.21027777574</v>
      </c>
      <c r="Q55" s="103">
        <f t="shared" ca="1" si="9"/>
        <v>179167.36432625767</v>
      </c>
      <c r="R55" s="103">
        <f t="shared" ca="1" si="9"/>
        <v>179127.21027777574</v>
      </c>
      <c r="S55" s="103">
        <f t="shared" ca="1" si="9"/>
        <v>179167.36432625767</v>
      </c>
      <c r="T55" s="103">
        <f t="shared" ca="1" si="9"/>
        <v>179127.21027777574</v>
      </c>
      <c r="U55" s="103">
        <f t="shared" ca="1" si="9"/>
        <v>179167.36432625767</v>
      </c>
      <c r="V55" s="103">
        <f t="shared" ca="1" si="9"/>
        <v>179127.21027777574</v>
      </c>
      <c r="W55" s="104">
        <f t="shared" ca="1" si="9"/>
        <v>89583.682163128833</v>
      </c>
      <c r="X55" s="101">
        <f t="shared" ca="1" si="3"/>
        <v>4015404.8481904455</v>
      </c>
    </row>
    <row r="56" spans="1:24" ht="15" customHeight="1" x14ac:dyDescent="0.25">
      <c r="A56" s="69">
        <f>IF('Cash Flow Analysis'!C72="","",'Cash Flow Analysis'!C72)</f>
        <v>5</v>
      </c>
      <c r="B56" s="819">
        <f ca="1">IF(A56="","",IF(A56&lt;1,0,IF(A56=1,$B$44-'Cash Flow Analysis'!I72,-'Cash Flow Analysis'!I72)))</f>
        <v>4091697.5403060634</v>
      </c>
      <c r="C56" s="102">
        <f t="shared" ref="C56:W56" ca="1" si="10">IF($B$56="","",IF(AND($B$42="Straight Line",C48&lt;=depr_length),$B$56/depr_length,IF(AND($B$42="MACRS",C48&lt;=depr_length+1),$B$56*INDEX(MACRS_Table,MATCH(C48,recovery_year,0),MATCH($B$43,recovery_period,0)),"")))</f>
        <v>153438.65776147737</v>
      </c>
      <c r="D56" s="103">
        <f t="shared" ca="1" si="10"/>
        <v>295379.64543469471</v>
      </c>
      <c r="E56" s="103">
        <f t="shared" ca="1" si="10"/>
        <v>273202.64476623584</v>
      </c>
      <c r="F56" s="103">
        <f t="shared" ca="1" si="10"/>
        <v>252744.15706470553</v>
      </c>
      <c r="G56" s="103">
        <f t="shared" ca="1" si="10"/>
        <v>233758.68047768541</v>
      </c>
      <c r="H56" s="103">
        <f t="shared" ca="1" si="10"/>
        <v>216246.21500517544</v>
      </c>
      <c r="I56" s="103">
        <f t="shared" ca="1" si="10"/>
        <v>200002.17577016036</v>
      </c>
      <c r="J56" s="103">
        <f t="shared" ca="1" si="10"/>
        <v>185026.5627726402</v>
      </c>
      <c r="K56" s="103">
        <f t="shared" ca="1" si="10"/>
        <v>182571.54424845654</v>
      </c>
      <c r="L56" s="103">
        <f t="shared" ca="1" si="10"/>
        <v>182530.62727305348</v>
      </c>
      <c r="M56" s="103">
        <f t="shared" ca="1" si="10"/>
        <v>182571.54424845654</v>
      </c>
      <c r="N56" s="103">
        <f t="shared" ca="1" si="10"/>
        <v>182530.62727305348</v>
      </c>
      <c r="O56" s="103">
        <f t="shared" ca="1" si="10"/>
        <v>182571.54424845654</v>
      </c>
      <c r="P56" s="103">
        <f t="shared" ca="1" si="10"/>
        <v>182530.62727305348</v>
      </c>
      <c r="Q56" s="103">
        <f t="shared" ca="1" si="10"/>
        <v>182571.54424845654</v>
      </c>
      <c r="R56" s="103">
        <f t="shared" ca="1" si="10"/>
        <v>182530.62727305348</v>
      </c>
      <c r="S56" s="103">
        <f t="shared" ca="1" si="10"/>
        <v>182571.54424845654</v>
      </c>
      <c r="T56" s="103">
        <f t="shared" ca="1" si="10"/>
        <v>182530.62727305348</v>
      </c>
      <c r="U56" s="103">
        <f t="shared" ca="1" si="10"/>
        <v>182571.54424845654</v>
      </c>
      <c r="V56" s="103">
        <f t="shared" ca="1" si="10"/>
        <v>182530.62727305348</v>
      </c>
      <c r="W56" s="104">
        <f t="shared" ca="1" si="10"/>
        <v>91285.772124228271</v>
      </c>
      <c r="X56" s="101">
        <f t="shared" ca="1" si="3"/>
        <v>4091697.5403060629</v>
      </c>
    </row>
    <row r="57" spans="1:24" ht="15" customHeight="1" x14ac:dyDescent="0.25">
      <c r="A57" s="69">
        <f>IF('Cash Flow Analysis'!C73="","",'Cash Flow Analysis'!C73)</f>
        <v>6</v>
      </c>
      <c r="B57" s="819">
        <f ca="1">IF(A57="","",IF(A57&lt;1,0,IF(A57=1,$B$44-'Cash Flow Analysis'!I73,-'Cash Flow Analysis'!I73)))</f>
        <v>4169439.7935718778</v>
      </c>
      <c r="C57" s="102">
        <f t="shared" ref="C57:W57" ca="1" si="11">IF($B$57="","",IF(AND($B$42="Straight Line",C48&lt;=depr_length),$B$57/depr_length,IF(AND($B$42="MACRS",C48&lt;=depr_length+1),$B$57*INDEX(MACRS_Table,MATCH(C48,recovery_year,0),MATCH($B$43,recovery_period,0)),"")))</f>
        <v>156353.99225894542</v>
      </c>
      <c r="D57" s="103">
        <f t="shared" ca="1" si="11"/>
        <v>300991.85869795387</v>
      </c>
      <c r="E57" s="103">
        <f t="shared" ca="1" si="11"/>
        <v>278393.49501679424</v>
      </c>
      <c r="F57" s="103">
        <f t="shared" ca="1" si="11"/>
        <v>257546.29604893489</v>
      </c>
      <c r="G57" s="103">
        <f t="shared" ca="1" si="11"/>
        <v>238200.09540676136</v>
      </c>
      <c r="H57" s="103">
        <f t="shared" ca="1" si="11"/>
        <v>220354.89309027375</v>
      </c>
      <c r="I57" s="103">
        <f t="shared" ca="1" si="11"/>
        <v>203802.21710979339</v>
      </c>
      <c r="J57" s="103">
        <f t="shared" ca="1" si="11"/>
        <v>188542.06746532032</v>
      </c>
      <c r="K57" s="103">
        <f t="shared" ca="1" si="11"/>
        <v>186040.40358917718</v>
      </c>
      <c r="L57" s="103">
        <f t="shared" ca="1" si="11"/>
        <v>185998.70919124145</v>
      </c>
      <c r="M57" s="103">
        <f t="shared" ca="1" si="11"/>
        <v>186040.40358917718</v>
      </c>
      <c r="N57" s="103">
        <f t="shared" ca="1" si="11"/>
        <v>185998.70919124145</v>
      </c>
      <c r="O57" s="103">
        <f t="shared" ca="1" si="11"/>
        <v>186040.40358917718</v>
      </c>
      <c r="P57" s="103">
        <f t="shared" ca="1" si="11"/>
        <v>185998.70919124145</v>
      </c>
      <c r="Q57" s="103">
        <f t="shared" ca="1" si="11"/>
        <v>186040.40358917718</v>
      </c>
      <c r="R57" s="103">
        <f t="shared" ca="1" si="11"/>
        <v>185998.70919124145</v>
      </c>
      <c r="S57" s="103">
        <f t="shared" ca="1" si="11"/>
        <v>186040.40358917718</v>
      </c>
      <c r="T57" s="103">
        <f t="shared" ca="1" si="11"/>
        <v>185998.70919124145</v>
      </c>
      <c r="U57" s="103">
        <f t="shared" ca="1" si="11"/>
        <v>186040.40358917718</v>
      </c>
      <c r="V57" s="103">
        <f t="shared" ca="1" si="11"/>
        <v>185998.70919124145</v>
      </c>
      <c r="W57" s="104">
        <f t="shared" ca="1" si="11"/>
        <v>93020.201794588589</v>
      </c>
      <c r="X57" s="101">
        <f t="shared" ca="1" si="3"/>
        <v>4169439.7935718759</v>
      </c>
    </row>
    <row r="58" spans="1:24" ht="15" customHeight="1" x14ac:dyDescent="0.25">
      <c r="A58" s="69">
        <f>IF('Cash Flow Analysis'!C74="","",'Cash Flow Analysis'!C74)</f>
        <v>7</v>
      </c>
      <c r="B58" s="819">
        <f ca="1">IF(A58="","",IF(A58&lt;1,0,IF(A58=1,$B$44-'Cash Flow Analysis'!I74,-'Cash Flow Analysis'!I74)))</f>
        <v>4248659.1496497439</v>
      </c>
      <c r="C58" s="102">
        <f t="shared" ref="C58:W58" ca="1" si="12">IF($B$58="","",IF(AND($B$42="Straight Line",C48&lt;=depr_length),$B$58/depr_length,IF(AND($B$42="MACRS",C48&lt;=depr_length+1),$B$58*INDEX(MACRS_Table,MATCH(C48,recovery_year,0),MATCH($B$43,recovery_period,0)),"")))</f>
        <v>159324.7181118654</v>
      </c>
      <c r="D58" s="103">
        <f t="shared" ca="1" si="12"/>
        <v>306710.70401321503</v>
      </c>
      <c r="E58" s="103">
        <f t="shared" ca="1" si="12"/>
        <v>283682.97142211336</v>
      </c>
      <c r="F58" s="103">
        <f t="shared" ca="1" si="12"/>
        <v>262439.67567386467</v>
      </c>
      <c r="G58" s="103">
        <f t="shared" ca="1" si="12"/>
        <v>242725.89721948988</v>
      </c>
      <c r="H58" s="103">
        <f t="shared" ca="1" si="12"/>
        <v>224541.63605898898</v>
      </c>
      <c r="I58" s="103">
        <f t="shared" ca="1" si="12"/>
        <v>207674.45923487947</v>
      </c>
      <c r="J58" s="103">
        <f t="shared" ca="1" si="12"/>
        <v>192124.36674716143</v>
      </c>
      <c r="K58" s="103">
        <f t="shared" ca="1" si="12"/>
        <v>189575.17125737158</v>
      </c>
      <c r="L58" s="103">
        <f t="shared" ca="1" si="12"/>
        <v>189532.68466587507</v>
      </c>
      <c r="M58" s="103">
        <f t="shared" ca="1" si="12"/>
        <v>189575.17125737158</v>
      </c>
      <c r="N58" s="103">
        <f t="shared" ca="1" si="12"/>
        <v>189532.68466587507</v>
      </c>
      <c r="O58" s="103">
        <f t="shared" ca="1" si="12"/>
        <v>189575.17125737158</v>
      </c>
      <c r="P58" s="103">
        <f t="shared" ca="1" si="12"/>
        <v>189532.68466587507</v>
      </c>
      <c r="Q58" s="103">
        <f t="shared" ca="1" si="12"/>
        <v>189575.17125737158</v>
      </c>
      <c r="R58" s="103">
        <f t="shared" ca="1" si="12"/>
        <v>189532.68466587507</v>
      </c>
      <c r="S58" s="103">
        <f t="shared" ca="1" si="12"/>
        <v>189575.17125737158</v>
      </c>
      <c r="T58" s="103">
        <f t="shared" ca="1" si="12"/>
        <v>189532.68466587507</v>
      </c>
      <c r="U58" s="103">
        <f t="shared" ca="1" si="12"/>
        <v>189575.17125737158</v>
      </c>
      <c r="V58" s="103">
        <f t="shared" ca="1" si="12"/>
        <v>189532.68466587507</v>
      </c>
      <c r="W58" s="104">
        <f t="shared" ca="1" si="12"/>
        <v>94787.585628685789</v>
      </c>
      <c r="X58" s="101">
        <f t="shared" ca="1" si="3"/>
        <v>4248659.1496497439</v>
      </c>
    </row>
    <row r="59" spans="1:24" ht="15" customHeight="1" x14ac:dyDescent="0.25">
      <c r="A59" s="69">
        <f>IF('Cash Flow Analysis'!C75="","",'Cash Flow Analysis'!C75)</f>
        <v>8</v>
      </c>
      <c r="B59" s="819">
        <f ca="1">IF(A59="","",IF(A59&lt;1,0,IF(A59=1,$B$44-'Cash Flow Analysis'!I75,-'Cash Flow Analysis'!I75)))</f>
        <v>4329383.6734930892</v>
      </c>
      <c r="C59" s="102">
        <f t="shared" ref="C59:W59" ca="1" si="13">IF($B$59="","",IF(AND($B$42="Straight Line",C48&lt;=depr_length),$B$59/depr_length,IF(AND($B$42="MACRS",C48&lt;=depr_length+1),$B$59*INDEX(MACRS_Table,MATCH(C48,recovery_year,0),MATCH($B$43,recovery_period,0)),"")))</f>
        <v>162351.88775599084</v>
      </c>
      <c r="D59" s="103">
        <f t="shared" ca="1" si="13"/>
        <v>312538.20738946612</v>
      </c>
      <c r="E59" s="103">
        <f t="shared" ca="1" si="13"/>
        <v>289072.94787913357</v>
      </c>
      <c r="F59" s="103">
        <f t="shared" ca="1" si="13"/>
        <v>267426.02951166814</v>
      </c>
      <c r="G59" s="103">
        <f t="shared" ca="1" si="13"/>
        <v>247337.68926666019</v>
      </c>
      <c r="H59" s="103">
        <f t="shared" ca="1" si="13"/>
        <v>228807.92714410977</v>
      </c>
      <c r="I59" s="103">
        <f t="shared" ca="1" si="13"/>
        <v>211620.27396034219</v>
      </c>
      <c r="J59" s="103">
        <f t="shared" ca="1" si="13"/>
        <v>195774.72971535751</v>
      </c>
      <c r="K59" s="103">
        <f t="shared" ca="1" si="13"/>
        <v>193177.09951126165</v>
      </c>
      <c r="L59" s="103">
        <f t="shared" ca="1" si="13"/>
        <v>193133.80567452669</v>
      </c>
      <c r="M59" s="103">
        <f t="shared" ca="1" si="13"/>
        <v>193177.09951126165</v>
      </c>
      <c r="N59" s="103">
        <f t="shared" ca="1" si="13"/>
        <v>193133.80567452669</v>
      </c>
      <c r="O59" s="103">
        <f t="shared" ca="1" si="13"/>
        <v>193177.09951126165</v>
      </c>
      <c r="P59" s="103">
        <f t="shared" ca="1" si="13"/>
        <v>193133.80567452669</v>
      </c>
      <c r="Q59" s="103">
        <f t="shared" ca="1" si="13"/>
        <v>193177.09951126165</v>
      </c>
      <c r="R59" s="103">
        <f t="shared" ca="1" si="13"/>
        <v>193133.80567452669</v>
      </c>
      <c r="S59" s="103">
        <f t="shared" ca="1" si="13"/>
        <v>193177.09951126165</v>
      </c>
      <c r="T59" s="103">
        <f t="shared" ca="1" si="13"/>
        <v>193133.80567452669</v>
      </c>
      <c r="U59" s="103">
        <f t="shared" ca="1" si="13"/>
        <v>193177.09951126165</v>
      </c>
      <c r="V59" s="103">
        <f t="shared" ca="1" si="13"/>
        <v>193133.80567452669</v>
      </c>
      <c r="W59" s="104">
        <f t="shared" ca="1" si="13"/>
        <v>96588.549755630826</v>
      </c>
      <c r="X59" s="101">
        <f t="shared" ca="1" si="3"/>
        <v>4329383.6734930892</v>
      </c>
    </row>
    <row r="60" spans="1:24" ht="15" customHeight="1" x14ac:dyDescent="0.25">
      <c r="A60" s="69">
        <f>IF('Cash Flow Analysis'!C76="","",'Cash Flow Analysis'!C76)</f>
        <v>9</v>
      </c>
      <c r="B60" s="819">
        <f ca="1">IF(A60="","",IF(A60&lt;1,0,IF(A60=1,$B$44-'Cash Flow Analysis'!I76,-'Cash Flow Analysis'!I76)))</f>
        <v>4411641.9632894574</v>
      </c>
      <c r="C60" s="102">
        <f t="shared" ref="C60:W60" ca="1" si="14">IF($B$60="","",IF(AND($B$42="Straight Line",C48&lt;=depr_length),$B$60/depr_length,IF(AND($B$42="MACRS",C48&lt;=depr_length+1),$B$60*INDEX(MACRS_Table,MATCH(C48,recovery_year,0),MATCH($B$43,recovery_period,0)),"")))</f>
        <v>165436.57362335463</v>
      </c>
      <c r="D60" s="103">
        <f t="shared" ca="1" si="14"/>
        <v>318476.43332986592</v>
      </c>
      <c r="E60" s="103">
        <f t="shared" ca="1" si="14"/>
        <v>294565.33388883708</v>
      </c>
      <c r="F60" s="103">
        <f t="shared" ca="1" si="14"/>
        <v>272507.12407238979</v>
      </c>
      <c r="G60" s="103">
        <f t="shared" ca="1" si="14"/>
        <v>252037.1053627267</v>
      </c>
      <c r="H60" s="103">
        <f t="shared" ca="1" si="14"/>
        <v>233155.27775984781</v>
      </c>
      <c r="I60" s="103">
        <f t="shared" ca="1" si="14"/>
        <v>215641.05916558867</v>
      </c>
      <c r="J60" s="103">
        <f t="shared" ca="1" si="14"/>
        <v>199494.44957994929</v>
      </c>
      <c r="K60" s="103">
        <f t="shared" ca="1" si="14"/>
        <v>196847.46440197559</v>
      </c>
      <c r="L60" s="103">
        <f t="shared" ca="1" si="14"/>
        <v>196803.34798234268</v>
      </c>
      <c r="M60" s="103">
        <f t="shared" ca="1" si="14"/>
        <v>196847.46440197559</v>
      </c>
      <c r="N60" s="103">
        <f t="shared" ca="1" si="14"/>
        <v>196803.34798234268</v>
      </c>
      <c r="O60" s="103">
        <f t="shared" ca="1" si="14"/>
        <v>196847.46440197559</v>
      </c>
      <c r="P60" s="103">
        <f t="shared" ca="1" si="14"/>
        <v>196803.34798234268</v>
      </c>
      <c r="Q60" s="103">
        <f t="shared" ca="1" si="14"/>
        <v>196847.46440197559</v>
      </c>
      <c r="R60" s="103">
        <f t="shared" ca="1" si="14"/>
        <v>196803.34798234268</v>
      </c>
      <c r="S60" s="103">
        <f t="shared" ca="1" si="14"/>
        <v>196847.46440197559</v>
      </c>
      <c r="T60" s="103">
        <f t="shared" ca="1" si="14"/>
        <v>196803.34798234268</v>
      </c>
      <c r="U60" s="103">
        <f t="shared" ca="1" si="14"/>
        <v>196847.46440197559</v>
      </c>
      <c r="V60" s="103">
        <f t="shared" ca="1" si="14"/>
        <v>196803.34798234268</v>
      </c>
      <c r="W60" s="104">
        <f t="shared" ca="1" si="14"/>
        <v>98423.732200987797</v>
      </c>
      <c r="X60" s="101">
        <f t="shared" ca="1" si="3"/>
        <v>4411641.9632894583</v>
      </c>
    </row>
    <row r="61" spans="1:24" ht="15" customHeight="1" x14ac:dyDescent="0.25">
      <c r="A61" s="69">
        <f>IF('Cash Flow Analysis'!C77="","",'Cash Flow Analysis'!C77)</f>
        <v>10</v>
      </c>
      <c r="B61" s="819">
        <f ca="1">IF(A61="","",IF(A61&lt;1,0,IF(A61=1,$B$44-'Cash Flow Analysis'!I77,-'Cash Flow Analysis'!I77)))</f>
        <v>4495463.1605919572</v>
      </c>
      <c r="C61" s="102">
        <f t="shared" ref="C61:W61" ca="1" si="15">IF($B$61="","",IF(AND($B$42="Straight Line",C48&lt;=depr_length),$B$61/depr_length,IF(AND($B$42="MACRS",C48&lt;=depr_length+1),$B$61*INDEX(MACRS_Table,MATCH(C48,recovery_year,0),MATCH($B$43,recovery_period,0)),"")))</f>
        <v>168579.86852219838</v>
      </c>
      <c r="D61" s="103">
        <f t="shared" ca="1" si="15"/>
        <v>324527.48556313338</v>
      </c>
      <c r="E61" s="103">
        <f t="shared" ca="1" si="15"/>
        <v>300162.07523272495</v>
      </c>
      <c r="F61" s="103">
        <f t="shared" ca="1" si="15"/>
        <v>277684.75942976517</v>
      </c>
      <c r="G61" s="103">
        <f t="shared" ca="1" si="15"/>
        <v>256825.81036461852</v>
      </c>
      <c r="H61" s="103">
        <f t="shared" ca="1" si="15"/>
        <v>237585.22803728495</v>
      </c>
      <c r="I61" s="103">
        <f t="shared" ca="1" si="15"/>
        <v>219738.23928973486</v>
      </c>
      <c r="J61" s="103">
        <f t="shared" ca="1" si="15"/>
        <v>203284.84412196832</v>
      </c>
      <c r="K61" s="103">
        <f t="shared" ca="1" si="15"/>
        <v>200587.56622561312</v>
      </c>
      <c r="L61" s="103">
        <f t="shared" ca="1" si="15"/>
        <v>200542.6115940072</v>
      </c>
      <c r="M61" s="103">
        <f t="shared" ca="1" si="15"/>
        <v>200587.56622561312</v>
      </c>
      <c r="N61" s="103">
        <f t="shared" ca="1" si="15"/>
        <v>200542.6115940072</v>
      </c>
      <c r="O61" s="103">
        <f t="shared" ca="1" si="15"/>
        <v>200587.56622561312</v>
      </c>
      <c r="P61" s="103">
        <f t="shared" ca="1" si="15"/>
        <v>200542.6115940072</v>
      </c>
      <c r="Q61" s="103">
        <f t="shared" ca="1" si="15"/>
        <v>200587.56622561312</v>
      </c>
      <c r="R61" s="103">
        <f t="shared" ca="1" si="15"/>
        <v>200542.6115940072</v>
      </c>
      <c r="S61" s="103">
        <f t="shared" ca="1" si="15"/>
        <v>200587.56622561312</v>
      </c>
      <c r="T61" s="103">
        <f t="shared" ca="1" si="15"/>
        <v>200542.6115940072</v>
      </c>
      <c r="U61" s="103">
        <f t="shared" ca="1" si="15"/>
        <v>200587.56622561312</v>
      </c>
      <c r="V61" s="103">
        <f t="shared" ca="1" si="15"/>
        <v>200542.6115940072</v>
      </c>
      <c r="W61" s="104">
        <f t="shared" ca="1" si="15"/>
        <v>100293.78311280656</v>
      </c>
      <c r="X61" s="101">
        <f t="shared" ca="1" si="3"/>
        <v>4495463.1605919572</v>
      </c>
    </row>
    <row r="62" spans="1:24" ht="15" customHeight="1" x14ac:dyDescent="0.25">
      <c r="A62" s="69">
        <f>IF('Cash Flow Analysis'!C78="","",'Cash Flow Analysis'!C78)</f>
        <v>11</v>
      </c>
      <c r="B62" s="819">
        <f ca="1">IF(A62="","",IF(A62&lt;1,0,IF(A62=1,$B$44-'Cash Flow Analysis'!I78,-'Cash Flow Analysis'!I78)))</f>
        <v>4580876.9606432039</v>
      </c>
      <c r="C62" s="102">
        <f t="shared" ref="C62:W62" ca="1" si="16">IF($B$62="","",IF(AND($B$42="Straight Line",C48&lt;=depr_length),$B$62/depr_length,IF(AND($B$42="MACRS",C48&lt;=depr_length+1),$B$62*INDEX(MACRS_Table,MATCH(C48,recovery_year,0),MATCH($B$43,recovery_period,0)),"")))</f>
        <v>171782.88602412015</v>
      </c>
      <c r="D62" s="103">
        <f t="shared" ca="1" si="16"/>
        <v>330693.50778883294</v>
      </c>
      <c r="E62" s="103">
        <f t="shared" ca="1" si="16"/>
        <v>305865.1546621467</v>
      </c>
      <c r="F62" s="103">
        <f t="shared" ca="1" si="16"/>
        <v>282960.76985893073</v>
      </c>
      <c r="G62" s="103">
        <f t="shared" ca="1" si="16"/>
        <v>261705.50076154625</v>
      </c>
      <c r="H62" s="103">
        <f t="shared" ca="1" si="16"/>
        <v>242099.34736999334</v>
      </c>
      <c r="I62" s="103">
        <f t="shared" ca="1" si="16"/>
        <v>223913.26583623982</v>
      </c>
      <c r="J62" s="103">
        <f t="shared" ca="1" si="16"/>
        <v>207147.2561602857</v>
      </c>
      <c r="K62" s="103">
        <f t="shared" ca="1" si="16"/>
        <v>204398.72998389977</v>
      </c>
      <c r="L62" s="103">
        <f t="shared" ca="1" si="16"/>
        <v>204352.92121429331</v>
      </c>
      <c r="M62" s="103">
        <f t="shared" ca="1" si="16"/>
        <v>204398.72998389977</v>
      </c>
      <c r="N62" s="103">
        <f t="shared" ca="1" si="16"/>
        <v>204352.92121429331</v>
      </c>
      <c r="O62" s="103">
        <f t="shared" ca="1" si="16"/>
        <v>204398.72998389977</v>
      </c>
      <c r="P62" s="103">
        <f t="shared" ca="1" si="16"/>
        <v>204352.92121429331</v>
      </c>
      <c r="Q62" s="103">
        <f t="shared" ca="1" si="16"/>
        <v>204398.72998389977</v>
      </c>
      <c r="R62" s="103">
        <f t="shared" ca="1" si="16"/>
        <v>204352.92121429331</v>
      </c>
      <c r="S62" s="103">
        <f t="shared" ca="1" si="16"/>
        <v>204398.72998389977</v>
      </c>
      <c r="T62" s="103">
        <f t="shared" ca="1" si="16"/>
        <v>204352.92121429331</v>
      </c>
      <c r="U62" s="103">
        <f t="shared" ca="1" si="16"/>
        <v>204398.72998389977</v>
      </c>
      <c r="V62" s="103">
        <f t="shared" ca="1" si="16"/>
        <v>204352.92121429331</v>
      </c>
      <c r="W62" s="104">
        <f t="shared" ca="1" si="16"/>
        <v>102199.36499194989</v>
      </c>
      <c r="X62" s="101">
        <f t="shared" ca="1" si="3"/>
        <v>4580876.9606432039</v>
      </c>
    </row>
    <row r="63" spans="1:24" ht="15" customHeight="1" x14ac:dyDescent="0.25">
      <c r="A63" s="69">
        <f>IF('Cash Flow Analysis'!C79="","",'Cash Flow Analysis'!C79)</f>
        <v>12</v>
      </c>
      <c r="B63" s="819">
        <f ca="1">IF(A63="","",IF(A63&lt;1,0,IF(A63=1,$B$44-'Cash Flow Analysis'!I79,-'Cash Flow Analysis'!I79)))</f>
        <v>4667913.6228954252</v>
      </c>
      <c r="C63" s="102">
        <f t="shared" ref="C63:W63" ca="1" si="17">IF($B$63="","",IF(AND($B$42="Straight Line",C48&lt;=depr_length),$B$63/depr_length,IF(AND($B$42="MACRS",C48&lt;=depr_length+1),$B$63*INDEX(MACRS_Table,MATCH(C48,recovery_year,0),MATCH($B$43,recovery_period,0)),"")))</f>
        <v>175046.76085857843</v>
      </c>
      <c r="D63" s="103">
        <f t="shared" ca="1" si="17"/>
        <v>336976.68443682074</v>
      </c>
      <c r="E63" s="103">
        <f t="shared" ca="1" si="17"/>
        <v>311676.59260072751</v>
      </c>
      <c r="F63" s="103">
        <f t="shared" ca="1" si="17"/>
        <v>288337.02448625042</v>
      </c>
      <c r="G63" s="103">
        <f t="shared" ca="1" si="17"/>
        <v>266677.90527601563</v>
      </c>
      <c r="H63" s="103">
        <f t="shared" ca="1" si="17"/>
        <v>246699.23497002322</v>
      </c>
      <c r="I63" s="103">
        <f t="shared" ca="1" si="17"/>
        <v>228167.61788712838</v>
      </c>
      <c r="J63" s="103">
        <f t="shared" ca="1" si="17"/>
        <v>211083.05402733115</v>
      </c>
      <c r="K63" s="103">
        <f t="shared" ca="1" si="17"/>
        <v>208282.30585359386</v>
      </c>
      <c r="L63" s="103">
        <f t="shared" ca="1" si="17"/>
        <v>208235.62671736491</v>
      </c>
      <c r="M63" s="103">
        <f t="shared" ca="1" si="17"/>
        <v>208282.30585359386</v>
      </c>
      <c r="N63" s="103">
        <f t="shared" ca="1" si="17"/>
        <v>208235.62671736491</v>
      </c>
      <c r="O63" s="103">
        <f t="shared" ca="1" si="17"/>
        <v>208282.30585359386</v>
      </c>
      <c r="P63" s="103">
        <f t="shared" ca="1" si="17"/>
        <v>208235.62671736491</v>
      </c>
      <c r="Q63" s="103">
        <f t="shared" ca="1" si="17"/>
        <v>208282.30585359386</v>
      </c>
      <c r="R63" s="103">
        <f t="shared" ca="1" si="17"/>
        <v>208235.62671736491</v>
      </c>
      <c r="S63" s="103">
        <f t="shared" ca="1" si="17"/>
        <v>208282.30585359386</v>
      </c>
      <c r="T63" s="103">
        <f t="shared" ca="1" si="17"/>
        <v>208235.62671736491</v>
      </c>
      <c r="U63" s="103">
        <f t="shared" ca="1" si="17"/>
        <v>208282.30585359386</v>
      </c>
      <c r="V63" s="103">
        <f t="shared" ca="1" si="17"/>
        <v>208235.62671736491</v>
      </c>
      <c r="W63" s="104">
        <f t="shared" ca="1" si="17"/>
        <v>104141.15292679693</v>
      </c>
      <c r="X63" s="101">
        <f t="shared" ca="1" si="3"/>
        <v>4667913.6228954243</v>
      </c>
    </row>
    <row r="64" spans="1:24" ht="15" customHeight="1" x14ac:dyDescent="0.25">
      <c r="A64" s="69">
        <f>IF('Cash Flow Analysis'!C80="","",'Cash Flow Analysis'!C80)</f>
        <v>13</v>
      </c>
      <c r="B64" s="819">
        <f ca="1">IF(A64="","",IF(A64&lt;1,0,IF(A64=1,$B$44-'Cash Flow Analysis'!I80,-'Cash Flow Analysis'!I80)))</f>
        <v>4756603.9817304369</v>
      </c>
      <c r="C64" s="102">
        <f t="shared" ref="C64:W64" ca="1" si="18">IF($B$64="","",IF(AND($B$42="Straight Line",C48&lt;=depr_length),$B$64/depr_length,IF(AND($B$42="MACRS",C48&lt;=depr_length+1),$B$64*INDEX(MACRS_Table,MATCH(C48,recovery_year,0),MATCH($B$43,recovery_period,0)),"")))</f>
        <v>178372.64931489137</v>
      </c>
      <c r="D64" s="103">
        <f t="shared" ca="1" si="18"/>
        <v>343379.24144112028</v>
      </c>
      <c r="E64" s="103">
        <f t="shared" ca="1" si="18"/>
        <v>317598.44786014123</v>
      </c>
      <c r="F64" s="103">
        <f t="shared" ca="1" si="18"/>
        <v>293815.42795148911</v>
      </c>
      <c r="G64" s="103">
        <f t="shared" ca="1" si="18"/>
        <v>271744.78547625989</v>
      </c>
      <c r="H64" s="103">
        <f t="shared" ca="1" si="18"/>
        <v>251386.52043445359</v>
      </c>
      <c r="I64" s="103">
        <f t="shared" ca="1" si="18"/>
        <v>232502.80262698376</v>
      </c>
      <c r="J64" s="103">
        <f t="shared" ca="1" si="18"/>
        <v>215093.63205385036</v>
      </c>
      <c r="K64" s="103">
        <f t="shared" ca="1" si="18"/>
        <v>212239.6696648121</v>
      </c>
      <c r="L64" s="103">
        <f t="shared" ca="1" si="18"/>
        <v>212192.10362499478</v>
      </c>
      <c r="M64" s="103">
        <f t="shared" ca="1" si="18"/>
        <v>212239.6696648121</v>
      </c>
      <c r="N64" s="103">
        <f t="shared" ca="1" si="18"/>
        <v>212192.10362499478</v>
      </c>
      <c r="O64" s="103">
        <f t="shared" ca="1" si="18"/>
        <v>212239.6696648121</v>
      </c>
      <c r="P64" s="103">
        <f t="shared" ca="1" si="18"/>
        <v>212192.10362499478</v>
      </c>
      <c r="Q64" s="103">
        <f t="shared" ca="1" si="18"/>
        <v>212239.6696648121</v>
      </c>
      <c r="R64" s="103">
        <f t="shared" ca="1" si="18"/>
        <v>212192.10362499478</v>
      </c>
      <c r="S64" s="103">
        <f t="shared" ca="1" si="18"/>
        <v>212239.6696648121</v>
      </c>
      <c r="T64" s="103">
        <f t="shared" ca="1" si="18"/>
        <v>212192.10362499478</v>
      </c>
      <c r="U64" s="103">
        <f t="shared" ca="1" si="18"/>
        <v>212239.6696648121</v>
      </c>
      <c r="V64" s="103">
        <f t="shared" ca="1" si="18"/>
        <v>212192.10362499478</v>
      </c>
      <c r="W64" s="104">
        <f t="shared" ca="1" si="18"/>
        <v>106119.83483240605</v>
      </c>
      <c r="X64" s="101">
        <f t="shared" ca="1" si="3"/>
        <v>4756603.9817304378</v>
      </c>
    </row>
    <row r="65" spans="1:24" ht="15" customHeight="1" x14ac:dyDescent="0.25">
      <c r="A65" s="69">
        <f>IF('Cash Flow Analysis'!C81="","",'Cash Flow Analysis'!C81)</f>
        <v>14</v>
      </c>
      <c r="B65" s="819">
        <f ca="1">IF(A65="","",IF(A65&lt;1,0,IF(A65=1,$B$44-'Cash Flow Analysis'!I81,-'Cash Flow Analysis'!I81)))</f>
        <v>4846979.4573833141</v>
      </c>
      <c r="C65" s="102">
        <f t="shared" ref="C65:W65" ca="1" si="19">IF($B$65="","",IF(AND($B$42="Straight Line",C48&lt;=depr_length),$B$65/depr_length,IF(AND($B$42="MACRS",C48&lt;=depr_length+1),$B$65*INDEX(MACRS_Table,MATCH(C48,recovery_year,0),MATCH($B$43,recovery_period,0)),"")))</f>
        <v>181761.72965187428</v>
      </c>
      <c r="D65" s="103">
        <f t="shared" ca="1" si="19"/>
        <v>349903.44702850148</v>
      </c>
      <c r="E65" s="103">
        <f t="shared" ca="1" si="19"/>
        <v>323632.81836948387</v>
      </c>
      <c r="F65" s="103">
        <f t="shared" ca="1" si="19"/>
        <v>299397.92108256731</v>
      </c>
      <c r="G65" s="103">
        <f t="shared" ca="1" si="19"/>
        <v>276907.93640030874</v>
      </c>
      <c r="H65" s="103">
        <f t="shared" ca="1" si="19"/>
        <v>256162.86432270816</v>
      </c>
      <c r="I65" s="103">
        <f t="shared" ca="1" si="19"/>
        <v>236920.35587689638</v>
      </c>
      <c r="J65" s="103">
        <f t="shared" ca="1" si="19"/>
        <v>219180.41106287349</v>
      </c>
      <c r="K65" s="103">
        <f t="shared" ca="1" si="19"/>
        <v>216272.22338844347</v>
      </c>
      <c r="L65" s="103">
        <f t="shared" ca="1" si="19"/>
        <v>216223.75359386962</v>
      </c>
      <c r="M65" s="103">
        <f t="shared" ca="1" si="19"/>
        <v>216272.22338844347</v>
      </c>
      <c r="N65" s="103">
        <f t="shared" ca="1" si="19"/>
        <v>216223.75359386962</v>
      </c>
      <c r="O65" s="103">
        <f t="shared" ca="1" si="19"/>
        <v>216272.22338844347</v>
      </c>
      <c r="P65" s="103">
        <f t="shared" ca="1" si="19"/>
        <v>216223.75359386962</v>
      </c>
      <c r="Q65" s="103">
        <f t="shared" ca="1" si="19"/>
        <v>216272.22338844347</v>
      </c>
      <c r="R65" s="103">
        <f t="shared" ca="1" si="19"/>
        <v>216223.75359386962</v>
      </c>
      <c r="S65" s="103">
        <f t="shared" ca="1" si="19"/>
        <v>216272.22338844347</v>
      </c>
      <c r="T65" s="103">
        <f t="shared" ca="1" si="19"/>
        <v>216223.75359386962</v>
      </c>
      <c r="U65" s="103">
        <f t="shared" ca="1" si="19"/>
        <v>216272.22338844347</v>
      </c>
      <c r="V65" s="103">
        <f t="shared" ca="1" si="19"/>
        <v>216223.75359386962</v>
      </c>
      <c r="W65" s="104">
        <f t="shared" ca="1" si="19"/>
        <v>108136.11169422173</v>
      </c>
      <c r="X65" s="101">
        <f t="shared" ca="1" si="3"/>
        <v>4846979.4573833141</v>
      </c>
    </row>
    <row r="66" spans="1:24" ht="15" customHeight="1" x14ac:dyDescent="0.25">
      <c r="A66" s="69">
        <f>IF('Cash Flow Analysis'!C82="","",'Cash Flow Analysis'!C82)</f>
        <v>15</v>
      </c>
      <c r="B66" s="819">
        <f ca="1">IF(A66="","",IF(A66&lt;1,0,IF(A66=1,$B$44-'Cash Flow Analysis'!I82,-'Cash Flow Analysis'!I82)))</f>
        <v>4939072.0670735985</v>
      </c>
      <c r="C66" s="102">
        <f t="shared" ref="C66:W66" ca="1" si="20">IF($B$66="","",IF(AND($B$42="Straight Line",C48&lt;=depr_length),$B$66/depr_length,IF(AND($B$42="MACRS",C48&lt;=depr_length+1),$B$66*INDEX(MACRS_Table,MATCH(C48,recovery_year,0),MATCH($B$43,recovery_period,0)),"")))</f>
        <v>185215.20251525994</v>
      </c>
      <c r="D66" s="103">
        <f t="shared" ca="1" si="20"/>
        <v>356551.61252204311</v>
      </c>
      <c r="E66" s="103">
        <f t="shared" ca="1" si="20"/>
        <v>329781.84191850416</v>
      </c>
      <c r="F66" s="103">
        <f t="shared" ca="1" si="20"/>
        <v>305086.48158313619</v>
      </c>
      <c r="G66" s="103">
        <f t="shared" ca="1" si="20"/>
        <v>282169.18719191471</v>
      </c>
      <c r="H66" s="103">
        <f t="shared" ca="1" si="20"/>
        <v>261029.95874483968</v>
      </c>
      <c r="I66" s="103">
        <f t="shared" ca="1" si="20"/>
        <v>241421.84263855749</v>
      </c>
      <c r="J66" s="103">
        <f t="shared" ca="1" si="20"/>
        <v>223344.83887306813</v>
      </c>
      <c r="K66" s="103">
        <f t="shared" ca="1" si="20"/>
        <v>220381.39563282396</v>
      </c>
      <c r="L66" s="103">
        <f t="shared" ca="1" si="20"/>
        <v>220332.00491215321</v>
      </c>
      <c r="M66" s="103">
        <f t="shared" ca="1" si="20"/>
        <v>220381.39563282396</v>
      </c>
      <c r="N66" s="103">
        <f t="shared" ca="1" si="20"/>
        <v>220332.00491215321</v>
      </c>
      <c r="O66" s="103">
        <f t="shared" ca="1" si="20"/>
        <v>220381.39563282396</v>
      </c>
      <c r="P66" s="103">
        <f t="shared" ca="1" si="20"/>
        <v>220332.00491215321</v>
      </c>
      <c r="Q66" s="103">
        <f t="shared" ca="1" si="20"/>
        <v>220381.39563282396</v>
      </c>
      <c r="R66" s="103">
        <f t="shared" ca="1" si="20"/>
        <v>220332.00491215321</v>
      </c>
      <c r="S66" s="103">
        <f t="shared" ca="1" si="20"/>
        <v>220381.39563282396</v>
      </c>
      <c r="T66" s="103">
        <f t="shared" ca="1" si="20"/>
        <v>220332.00491215321</v>
      </c>
      <c r="U66" s="103">
        <f t="shared" ca="1" si="20"/>
        <v>220381.39563282396</v>
      </c>
      <c r="V66" s="103">
        <f t="shared" ca="1" si="20"/>
        <v>220332.00491215321</v>
      </c>
      <c r="W66" s="104">
        <f t="shared" ca="1" si="20"/>
        <v>110190.69781641198</v>
      </c>
      <c r="X66" s="101">
        <f t="shared" ca="1" si="3"/>
        <v>4939072.0670735985</v>
      </c>
    </row>
    <row r="67" spans="1:24" ht="15" customHeight="1" x14ac:dyDescent="0.25">
      <c r="A67" s="69">
        <f>IF('Cash Flow Analysis'!C83="","",'Cash Flow Analysis'!C83)</f>
        <v>16</v>
      </c>
      <c r="B67" s="819">
        <f ca="1">IF(A67="","",IF(A67&lt;1,0,IF(A67=1,$B$44-'Cash Flow Analysis'!I83,-'Cash Flow Analysis'!I83)))</f>
        <v>5032914.4363479968</v>
      </c>
      <c r="C67" s="102">
        <f t="shared" ref="C67:W67" ca="1" si="21">IF($B$67="","",IF(AND($B$42="Straight Line",C48&lt;=depr_length),$B$67/depr_length,IF(AND($B$42="MACRS",C48&lt;=depr_length+1),$B$67*INDEX(MACRS_Table,MATCH(C48,recovery_year,0),MATCH($B$43,recovery_period,0)),"")))</f>
        <v>188734.29136304988</v>
      </c>
      <c r="D67" s="103">
        <f t="shared" ca="1" si="21"/>
        <v>363326.09315996192</v>
      </c>
      <c r="E67" s="103">
        <f t="shared" ca="1" si="21"/>
        <v>336047.69691495574</v>
      </c>
      <c r="F67" s="103">
        <f t="shared" ca="1" si="21"/>
        <v>310883.12473321578</v>
      </c>
      <c r="G67" s="103">
        <f t="shared" ca="1" si="21"/>
        <v>287530.40174856107</v>
      </c>
      <c r="H67" s="103">
        <f t="shared" ca="1" si="21"/>
        <v>265989.52796099166</v>
      </c>
      <c r="I67" s="103">
        <f t="shared" ca="1" si="21"/>
        <v>246008.85764869009</v>
      </c>
      <c r="J67" s="103">
        <f t="shared" ca="1" si="21"/>
        <v>227588.39081165643</v>
      </c>
      <c r="K67" s="103">
        <f t="shared" ca="1" si="21"/>
        <v>224568.64214984761</v>
      </c>
      <c r="L67" s="103">
        <f t="shared" ca="1" si="21"/>
        <v>224518.31300548412</v>
      </c>
      <c r="M67" s="103">
        <f t="shared" ca="1" si="21"/>
        <v>224568.64214984761</v>
      </c>
      <c r="N67" s="103">
        <f t="shared" ca="1" si="21"/>
        <v>224518.31300548412</v>
      </c>
      <c r="O67" s="103">
        <f t="shared" ca="1" si="21"/>
        <v>224568.64214984761</v>
      </c>
      <c r="P67" s="103">
        <f t="shared" ca="1" si="21"/>
        <v>224518.31300548412</v>
      </c>
      <c r="Q67" s="103">
        <f t="shared" ca="1" si="21"/>
        <v>224568.64214984761</v>
      </c>
      <c r="R67" s="103">
        <f t="shared" ca="1" si="21"/>
        <v>224518.31300548412</v>
      </c>
      <c r="S67" s="103">
        <f t="shared" ca="1" si="21"/>
        <v>224568.64214984761</v>
      </c>
      <c r="T67" s="103">
        <f t="shared" ca="1" si="21"/>
        <v>224518.31300548412</v>
      </c>
      <c r="U67" s="103">
        <f t="shared" ca="1" si="21"/>
        <v>224568.64214984761</v>
      </c>
      <c r="V67" s="103">
        <f t="shared" ca="1" si="21"/>
        <v>224518.31300548412</v>
      </c>
      <c r="W67" s="104">
        <f t="shared" ca="1" si="21"/>
        <v>112284.32107492381</v>
      </c>
      <c r="X67" s="101">
        <f t="shared" ca="1" si="3"/>
        <v>5032914.4363479959</v>
      </c>
    </row>
    <row r="68" spans="1:24" ht="15" customHeight="1" x14ac:dyDescent="0.25">
      <c r="A68" s="69">
        <f>IF('Cash Flow Analysis'!C84="","",'Cash Flow Analysis'!C84)</f>
        <v>17</v>
      </c>
      <c r="B68" s="819">
        <f ca="1">IF(A68="","",IF(A68&lt;1,0,IF(A68=1,$B$44-'Cash Flow Analysis'!I84,-'Cash Flow Analysis'!I84)))</f>
        <v>5128539.8106386084</v>
      </c>
      <c r="C68" s="102">
        <f t="shared" ref="C68:W68" ca="1" si="22">IF($B$68="","",IF(AND($B$42="Straight Line",C48&lt;=depr_length),$B$68/depr_length,IF(AND($B$42="MACRS",C48&lt;=depr_length+1),$B$68*INDEX(MACRS_Table,MATCH(C48,recovery_year,0),MATCH($B$43,recovery_period,0)),"")))</f>
        <v>192320.24289894782</v>
      </c>
      <c r="D68" s="103">
        <f t="shared" ca="1" si="22"/>
        <v>370229.28893000114</v>
      </c>
      <c r="E68" s="103">
        <f t="shared" ca="1" si="22"/>
        <v>342432.60315633984</v>
      </c>
      <c r="F68" s="103">
        <f t="shared" ca="1" si="22"/>
        <v>316789.90410314681</v>
      </c>
      <c r="G68" s="103">
        <f t="shared" ca="1" si="22"/>
        <v>292993.47938178369</v>
      </c>
      <c r="H68" s="103">
        <f t="shared" ca="1" si="22"/>
        <v>271043.32899225043</v>
      </c>
      <c r="I68" s="103">
        <f t="shared" ca="1" si="22"/>
        <v>250683.02594401519</v>
      </c>
      <c r="J68" s="103">
        <f t="shared" ca="1" si="22"/>
        <v>231912.57023707789</v>
      </c>
      <c r="K68" s="103">
        <f t="shared" ca="1" si="22"/>
        <v>228835.44635069472</v>
      </c>
      <c r="L68" s="103">
        <f t="shared" ca="1" si="22"/>
        <v>228784.16095258831</v>
      </c>
      <c r="M68" s="103">
        <f t="shared" ca="1" si="22"/>
        <v>228835.44635069472</v>
      </c>
      <c r="N68" s="103">
        <f t="shared" ca="1" si="22"/>
        <v>228784.16095258831</v>
      </c>
      <c r="O68" s="103">
        <f t="shared" ca="1" si="22"/>
        <v>228835.44635069472</v>
      </c>
      <c r="P68" s="103">
        <f t="shared" ca="1" si="22"/>
        <v>228784.16095258831</v>
      </c>
      <c r="Q68" s="103">
        <f t="shared" ca="1" si="22"/>
        <v>228835.44635069472</v>
      </c>
      <c r="R68" s="103">
        <f t="shared" ca="1" si="22"/>
        <v>228784.16095258831</v>
      </c>
      <c r="S68" s="103">
        <f t="shared" ca="1" si="22"/>
        <v>228835.44635069472</v>
      </c>
      <c r="T68" s="103">
        <f t="shared" ca="1" si="22"/>
        <v>228784.16095258831</v>
      </c>
      <c r="U68" s="103">
        <f t="shared" ca="1" si="22"/>
        <v>228835.44635069472</v>
      </c>
      <c r="V68" s="103">
        <f t="shared" ca="1" si="22"/>
        <v>228784.16095258831</v>
      </c>
      <c r="W68" s="104">
        <f t="shared" ca="1" si="22"/>
        <v>114417.72317534736</v>
      </c>
      <c r="X68" s="101">
        <f t="shared" ca="1" si="3"/>
        <v>5128539.8106386093</v>
      </c>
    </row>
    <row r="69" spans="1:24" ht="15" customHeight="1" x14ac:dyDescent="0.25">
      <c r="A69" s="69">
        <f>IF('Cash Flow Analysis'!C85="","",'Cash Flow Analysis'!C85)</f>
        <v>18</v>
      </c>
      <c r="B69" s="819">
        <f ca="1">IF(A69="","",IF(A69&lt;1,0,IF(A69=1,$B$44-'Cash Flow Analysis'!I85,-'Cash Flow Analysis'!I85)))</f>
        <v>5225982.0670407414</v>
      </c>
      <c r="C69" s="102">
        <f t="shared" ref="C69:W69" ca="1" si="23">IF($B$69="","",IF(AND($B$42="Straight Line",C48&lt;=depr_length),$B$69/depr_length,IF(AND($B$42="MACRS",C48&lt;=depr_length+1),$B$69*INDEX(MACRS_Table,MATCH(C48,recovery_year,0),MATCH($B$43,recovery_period,0)),"")))</f>
        <v>195974.3275140278</v>
      </c>
      <c r="D69" s="103">
        <f t="shared" ca="1" si="23"/>
        <v>377263.64541967114</v>
      </c>
      <c r="E69" s="103">
        <f t="shared" ca="1" si="23"/>
        <v>348938.82261631027</v>
      </c>
      <c r="F69" s="103">
        <f t="shared" ca="1" si="23"/>
        <v>322808.91228110658</v>
      </c>
      <c r="G69" s="103">
        <f t="shared" ca="1" si="23"/>
        <v>298560.35549003753</v>
      </c>
      <c r="H69" s="103">
        <f t="shared" ca="1" si="23"/>
        <v>276193.15224310319</v>
      </c>
      <c r="I69" s="103">
        <f t="shared" ca="1" si="23"/>
        <v>255446.00343695143</v>
      </c>
      <c r="J69" s="103">
        <f t="shared" ca="1" si="23"/>
        <v>236318.90907158234</v>
      </c>
      <c r="K69" s="103">
        <f t="shared" ca="1" si="23"/>
        <v>233183.31983135789</v>
      </c>
      <c r="L69" s="103">
        <f t="shared" ca="1" si="23"/>
        <v>233131.06001068745</v>
      </c>
      <c r="M69" s="103">
        <f t="shared" ca="1" si="23"/>
        <v>233183.31983135789</v>
      </c>
      <c r="N69" s="103">
        <f t="shared" ca="1" si="23"/>
        <v>233131.06001068745</v>
      </c>
      <c r="O69" s="103">
        <f t="shared" ca="1" si="23"/>
        <v>233183.31983135789</v>
      </c>
      <c r="P69" s="103">
        <f t="shared" ca="1" si="23"/>
        <v>233131.06001068745</v>
      </c>
      <c r="Q69" s="103">
        <f t="shared" ca="1" si="23"/>
        <v>233183.31983135789</v>
      </c>
      <c r="R69" s="103">
        <f t="shared" ca="1" si="23"/>
        <v>233131.06001068745</v>
      </c>
      <c r="S69" s="103">
        <f t="shared" ca="1" si="23"/>
        <v>233183.31983135789</v>
      </c>
      <c r="T69" s="103">
        <f t="shared" ca="1" si="23"/>
        <v>233131.06001068745</v>
      </c>
      <c r="U69" s="103">
        <f t="shared" ca="1" si="23"/>
        <v>233183.31983135789</v>
      </c>
      <c r="V69" s="103">
        <f t="shared" ca="1" si="23"/>
        <v>233131.06001068745</v>
      </c>
      <c r="W69" s="104">
        <f t="shared" ca="1" si="23"/>
        <v>116591.65991567895</v>
      </c>
      <c r="X69" s="101">
        <f t="shared" ca="1" si="3"/>
        <v>5225982.0670407414</v>
      </c>
    </row>
    <row r="70" spans="1:24" ht="15" customHeight="1" x14ac:dyDescent="0.25">
      <c r="A70" s="69">
        <f>IF('Cash Flow Analysis'!C86="","",'Cash Flow Analysis'!C86)</f>
        <v>19</v>
      </c>
      <c r="B70" s="819">
        <f ca="1">IF(A70="","",IF(A70&lt;1,0,IF(A70=1,$B$44-'Cash Flow Analysis'!I86,-'Cash Flow Analysis'!I86)))</f>
        <v>5325275.7263145149</v>
      </c>
      <c r="C70" s="102">
        <f t="shared" ref="C70:W70" ca="1" si="24">IF($B$70="","",IF(AND($B$42="Straight Line",C48&lt;=depr_length),$B$70/depr_length,IF(AND($B$42="MACRS",C48&lt;=depr_length+1),$B$70*INDEX(MACRS_Table,MATCH(C48,recovery_year,0),MATCH($B$43,recovery_period,0)),"")))</f>
        <v>199697.8397367943</v>
      </c>
      <c r="D70" s="103">
        <f t="shared" ca="1" si="24"/>
        <v>384431.65468264488</v>
      </c>
      <c r="E70" s="103">
        <f t="shared" ca="1" si="24"/>
        <v>355568.66024602012</v>
      </c>
      <c r="F70" s="103">
        <f t="shared" ca="1" si="24"/>
        <v>328942.28161444759</v>
      </c>
      <c r="G70" s="103">
        <f t="shared" ca="1" si="24"/>
        <v>304233.00224434823</v>
      </c>
      <c r="H70" s="103">
        <f t="shared" ca="1" si="24"/>
        <v>281440.82213572209</v>
      </c>
      <c r="I70" s="103">
        <f t="shared" ca="1" si="24"/>
        <v>260299.47750225349</v>
      </c>
      <c r="J70" s="103">
        <f t="shared" ca="1" si="24"/>
        <v>240808.96834394237</v>
      </c>
      <c r="K70" s="103">
        <f t="shared" ca="1" si="24"/>
        <v>237613.80290815365</v>
      </c>
      <c r="L70" s="103">
        <f t="shared" ca="1" si="24"/>
        <v>237560.55015089049</v>
      </c>
      <c r="M70" s="103">
        <f t="shared" ca="1" si="24"/>
        <v>237613.80290815365</v>
      </c>
      <c r="N70" s="103">
        <f t="shared" ca="1" si="24"/>
        <v>237560.55015089049</v>
      </c>
      <c r="O70" s="103">
        <f t="shared" ca="1" si="24"/>
        <v>237613.80290815365</v>
      </c>
      <c r="P70" s="103">
        <f t="shared" ca="1" si="24"/>
        <v>237560.55015089049</v>
      </c>
      <c r="Q70" s="103">
        <f t="shared" ca="1" si="24"/>
        <v>237613.80290815365</v>
      </c>
      <c r="R70" s="103">
        <f t="shared" ca="1" si="24"/>
        <v>237560.55015089049</v>
      </c>
      <c r="S70" s="103">
        <f t="shared" ca="1" si="24"/>
        <v>237613.80290815365</v>
      </c>
      <c r="T70" s="103">
        <f t="shared" ca="1" si="24"/>
        <v>237560.55015089049</v>
      </c>
      <c r="U70" s="103">
        <f t="shared" ca="1" si="24"/>
        <v>237613.80290815365</v>
      </c>
      <c r="V70" s="103">
        <f t="shared" ca="1" si="24"/>
        <v>237560.55015089049</v>
      </c>
      <c r="W70" s="104">
        <f t="shared" ca="1" si="24"/>
        <v>118806.90145407683</v>
      </c>
      <c r="X70" s="101">
        <f t="shared" ca="1" si="3"/>
        <v>5325275.7263145149</v>
      </c>
    </row>
    <row r="71" spans="1:24" ht="15" customHeight="1" x14ac:dyDescent="0.25">
      <c r="A71" s="69">
        <f>IF('Cash Flow Analysis'!C87="","",'Cash Flow Analysis'!C87)</f>
        <v>20</v>
      </c>
      <c r="B71" s="819">
        <f ca="1">IF(A71="","",IF(A71&lt;1,0,IF(A71=1,$B$44-'Cash Flow Analysis'!I87,-'Cash Flow Analysis'!I87)))</f>
        <v>5426455.9651144911</v>
      </c>
      <c r="C71" s="102">
        <f t="shared" ref="C71:W71" ca="1" si="25">IF($B$71="","",IF(AND($B$42="Straight Line",C48&lt;=depr_length),$B$71/depr_length,IF(AND($B$42="MACRS",C48&lt;=depr_length+1),$B$71*INDEX(MACRS_Table,MATCH(C48,recovery_year,0),MATCH($B$43,recovery_period,0)),"")))</f>
        <v>203492.09869179342</v>
      </c>
      <c r="D71" s="103">
        <f t="shared" ca="1" si="25"/>
        <v>391735.85612161516</v>
      </c>
      <c r="E71" s="103">
        <f t="shared" ca="1" si="25"/>
        <v>362324.46479069453</v>
      </c>
      <c r="F71" s="103">
        <f t="shared" ca="1" si="25"/>
        <v>335192.18496512208</v>
      </c>
      <c r="G71" s="103">
        <f t="shared" ca="1" si="25"/>
        <v>310013.4292869909</v>
      </c>
      <c r="H71" s="103">
        <f t="shared" ca="1" si="25"/>
        <v>286788.19775630085</v>
      </c>
      <c r="I71" s="103">
        <f t="shared" ca="1" si="25"/>
        <v>265245.1675747963</v>
      </c>
      <c r="J71" s="103">
        <f t="shared" ca="1" si="25"/>
        <v>245384.3387424773</v>
      </c>
      <c r="K71" s="103">
        <f t="shared" ca="1" si="25"/>
        <v>242128.4651634086</v>
      </c>
      <c r="L71" s="103">
        <f t="shared" ca="1" si="25"/>
        <v>242074.20060375743</v>
      </c>
      <c r="M71" s="103">
        <f t="shared" ca="1" si="25"/>
        <v>242128.4651634086</v>
      </c>
      <c r="N71" s="103">
        <f t="shared" ca="1" si="25"/>
        <v>242074.20060375743</v>
      </c>
      <c r="O71" s="103">
        <f t="shared" ca="1" si="25"/>
        <v>242128.4651634086</v>
      </c>
      <c r="P71" s="103">
        <f t="shared" ca="1" si="25"/>
        <v>242074.20060375743</v>
      </c>
      <c r="Q71" s="103">
        <f t="shared" ca="1" si="25"/>
        <v>242128.4651634086</v>
      </c>
      <c r="R71" s="103">
        <f t="shared" ca="1" si="25"/>
        <v>242074.20060375743</v>
      </c>
      <c r="S71" s="103">
        <f t="shared" ca="1" si="25"/>
        <v>242128.4651634086</v>
      </c>
      <c r="T71" s="103">
        <f t="shared" ca="1" si="25"/>
        <v>242074.20060375743</v>
      </c>
      <c r="U71" s="103">
        <f t="shared" ca="1" si="25"/>
        <v>242128.4651634086</v>
      </c>
      <c r="V71" s="103">
        <f t="shared" ca="1" si="25"/>
        <v>242074.20060375743</v>
      </c>
      <c r="W71" s="104">
        <f t="shared" ca="1" si="25"/>
        <v>121064.2325817043</v>
      </c>
      <c r="X71" s="101">
        <f t="shared" ca="1" si="3"/>
        <v>5426455.9651144911</v>
      </c>
    </row>
    <row r="72" spans="1:24" ht="15" customHeight="1" x14ac:dyDescent="0.25">
      <c r="A72" s="69">
        <f>IF('Cash Flow Analysis'!C88="","",'Cash Flow Analysis'!C88)</f>
        <v>21</v>
      </c>
      <c r="B72" s="819">
        <f ca="1">IF(A72="","",IF(A72&lt;1,0,IF(A72=1,$B$44-'Cash Flow Analysis'!I88,-'Cash Flow Analysis'!I88)))</f>
        <v>5529558.6284516659</v>
      </c>
      <c r="C72" s="102">
        <f t="shared" ref="C72:W72" ca="1" si="26">IF($B$72="","",IF(AND($B$42="Straight Line",C48&lt;=depr_length),$B$72/depr_length,IF(AND($B$42="MACRS",C48&lt;=depr_length+1),$B$72*INDEX(MACRS_Table,MATCH(C48,recovery_year,0),MATCH($B$43,recovery_period,0)),"")))</f>
        <v>207358.44856693747</v>
      </c>
      <c r="D72" s="103">
        <f t="shared" ca="1" si="26"/>
        <v>399178.83738792577</v>
      </c>
      <c r="E72" s="103">
        <f t="shared" ca="1" si="26"/>
        <v>369208.62962171773</v>
      </c>
      <c r="F72" s="103">
        <f t="shared" ca="1" si="26"/>
        <v>341560.83647945937</v>
      </c>
      <c r="G72" s="103">
        <f t="shared" ca="1" si="26"/>
        <v>315903.68444344366</v>
      </c>
      <c r="H72" s="103">
        <f t="shared" ca="1" si="26"/>
        <v>292237.17351367057</v>
      </c>
      <c r="I72" s="103">
        <f t="shared" ca="1" si="26"/>
        <v>270284.82575871743</v>
      </c>
      <c r="J72" s="103">
        <f t="shared" ca="1" si="26"/>
        <v>250046.64117858434</v>
      </c>
      <c r="K72" s="103">
        <f t="shared" ca="1" si="26"/>
        <v>246728.90600151333</v>
      </c>
      <c r="L72" s="103">
        <f t="shared" ca="1" si="26"/>
        <v>246673.61041522879</v>
      </c>
      <c r="M72" s="103">
        <f t="shared" ca="1" si="26"/>
        <v>246728.90600151333</v>
      </c>
      <c r="N72" s="103">
        <f t="shared" ca="1" si="26"/>
        <v>246673.61041522879</v>
      </c>
      <c r="O72" s="103">
        <f t="shared" ca="1" si="26"/>
        <v>246728.90600151333</v>
      </c>
      <c r="P72" s="103">
        <f t="shared" ca="1" si="26"/>
        <v>246673.61041522879</v>
      </c>
      <c r="Q72" s="103">
        <f t="shared" ca="1" si="26"/>
        <v>246728.90600151333</v>
      </c>
      <c r="R72" s="103">
        <f t="shared" ca="1" si="26"/>
        <v>246673.61041522879</v>
      </c>
      <c r="S72" s="103">
        <f t="shared" ca="1" si="26"/>
        <v>246728.90600151333</v>
      </c>
      <c r="T72" s="103">
        <f t="shared" ca="1" si="26"/>
        <v>246673.61041522879</v>
      </c>
      <c r="U72" s="103">
        <f t="shared" ca="1" si="26"/>
        <v>246728.90600151333</v>
      </c>
      <c r="V72" s="103">
        <f t="shared" ca="1" si="26"/>
        <v>246673.61041522879</v>
      </c>
      <c r="W72" s="104">
        <f t="shared" ca="1" si="26"/>
        <v>123364.45300075666</v>
      </c>
      <c r="X72" s="101">
        <f t="shared" ca="1" si="3"/>
        <v>5529558.628451664</v>
      </c>
    </row>
    <row r="73" spans="1:24" ht="15" customHeight="1" x14ac:dyDescent="0.25">
      <c r="A73" s="69">
        <f>IF('Cash Flow Analysis'!C89="","",'Cash Flow Analysis'!C89)</f>
        <v>22</v>
      </c>
      <c r="B73" s="819">
        <f ca="1">IF(A73="","",IF(A73&lt;1,0,IF(A73=1,$B$44-'Cash Flow Analysis'!I89,-'Cash Flow Analysis'!I89)))</f>
        <v>5634620.2423922475</v>
      </c>
      <c r="C73" s="102">
        <f t="shared" ref="C73:W73" ca="1" si="27">IF($B$73="","",IF(AND($B$42="Straight Line",C48&lt;=depr_length),$B$73/depr_length,IF(AND($B$42="MACRS",C48&lt;=depr_length+1),$B$73*INDEX(MACRS_Table,MATCH(C48,recovery_year,0),MATCH($B$43,recovery_period,0)),"")))</f>
        <v>211298.25908970929</v>
      </c>
      <c r="D73" s="103">
        <f t="shared" ca="1" si="27"/>
        <v>406763.23529829638</v>
      </c>
      <c r="E73" s="103">
        <f t="shared" ca="1" si="27"/>
        <v>376223.59358453035</v>
      </c>
      <c r="F73" s="103">
        <f t="shared" ca="1" si="27"/>
        <v>348050.4923725691</v>
      </c>
      <c r="G73" s="103">
        <f t="shared" ca="1" si="27"/>
        <v>321905.85444786912</v>
      </c>
      <c r="H73" s="103">
        <f t="shared" ca="1" si="27"/>
        <v>297789.67981043027</v>
      </c>
      <c r="I73" s="103">
        <f t="shared" ca="1" si="27"/>
        <v>275420.23744813306</v>
      </c>
      <c r="J73" s="103">
        <f t="shared" ca="1" si="27"/>
        <v>254797.52736097746</v>
      </c>
      <c r="K73" s="103">
        <f t="shared" ca="1" si="27"/>
        <v>251416.75521554207</v>
      </c>
      <c r="L73" s="103">
        <f t="shared" ca="1" si="27"/>
        <v>251360.40901311816</v>
      </c>
      <c r="M73" s="103">
        <f t="shared" ca="1" si="27"/>
        <v>251416.75521554207</v>
      </c>
      <c r="N73" s="103">
        <f t="shared" ca="1" si="27"/>
        <v>251360.40901311816</v>
      </c>
      <c r="O73" s="103">
        <f t="shared" ca="1" si="27"/>
        <v>251416.75521554207</v>
      </c>
      <c r="P73" s="103">
        <f t="shared" ca="1" si="27"/>
        <v>251360.40901311816</v>
      </c>
      <c r="Q73" s="103">
        <f t="shared" ca="1" si="27"/>
        <v>251416.75521554207</v>
      </c>
      <c r="R73" s="103">
        <f t="shared" ca="1" si="27"/>
        <v>251360.40901311816</v>
      </c>
      <c r="S73" s="103">
        <f t="shared" ca="1" si="27"/>
        <v>251416.75521554207</v>
      </c>
      <c r="T73" s="103">
        <f t="shared" ca="1" si="27"/>
        <v>251360.40901311816</v>
      </c>
      <c r="U73" s="103">
        <f t="shared" ca="1" si="27"/>
        <v>251416.75521554207</v>
      </c>
      <c r="V73" s="103">
        <f t="shared" ca="1" si="27"/>
        <v>251360.40901311816</v>
      </c>
      <c r="W73" s="104">
        <f t="shared" ca="1" si="27"/>
        <v>125708.37760777104</v>
      </c>
      <c r="X73" s="101">
        <f t="shared" ca="1" si="3"/>
        <v>5634620.2423922494</v>
      </c>
    </row>
    <row r="74" spans="1:24" ht="15" customHeight="1" x14ac:dyDescent="0.25">
      <c r="A74" s="69">
        <f>IF('Cash Flow Analysis'!C90="","",'Cash Flow Analysis'!C90)</f>
        <v>23</v>
      </c>
      <c r="B74" s="819">
        <f ca="1">IF(A74="","",IF(A74&lt;1,0,IF(A74=1,$B$44-'Cash Flow Analysis'!I90,-'Cash Flow Analysis'!I90)))</f>
        <v>5741678.0269977003</v>
      </c>
      <c r="C74" s="102">
        <f t="shared" ref="C74:W74" ca="1" si="28">IF($B$74="","",IF(AND($B$42="Straight Line",C48&lt;=depr_length),$B$74/depr_length,IF(AND($B$42="MACRS",C48&lt;=depr_length+1),$B$74*INDEX(MACRS_Table,MATCH(C48,recovery_year,0),MATCH($B$43,recovery_period,0)),"")))</f>
        <v>215312.92601241375</v>
      </c>
      <c r="D74" s="103">
        <f t="shared" ca="1" si="28"/>
        <v>414491.73676896404</v>
      </c>
      <c r="E74" s="103">
        <f t="shared" ca="1" si="28"/>
        <v>383371.84186263644</v>
      </c>
      <c r="F74" s="103">
        <f t="shared" ca="1" si="28"/>
        <v>354663.45172764792</v>
      </c>
      <c r="G74" s="103">
        <f t="shared" ca="1" si="28"/>
        <v>328022.0656823786</v>
      </c>
      <c r="H74" s="103">
        <f t="shared" ca="1" si="28"/>
        <v>303447.68372682849</v>
      </c>
      <c r="I74" s="103">
        <f t="shared" ca="1" si="28"/>
        <v>280653.22195964761</v>
      </c>
      <c r="J74" s="103">
        <f t="shared" ca="1" si="28"/>
        <v>259638.68038083604</v>
      </c>
      <c r="K74" s="103">
        <f t="shared" ca="1" si="28"/>
        <v>256193.6735646374</v>
      </c>
      <c r="L74" s="103">
        <f t="shared" ca="1" si="28"/>
        <v>256136.2567843674</v>
      </c>
      <c r="M74" s="103">
        <f t="shared" ca="1" si="28"/>
        <v>256193.6735646374</v>
      </c>
      <c r="N74" s="103">
        <f t="shared" ca="1" si="28"/>
        <v>256136.2567843674</v>
      </c>
      <c r="O74" s="103">
        <f t="shared" ca="1" si="28"/>
        <v>256193.6735646374</v>
      </c>
      <c r="P74" s="103">
        <f t="shared" ca="1" si="28"/>
        <v>256136.2567843674</v>
      </c>
      <c r="Q74" s="103">
        <f t="shared" ca="1" si="28"/>
        <v>256193.6735646374</v>
      </c>
      <c r="R74" s="103">
        <f t="shared" ca="1" si="28"/>
        <v>256136.2567843674</v>
      </c>
      <c r="S74" s="103">
        <f t="shared" ca="1" si="28"/>
        <v>256193.6735646374</v>
      </c>
      <c r="T74" s="103">
        <f t="shared" ca="1" si="28"/>
        <v>256136.2567843674</v>
      </c>
      <c r="U74" s="103">
        <f t="shared" ca="1" si="28"/>
        <v>256193.6735646374</v>
      </c>
      <c r="V74" s="103">
        <f t="shared" ca="1" si="28"/>
        <v>256136.2567843674</v>
      </c>
      <c r="W74" s="104">
        <f t="shared" ca="1" si="28"/>
        <v>128096.8367823187</v>
      </c>
      <c r="X74" s="101">
        <f t="shared" ca="1" si="3"/>
        <v>5741678.0269977003</v>
      </c>
    </row>
    <row r="75" spans="1:24" ht="15" customHeight="1" x14ac:dyDescent="0.25">
      <c r="A75" s="69">
        <f>IF('Cash Flow Analysis'!C91="","",'Cash Flow Analysis'!C91)</f>
        <v>24</v>
      </c>
      <c r="B75" s="819">
        <f ca="1">IF(A75="","",IF(A75&lt;1,0,IF(A75=1,$B$44-'Cash Flow Analysis'!I91,-'Cash Flow Analysis'!I91)))</f>
        <v>5850769.9095106563</v>
      </c>
      <c r="C75" s="102">
        <f t="shared" ref="C75:W75" ca="1" si="29">IF($B$75="","",IF(AND($B$42="Straight Line",C48&lt;=depr_length),$B$75/depr_length,IF(AND($B$42="MACRS",C48&lt;=depr_length+1),$B$75*INDEX(MACRS_Table,MATCH(C48,recovery_year,0),MATCH($B$43,recovery_period,0)),"")))</f>
        <v>219403.8716066496</v>
      </c>
      <c r="D75" s="103">
        <f t="shared" ca="1" si="29"/>
        <v>422367.07976757432</v>
      </c>
      <c r="E75" s="103">
        <f t="shared" ca="1" si="29"/>
        <v>390655.90685802652</v>
      </c>
      <c r="F75" s="103">
        <f t="shared" ca="1" si="29"/>
        <v>361402.05731047323</v>
      </c>
      <c r="G75" s="103">
        <f t="shared" ca="1" si="29"/>
        <v>334254.48493034381</v>
      </c>
      <c r="H75" s="103">
        <f t="shared" ca="1" si="29"/>
        <v>309213.18971763819</v>
      </c>
      <c r="I75" s="103">
        <f t="shared" ca="1" si="29"/>
        <v>285985.63317688089</v>
      </c>
      <c r="J75" s="103">
        <f t="shared" ca="1" si="29"/>
        <v>264571.81530807191</v>
      </c>
      <c r="K75" s="103">
        <f t="shared" ca="1" si="29"/>
        <v>261061.35336236548</v>
      </c>
      <c r="L75" s="103">
        <f t="shared" ca="1" si="29"/>
        <v>261002.84566327036</v>
      </c>
      <c r="M75" s="103">
        <f t="shared" ca="1" si="29"/>
        <v>261061.35336236548</v>
      </c>
      <c r="N75" s="103">
        <f t="shared" ca="1" si="29"/>
        <v>261002.84566327036</v>
      </c>
      <c r="O75" s="103">
        <f t="shared" ca="1" si="29"/>
        <v>261061.35336236548</v>
      </c>
      <c r="P75" s="103">
        <f t="shared" ca="1" si="29"/>
        <v>261002.84566327036</v>
      </c>
      <c r="Q75" s="103">
        <f t="shared" ca="1" si="29"/>
        <v>261061.35336236548</v>
      </c>
      <c r="R75" s="103">
        <f t="shared" ca="1" si="29"/>
        <v>261002.84566327036</v>
      </c>
      <c r="S75" s="103">
        <f t="shared" ca="1" si="29"/>
        <v>261061.35336236548</v>
      </c>
      <c r="T75" s="103">
        <f t="shared" ca="1" si="29"/>
        <v>261002.84566327036</v>
      </c>
      <c r="U75" s="103">
        <f t="shared" ca="1" si="29"/>
        <v>261061.35336236548</v>
      </c>
      <c r="V75" s="103">
        <f t="shared" ca="1" si="29"/>
        <v>261002.84566327036</v>
      </c>
      <c r="W75" s="104">
        <f t="shared" ca="1" si="29"/>
        <v>130530.67668118274</v>
      </c>
      <c r="X75" s="101">
        <f t="shared" ca="1" si="3"/>
        <v>5850769.9095106553</v>
      </c>
    </row>
    <row r="76" spans="1:24" ht="15" customHeight="1" x14ac:dyDescent="0.25">
      <c r="A76" s="69">
        <f>IF('Cash Flow Analysis'!C92="","",'Cash Flow Analysis'!C92)</f>
        <v>25</v>
      </c>
      <c r="B76" s="819">
        <f ca="1">IF(A76="","",IF(A76&lt;1,0,IF(A76=1,$B$44-'Cash Flow Analysis'!I92,-'Cash Flow Analysis'!I92)))</f>
        <v>5961934.5377913583</v>
      </c>
      <c r="C76" s="102">
        <f t="shared" ref="C76:W76" ca="1" si="30">IF($B$76="","",IF(AND($B$42="Straight Line",C48&lt;=depr_length),$B$76/depr_length,IF(AND($B$42="MACRS",C48&lt;=depr_length+1),$B$76*INDEX(MACRS_Table,MATCH(C48,recovery_year,0),MATCH($B$43,recovery_period,0)),"")))</f>
        <v>223572.54516717594</v>
      </c>
      <c r="D76" s="103">
        <f t="shared" ca="1" si="30"/>
        <v>430392.05428315816</v>
      </c>
      <c r="E76" s="103">
        <f t="shared" ca="1" si="30"/>
        <v>398078.36908832897</v>
      </c>
      <c r="F76" s="103">
        <f t="shared" ca="1" si="30"/>
        <v>368268.69639937219</v>
      </c>
      <c r="G76" s="103">
        <f t="shared" ca="1" si="30"/>
        <v>340605.32014402031</v>
      </c>
      <c r="H76" s="103">
        <f t="shared" ca="1" si="30"/>
        <v>315088.24032227328</v>
      </c>
      <c r="I76" s="103">
        <f t="shared" ca="1" si="30"/>
        <v>291419.36020724161</v>
      </c>
      <c r="J76" s="103">
        <f t="shared" ca="1" si="30"/>
        <v>269598.67979892524</v>
      </c>
      <c r="K76" s="103">
        <f t="shared" ca="1" si="30"/>
        <v>266021.51907625044</v>
      </c>
      <c r="L76" s="103">
        <f t="shared" ca="1" si="30"/>
        <v>265961.89973087248</v>
      </c>
      <c r="M76" s="103">
        <f t="shared" ca="1" si="30"/>
        <v>266021.51907625044</v>
      </c>
      <c r="N76" s="103">
        <f t="shared" ca="1" si="30"/>
        <v>265961.89973087248</v>
      </c>
      <c r="O76" s="103">
        <f t="shared" ca="1" si="30"/>
        <v>266021.51907625044</v>
      </c>
      <c r="P76" s="103">
        <f t="shared" ca="1" si="30"/>
        <v>265961.89973087248</v>
      </c>
      <c r="Q76" s="103">
        <f t="shared" ca="1" si="30"/>
        <v>266021.51907625044</v>
      </c>
      <c r="R76" s="103">
        <f t="shared" ca="1" si="30"/>
        <v>265961.89973087248</v>
      </c>
      <c r="S76" s="103">
        <f t="shared" ca="1" si="30"/>
        <v>266021.51907625044</v>
      </c>
      <c r="T76" s="103">
        <f t="shared" ca="1" si="30"/>
        <v>265961.89973087248</v>
      </c>
      <c r="U76" s="103">
        <f t="shared" ca="1" si="30"/>
        <v>266021.51907625044</v>
      </c>
      <c r="V76" s="103">
        <f t="shared" ca="1" si="30"/>
        <v>265961.89973087248</v>
      </c>
      <c r="W76" s="104">
        <f t="shared" ca="1" si="30"/>
        <v>133010.75953812522</v>
      </c>
      <c r="X76" s="101">
        <f t="shared" ca="1" si="3"/>
        <v>5961934.5377913583</v>
      </c>
    </row>
    <row r="77" spans="1:24" ht="15" customHeight="1" x14ac:dyDescent="0.25">
      <c r="A77" s="69">
        <f>IF('Cash Flow Analysis'!C93="","",'Cash Flow Analysis'!C93)</f>
        <v>26</v>
      </c>
      <c r="B77" s="819">
        <f ca="1">IF(A77="","",IF(A77&lt;1,0,IF(A77=1,$B$44-'Cash Flow Analysis'!I93,-'Cash Flow Analysis'!I93)))</f>
        <v>6075211.2940093931</v>
      </c>
      <c r="C77" s="102">
        <f t="shared" ref="C77:W77" ca="1" si="31">IF($B$77="","",IF(AND($B$42="Straight Line",C48&lt;=depr_length),$B$77/depr_length,IF(AND($B$42="MACRS",C48&lt;=depr_length+1),$B$77*INDEX(MACRS_Table,MATCH(C48,recovery_year,0),MATCH($B$43,recovery_period,0)),"")))</f>
        <v>227820.42352535223</v>
      </c>
      <c r="D77" s="103">
        <f t="shared" ca="1" si="31"/>
        <v>438569.5033145381</v>
      </c>
      <c r="E77" s="103">
        <f t="shared" ca="1" si="31"/>
        <v>405641.85810100718</v>
      </c>
      <c r="F77" s="103">
        <f t="shared" ca="1" si="31"/>
        <v>375265.8016309602</v>
      </c>
      <c r="G77" s="103">
        <f t="shared" ca="1" si="31"/>
        <v>347076.82122675661</v>
      </c>
      <c r="H77" s="103">
        <f t="shared" ca="1" si="31"/>
        <v>321074.91688839643</v>
      </c>
      <c r="I77" s="103">
        <f t="shared" ca="1" si="31"/>
        <v>296956.32805117912</v>
      </c>
      <c r="J77" s="103">
        <f t="shared" ca="1" si="31"/>
        <v>274721.05471510475</v>
      </c>
      <c r="K77" s="103">
        <f t="shared" ca="1" si="31"/>
        <v>271075.92793869914</v>
      </c>
      <c r="L77" s="103">
        <f t="shared" ca="1" si="31"/>
        <v>271015.17582575901</v>
      </c>
      <c r="M77" s="103">
        <f t="shared" ca="1" si="31"/>
        <v>271075.92793869914</v>
      </c>
      <c r="N77" s="103">
        <f t="shared" ca="1" si="31"/>
        <v>271015.17582575901</v>
      </c>
      <c r="O77" s="103">
        <f t="shared" ca="1" si="31"/>
        <v>271075.92793869914</v>
      </c>
      <c r="P77" s="103">
        <f t="shared" ca="1" si="31"/>
        <v>271015.17582575901</v>
      </c>
      <c r="Q77" s="103">
        <f t="shared" ca="1" si="31"/>
        <v>271075.92793869914</v>
      </c>
      <c r="R77" s="103">
        <f t="shared" ca="1" si="31"/>
        <v>271015.17582575901</v>
      </c>
      <c r="S77" s="103">
        <f t="shared" ca="1" si="31"/>
        <v>271075.92793869914</v>
      </c>
      <c r="T77" s="103">
        <f t="shared" ca="1" si="31"/>
        <v>271015.17582575901</v>
      </c>
      <c r="U77" s="103">
        <f t="shared" ca="1" si="31"/>
        <v>271075.92793869914</v>
      </c>
      <c r="V77" s="103">
        <f t="shared" ca="1" si="31"/>
        <v>271015.17582575901</v>
      </c>
      <c r="W77" s="104">
        <f t="shared" ca="1" si="31"/>
        <v>135537.96396934957</v>
      </c>
      <c r="X77" s="101">
        <f t="shared" ca="1" si="3"/>
        <v>6075211.2940093921</v>
      </c>
    </row>
    <row r="78" spans="1:24" ht="15" customHeight="1" x14ac:dyDescent="0.25">
      <c r="A78" s="69">
        <f>IF('Cash Flow Analysis'!C94="","",'Cash Flow Analysis'!C94)</f>
        <v>27</v>
      </c>
      <c r="B78" s="819">
        <f ca="1">IF(A78="","",IF(A78&lt;1,0,IF(A78=1,$B$44-'Cash Flow Analysis'!I94,-'Cash Flow Analysis'!I94)))</f>
        <v>6190640.3085955717</v>
      </c>
      <c r="C78" s="102">
        <f t="shared" ref="C78:W78" ca="1" si="32">IF($B$78="","",IF(AND($B$42="Straight Line",C48&lt;=depr_length),$B$78/depr_length,IF(AND($B$42="MACRS",C48&lt;=depr_length+1),$B$78*INDEX(MACRS_Table,MATCH(C48,recovery_year,0),MATCH($B$43,recovery_period,0)),"")))</f>
        <v>232149.01157233393</v>
      </c>
      <c r="D78" s="103">
        <f t="shared" ca="1" si="32"/>
        <v>446902.32387751434</v>
      </c>
      <c r="E78" s="103">
        <f t="shared" ca="1" si="32"/>
        <v>413349.05340492632</v>
      </c>
      <c r="F78" s="103">
        <f t="shared" ca="1" si="32"/>
        <v>382395.85186194844</v>
      </c>
      <c r="G78" s="103">
        <f t="shared" ca="1" si="32"/>
        <v>353671.28083006502</v>
      </c>
      <c r="H78" s="103">
        <f t="shared" ca="1" si="32"/>
        <v>327175.34030927595</v>
      </c>
      <c r="I78" s="103">
        <f t="shared" ca="1" si="32"/>
        <v>302598.49828415154</v>
      </c>
      <c r="J78" s="103">
        <f t="shared" ca="1" si="32"/>
        <v>279940.75475469179</v>
      </c>
      <c r="K78" s="103">
        <f t="shared" ca="1" si="32"/>
        <v>276226.37056953443</v>
      </c>
      <c r="L78" s="103">
        <f t="shared" ca="1" si="32"/>
        <v>276164.46416644845</v>
      </c>
      <c r="M78" s="103">
        <f t="shared" ca="1" si="32"/>
        <v>276226.37056953443</v>
      </c>
      <c r="N78" s="103">
        <f t="shared" ca="1" si="32"/>
        <v>276164.46416644845</v>
      </c>
      <c r="O78" s="103">
        <f t="shared" ca="1" si="32"/>
        <v>276226.37056953443</v>
      </c>
      <c r="P78" s="103">
        <f t="shared" ca="1" si="32"/>
        <v>276164.46416644845</v>
      </c>
      <c r="Q78" s="103">
        <f t="shared" ca="1" si="32"/>
        <v>276226.37056953443</v>
      </c>
      <c r="R78" s="103">
        <f t="shared" ca="1" si="32"/>
        <v>276164.46416644845</v>
      </c>
      <c r="S78" s="103">
        <f t="shared" ca="1" si="32"/>
        <v>276226.37056953443</v>
      </c>
      <c r="T78" s="103">
        <f t="shared" ca="1" si="32"/>
        <v>276164.46416644845</v>
      </c>
      <c r="U78" s="103">
        <f t="shared" ca="1" si="32"/>
        <v>276226.37056953443</v>
      </c>
      <c r="V78" s="103">
        <f t="shared" ca="1" si="32"/>
        <v>276164.46416644845</v>
      </c>
      <c r="W78" s="104">
        <f t="shared" ca="1" si="32"/>
        <v>138113.18528476721</v>
      </c>
      <c r="X78" s="101">
        <f t="shared" ca="1" si="3"/>
        <v>6190640.3085955726</v>
      </c>
    </row>
    <row r="79" spans="1:24" ht="15" customHeight="1" x14ac:dyDescent="0.25">
      <c r="A79" s="69">
        <f>IF('Cash Flow Analysis'!C95="","",'Cash Flow Analysis'!C95)</f>
        <v>28</v>
      </c>
      <c r="B79" s="819">
        <f ca="1">IF(A79="","",IF(A79&lt;1,0,IF(A79=1,$B$44-'Cash Flow Analysis'!I95,-'Cash Flow Analysis'!I95)))</f>
        <v>6308262.4744588882</v>
      </c>
      <c r="C79" s="102">
        <f t="shared" ref="C79:W79" ca="1" si="33">IF($B$79="","",IF(AND($B$42="Straight Line",C48&lt;=depr_length),$B$79/depr_length,IF(AND($B$42="MACRS",C48&lt;=depr_length+1),$B$79*INDEX(MACRS_Table,MATCH(C48,recovery_year,0),MATCH($B$43,recovery_period,0)),"")))</f>
        <v>236559.84279220831</v>
      </c>
      <c r="D79" s="103">
        <f t="shared" ca="1" si="33"/>
        <v>455393.46803118719</v>
      </c>
      <c r="E79" s="103">
        <f t="shared" ca="1" si="33"/>
        <v>421202.68541961996</v>
      </c>
      <c r="F79" s="103">
        <f t="shared" ca="1" si="33"/>
        <v>389661.37304732553</v>
      </c>
      <c r="G79" s="103">
        <f t="shared" ca="1" si="33"/>
        <v>360391.03516583628</v>
      </c>
      <c r="H79" s="103">
        <f t="shared" ca="1" si="33"/>
        <v>333391.67177515227</v>
      </c>
      <c r="I79" s="103">
        <f t="shared" ca="1" si="33"/>
        <v>308347.86975155043</v>
      </c>
      <c r="J79" s="103">
        <f t="shared" ca="1" si="33"/>
        <v>285259.62909503095</v>
      </c>
      <c r="K79" s="103">
        <f t="shared" ca="1" si="33"/>
        <v>281474.67161035561</v>
      </c>
      <c r="L79" s="103">
        <f t="shared" ca="1" si="33"/>
        <v>281411.58898561099</v>
      </c>
      <c r="M79" s="103">
        <f t="shared" ca="1" si="33"/>
        <v>281474.67161035561</v>
      </c>
      <c r="N79" s="103">
        <f t="shared" ca="1" si="33"/>
        <v>281411.58898561099</v>
      </c>
      <c r="O79" s="103">
        <f t="shared" ca="1" si="33"/>
        <v>281474.67161035561</v>
      </c>
      <c r="P79" s="103">
        <f t="shared" ca="1" si="33"/>
        <v>281411.58898561099</v>
      </c>
      <c r="Q79" s="103">
        <f t="shared" ca="1" si="33"/>
        <v>281474.67161035561</v>
      </c>
      <c r="R79" s="103">
        <f t="shared" ca="1" si="33"/>
        <v>281411.58898561099</v>
      </c>
      <c r="S79" s="103">
        <f t="shared" ca="1" si="33"/>
        <v>281474.67161035561</v>
      </c>
      <c r="T79" s="103">
        <f t="shared" ca="1" si="33"/>
        <v>281411.58898561099</v>
      </c>
      <c r="U79" s="103">
        <f t="shared" ca="1" si="33"/>
        <v>281474.67161035561</v>
      </c>
      <c r="V79" s="103">
        <f t="shared" ca="1" si="33"/>
        <v>281411.58898561099</v>
      </c>
      <c r="W79" s="104">
        <f t="shared" ca="1" si="33"/>
        <v>140737.33580517781</v>
      </c>
      <c r="X79" s="101">
        <f t="shared" ca="1" si="3"/>
        <v>6308262.4744588854</v>
      </c>
    </row>
    <row r="80" spans="1:24" ht="15" customHeight="1" x14ac:dyDescent="0.25">
      <c r="A80" s="69">
        <f>IF('Cash Flow Analysis'!C96="","",'Cash Flow Analysis'!C96)</f>
        <v>29</v>
      </c>
      <c r="B80" s="819">
        <f ca="1">IF(A80="","",IF(A80&lt;1,0,IF(A80=1,$B$44-'Cash Flow Analysis'!I96,-'Cash Flow Analysis'!I96)))</f>
        <v>6428119.4614736056</v>
      </c>
      <c r="C80" s="102">
        <f t="shared" ref="C80:W80" ca="1" si="34">IF($B$80="","",IF(AND($B$42="Straight Line",C48&lt;=depr_length),$B$80/depr_length,IF(AND($B$42="MACRS",C48&lt;=depr_length+1),$B$80*INDEX(MACRS_Table,MATCH(C48,recovery_year,0),MATCH($B$43,recovery_period,0)),"")))</f>
        <v>241054.4798052602</v>
      </c>
      <c r="D80" s="103">
        <f t="shared" ca="1" si="34"/>
        <v>464045.94392377959</v>
      </c>
      <c r="E80" s="103">
        <f t="shared" ca="1" si="34"/>
        <v>429205.53644259262</v>
      </c>
      <c r="F80" s="103">
        <f t="shared" ca="1" si="34"/>
        <v>397064.93913522462</v>
      </c>
      <c r="G80" s="103">
        <f t="shared" ca="1" si="34"/>
        <v>367238.46483398706</v>
      </c>
      <c r="H80" s="103">
        <f t="shared" ca="1" si="34"/>
        <v>339726.11353888008</v>
      </c>
      <c r="I80" s="103">
        <f t="shared" ca="1" si="34"/>
        <v>314206.47927682986</v>
      </c>
      <c r="J80" s="103">
        <f t="shared" ca="1" si="34"/>
        <v>290679.56204783649</v>
      </c>
      <c r="K80" s="103">
        <f t="shared" ca="1" si="34"/>
        <v>286822.6903709523</v>
      </c>
      <c r="L80" s="103">
        <f t="shared" ca="1" si="34"/>
        <v>286758.40917633753</v>
      </c>
      <c r="M80" s="103">
        <f t="shared" ca="1" si="34"/>
        <v>286822.6903709523</v>
      </c>
      <c r="N80" s="103">
        <f t="shared" ca="1" si="34"/>
        <v>286758.40917633753</v>
      </c>
      <c r="O80" s="103">
        <f t="shared" ca="1" si="34"/>
        <v>286822.6903709523</v>
      </c>
      <c r="P80" s="103">
        <f t="shared" ca="1" si="34"/>
        <v>286758.40917633753</v>
      </c>
      <c r="Q80" s="103">
        <f t="shared" ca="1" si="34"/>
        <v>286822.6903709523</v>
      </c>
      <c r="R80" s="103">
        <f t="shared" ca="1" si="34"/>
        <v>286758.40917633753</v>
      </c>
      <c r="S80" s="103">
        <f t="shared" ca="1" si="34"/>
        <v>286822.6903709523</v>
      </c>
      <c r="T80" s="103">
        <f t="shared" ca="1" si="34"/>
        <v>286758.40917633753</v>
      </c>
      <c r="U80" s="103">
        <f t="shared" ca="1" si="34"/>
        <v>286822.6903709523</v>
      </c>
      <c r="V80" s="103">
        <f t="shared" ca="1" si="34"/>
        <v>286758.40917633753</v>
      </c>
      <c r="W80" s="104">
        <f t="shared" ca="1" si="34"/>
        <v>143411.34518547615</v>
      </c>
      <c r="X80" s="101">
        <f t="shared" ca="1" si="3"/>
        <v>6428119.4614736065</v>
      </c>
    </row>
    <row r="81" spans="1:24" ht="15" customHeight="1" x14ac:dyDescent="0.25">
      <c r="A81" s="69">
        <f>IF('Cash Flow Analysis'!C97="","",'Cash Flow Analysis'!C97)</f>
        <v>30</v>
      </c>
      <c r="B81" s="819">
        <f ca="1">IF(A81="","",IF(A81&lt;1,0,IF(A81=1,$B$44-'Cash Flow Analysis'!I97,-'Cash Flow Analysis'!I97)))</f>
        <v>6550253.7312416034</v>
      </c>
      <c r="C81" s="102">
        <f t="shared" ref="C81:W81" ca="1" si="35">IF($B$81="","",IF(AND($B$42="Straight Line",C48&lt;=depr_length),$B$81/depr_length,IF(AND($B$42="MACRS",C48&lt;=depr_length+1),$B$81*INDEX(MACRS_Table,MATCH(C48,recovery_year,0),MATCH($B$43,recovery_period,0)),"")))</f>
        <v>245634.51492156013</v>
      </c>
      <c r="D81" s="103">
        <f t="shared" ca="1" si="35"/>
        <v>472862.81685833138</v>
      </c>
      <c r="E81" s="103">
        <f t="shared" ca="1" si="35"/>
        <v>437360.44163500186</v>
      </c>
      <c r="F81" s="103">
        <f t="shared" ca="1" si="35"/>
        <v>404609.17297879385</v>
      </c>
      <c r="G81" s="103">
        <f t="shared" ca="1" si="35"/>
        <v>374215.99566583283</v>
      </c>
      <c r="H81" s="103">
        <f t="shared" ca="1" si="35"/>
        <v>346180.90969611873</v>
      </c>
      <c r="I81" s="103">
        <f t="shared" ca="1" si="35"/>
        <v>320176.40238308959</v>
      </c>
      <c r="J81" s="103">
        <f t="shared" ca="1" si="35"/>
        <v>296202.47372674535</v>
      </c>
      <c r="K81" s="103">
        <f t="shared" ca="1" si="35"/>
        <v>292272.32148800034</v>
      </c>
      <c r="L81" s="103">
        <f t="shared" ca="1" si="35"/>
        <v>292206.81895068788</v>
      </c>
      <c r="M81" s="103">
        <f t="shared" ca="1" si="35"/>
        <v>292272.32148800034</v>
      </c>
      <c r="N81" s="103">
        <f t="shared" ca="1" si="35"/>
        <v>292206.81895068788</v>
      </c>
      <c r="O81" s="103">
        <f t="shared" ca="1" si="35"/>
        <v>292272.32148800034</v>
      </c>
      <c r="P81" s="103">
        <f t="shared" ca="1" si="35"/>
        <v>292206.81895068788</v>
      </c>
      <c r="Q81" s="103">
        <f t="shared" ca="1" si="35"/>
        <v>292272.32148800034</v>
      </c>
      <c r="R81" s="103">
        <f t="shared" ca="1" si="35"/>
        <v>292206.81895068788</v>
      </c>
      <c r="S81" s="103">
        <f t="shared" ca="1" si="35"/>
        <v>292272.32148800034</v>
      </c>
      <c r="T81" s="103">
        <f t="shared" ca="1" si="35"/>
        <v>292206.81895068788</v>
      </c>
      <c r="U81" s="103">
        <f t="shared" ca="1" si="35"/>
        <v>292272.32148800034</v>
      </c>
      <c r="V81" s="103">
        <f t="shared" ca="1" si="35"/>
        <v>292206.81895068788</v>
      </c>
      <c r="W81" s="104">
        <f t="shared" ca="1" si="35"/>
        <v>146136.16074400017</v>
      </c>
      <c r="X81" s="101">
        <f t="shared" ca="1" si="3"/>
        <v>6550253.7312416025</v>
      </c>
    </row>
    <row r="82" spans="1:24" ht="15" customHeight="1" x14ac:dyDescent="0.25">
      <c r="A82" s="69">
        <f>IF('Cash Flow Analysis'!C98="","",'Cash Flow Analysis'!C98)</f>
        <v>31</v>
      </c>
      <c r="B82" s="819">
        <f ca="1">IF(A82="","",IF(A82&lt;1,0,IF(A82=1,$B$44-'Cash Flow Analysis'!I98,-'Cash Flow Analysis'!I98)))</f>
        <v>6674708.5521351956</v>
      </c>
      <c r="C82" s="102">
        <f t="shared" ref="C82:W82" ca="1" si="36">IF($B$82="","",IF(AND($B$42="Straight Line",C48&lt;=depr_length),$B$82/depr_length,IF(AND($B$42="MACRS",C48&lt;=depr_length+1),$B$82*INDEX(MACRS_Table,MATCH(C48,recovery_year,0),MATCH($B$43,recovery_period,0)),"")))</f>
        <v>250301.57070506981</v>
      </c>
      <c r="D82" s="103">
        <f t="shared" ca="1" si="36"/>
        <v>481847.21037863981</v>
      </c>
      <c r="E82" s="103">
        <f t="shared" ca="1" si="36"/>
        <v>445670.290026067</v>
      </c>
      <c r="F82" s="103">
        <f t="shared" ca="1" si="36"/>
        <v>412296.74726539099</v>
      </c>
      <c r="G82" s="103">
        <f t="shared" ca="1" si="36"/>
        <v>381326.09958348371</v>
      </c>
      <c r="H82" s="103">
        <f t="shared" ca="1" si="36"/>
        <v>352758.34698034509</v>
      </c>
      <c r="I82" s="103">
        <f t="shared" ca="1" si="36"/>
        <v>326259.75402836833</v>
      </c>
      <c r="J82" s="103">
        <f t="shared" ca="1" si="36"/>
        <v>301830.32072755357</v>
      </c>
      <c r="K82" s="103">
        <f t="shared" ca="1" si="36"/>
        <v>297825.49559627241</v>
      </c>
      <c r="L82" s="103">
        <f t="shared" ca="1" si="36"/>
        <v>297758.74851075106</v>
      </c>
      <c r="M82" s="103">
        <f t="shared" ca="1" si="36"/>
        <v>297825.49559627241</v>
      </c>
      <c r="N82" s="103">
        <f t="shared" ca="1" si="36"/>
        <v>297758.74851075106</v>
      </c>
      <c r="O82" s="103">
        <f t="shared" ca="1" si="36"/>
        <v>297825.49559627241</v>
      </c>
      <c r="P82" s="103">
        <f t="shared" ca="1" si="36"/>
        <v>297758.74851075106</v>
      </c>
      <c r="Q82" s="103">
        <f t="shared" ca="1" si="36"/>
        <v>297825.49559627241</v>
      </c>
      <c r="R82" s="103">
        <f t="shared" ca="1" si="36"/>
        <v>297758.74851075106</v>
      </c>
      <c r="S82" s="103">
        <f t="shared" ca="1" si="36"/>
        <v>297825.49559627241</v>
      </c>
      <c r="T82" s="103">
        <f t="shared" ca="1" si="36"/>
        <v>297758.74851075106</v>
      </c>
      <c r="U82" s="103">
        <f t="shared" ca="1" si="36"/>
        <v>297825.49559627241</v>
      </c>
      <c r="V82" s="103">
        <f t="shared" ca="1" si="36"/>
        <v>297758.74851075106</v>
      </c>
      <c r="W82" s="104">
        <f t="shared" ca="1" si="36"/>
        <v>148912.7477981362</v>
      </c>
      <c r="X82" s="101">
        <f t="shared" ca="1" si="3"/>
        <v>6674708.5521351937</v>
      </c>
    </row>
    <row r="83" spans="1:24" ht="15" customHeight="1" x14ac:dyDescent="0.25">
      <c r="A83" s="69">
        <f>IF('Cash Flow Analysis'!C99="","",'Cash Flow Analysis'!C99)</f>
        <v>32</v>
      </c>
      <c r="B83" s="819">
        <f ca="1">IF(A83="","",IF(A83&lt;1,0,IF(A83=1,$B$44-'Cash Flow Analysis'!I99,-'Cash Flow Analysis'!I99)))</f>
        <v>6801528.0146257635</v>
      </c>
      <c r="C83" s="102">
        <f t="shared" ref="C83:W83" ca="1" si="37">IF($B$83="","",IF(AND($B$42="Straight Line",C48&lt;=depr_length),$B$83/depr_length,IF(AND($B$42="MACRS",C48&lt;=depr_length+1),$B$83*INDEX(MACRS_Table,MATCH(C48,recovery_year,0),MATCH($B$43,recovery_period,0)),"")))</f>
        <v>255057.30054846613</v>
      </c>
      <c r="D83" s="103">
        <f t="shared" ca="1" si="37"/>
        <v>491002.30737583392</v>
      </c>
      <c r="E83" s="103">
        <f t="shared" ca="1" si="37"/>
        <v>454138.0255365622</v>
      </c>
      <c r="F83" s="103">
        <f t="shared" ca="1" si="37"/>
        <v>420130.3854634334</v>
      </c>
      <c r="G83" s="103">
        <f t="shared" ca="1" si="37"/>
        <v>388571.29547556984</v>
      </c>
      <c r="H83" s="103">
        <f t="shared" ca="1" si="37"/>
        <v>359460.7555729716</v>
      </c>
      <c r="I83" s="103">
        <f t="shared" ca="1" si="37"/>
        <v>332458.68935490731</v>
      </c>
      <c r="J83" s="103">
        <f t="shared" ca="1" si="37"/>
        <v>307565.09682137705</v>
      </c>
      <c r="K83" s="103">
        <f t="shared" ca="1" si="37"/>
        <v>303484.18001260154</v>
      </c>
      <c r="L83" s="103">
        <f t="shared" ca="1" si="37"/>
        <v>303416.16473245528</v>
      </c>
      <c r="M83" s="103">
        <f t="shared" ca="1" si="37"/>
        <v>303484.18001260154</v>
      </c>
      <c r="N83" s="103">
        <f t="shared" ca="1" si="37"/>
        <v>303416.16473245528</v>
      </c>
      <c r="O83" s="103">
        <f t="shared" ca="1" si="37"/>
        <v>303484.18001260154</v>
      </c>
      <c r="P83" s="103">
        <f t="shared" ca="1" si="37"/>
        <v>303416.16473245528</v>
      </c>
      <c r="Q83" s="103">
        <f t="shared" ca="1" si="37"/>
        <v>303484.18001260154</v>
      </c>
      <c r="R83" s="103">
        <f t="shared" ca="1" si="37"/>
        <v>303416.16473245528</v>
      </c>
      <c r="S83" s="103">
        <f t="shared" ca="1" si="37"/>
        <v>303484.18001260154</v>
      </c>
      <c r="T83" s="103">
        <f t="shared" ca="1" si="37"/>
        <v>303416.16473245528</v>
      </c>
      <c r="U83" s="103">
        <f t="shared" ca="1" si="37"/>
        <v>303484.18001260154</v>
      </c>
      <c r="V83" s="103">
        <f t="shared" ca="1" si="37"/>
        <v>303416.16473245528</v>
      </c>
      <c r="W83" s="104">
        <f t="shared" ca="1" si="37"/>
        <v>151742.09000630077</v>
      </c>
      <c r="X83" s="101">
        <f t="shared" ca="1" si="3"/>
        <v>6801528.0146257626</v>
      </c>
    </row>
    <row r="84" spans="1:24" ht="15" customHeight="1" x14ac:dyDescent="0.25">
      <c r="A84" s="69">
        <f>IF('Cash Flow Analysis'!C100="","",'Cash Flow Analysis'!C100)</f>
        <v>33</v>
      </c>
      <c r="B84" s="819">
        <f ca="1">IF(A84="","",IF(A84&lt;1,0,IF(A84=1,$B$44-'Cash Flow Analysis'!I100,-'Cash Flow Analysis'!I100)))</f>
        <v>6930757.0469036531</v>
      </c>
      <c r="C84" s="102">
        <f t="shared" ref="C84:W84" ca="1" si="38">IF($B$84="","",IF(AND($B$42="Straight Line",C48&lt;=depr_length),$B$84/depr_length,IF(AND($B$42="MACRS",C48&lt;=depr_length+1),$B$84*INDEX(MACRS_Table,MATCH(C48,recovery_year,0),MATCH($B$43,recovery_period,0)),"")))</f>
        <v>259903.38925888698</v>
      </c>
      <c r="D84" s="103">
        <f t="shared" ca="1" si="38"/>
        <v>500331.35121597472</v>
      </c>
      <c r="E84" s="103">
        <f t="shared" ca="1" si="38"/>
        <v>462766.6480217569</v>
      </c>
      <c r="F84" s="103">
        <f t="shared" ca="1" si="38"/>
        <v>428112.86278723861</v>
      </c>
      <c r="G84" s="103">
        <f t="shared" ca="1" si="38"/>
        <v>395954.15008960571</v>
      </c>
      <c r="H84" s="103">
        <f t="shared" ca="1" si="38"/>
        <v>366290.50992885808</v>
      </c>
      <c r="I84" s="103">
        <f t="shared" ca="1" si="38"/>
        <v>338775.40445265057</v>
      </c>
      <c r="J84" s="103">
        <f t="shared" ca="1" si="38"/>
        <v>313408.83366098319</v>
      </c>
      <c r="K84" s="103">
        <f t="shared" ca="1" si="38"/>
        <v>309250.37943284097</v>
      </c>
      <c r="L84" s="103">
        <f t="shared" ca="1" si="38"/>
        <v>309181.07186237193</v>
      </c>
      <c r="M84" s="103">
        <f t="shared" ca="1" si="38"/>
        <v>309250.37943284097</v>
      </c>
      <c r="N84" s="103">
        <f t="shared" ca="1" si="38"/>
        <v>309181.07186237193</v>
      </c>
      <c r="O84" s="103">
        <f t="shared" ca="1" si="38"/>
        <v>309250.37943284097</v>
      </c>
      <c r="P84" s="103">
        <f t="shared" ca="1" si="38"/>
        <v>309181.07186237193</v>
      </c>
      <c r="Q84" s="103">
        <f t="shared" ca="1" si="38"/>
        <v>309250.37943284097</v>
      </c>
      <c r="R84" s="103">
        <f t="shared" ca="1" si="38"/>
        <v>309181.07186237193</v>
      </c>
      <c r="S84" s="103">
        <f t="shared" ca="1" si="38"/>
        <v>309250.37943284097</v>
      </c>
      <c r="T84" s="103">
        <f t="shared" ca="1" si="38"/>
        <v>309181.07186237193</v>
      </c>
      <c r="U84" s="103">
        <f t="shared" ca="1" si="38"/>
        <v>309250.37943284097</v>
      </c>
      <c r="V84" s="103">
        <f t="shared" ca="1" si="38"/>
        <v>309181.07186237193</v>
      </c>
      <c r="W84" s="104">
        <f t="shared" ca="1" si="38"/>
        <v>154625.18971642049</v>
      </c>
      <c r="X84" s="101">
        <f t="shared" ca="1" si="3"/>
        <v>6930757.0469036512</v>
      </c>
    </row>
    <row r="85" spans="1:24" ht="15" customHeight="1" x14ac:dyDescent="0.25">
      <c r="A85" s="69">
        <f>IF('Cash Flow Analysis'!C101="","",'Cash Flow Analysis'!C101)</f>
        <v>34</v>
      </c>
      <c r="B85" s="819">
        <f ca="1">IF(A85="","",IF(A85&lt;1,0,IF(A85=1,$B$44-'Cash Flow Analysis'!I101,-'Cash Flow Analysis'!I101)))</f>
        <v>7062441.4307948211</v>
      </c>
      <c r="C85" s="102">
        <f t="shared" ref="C85:W85" ca="1" si="39">IF($B$85="","",IF(AND($B$42="Straight Line",C48&lt;=depr_length),$B$85/depr_length,IF(AND($B$42="MACRS",C48&lt;=depr_length+1),$B$85*INDEX(MACRS_Table,MATCH(C48,recovery_year,0),MATCH($B$43,recovery_period,0)),"")))</f>
        <v>264841.55365480576</v>
      </c>
      <c r="D85" s="103">
        <f t="shared" ca="1" si="39"/>
        <v>509837.64688907814</v>
      </c>
      <c r="E85" s="103">
        <f t="shared" ca="1" si="39"/>
        <v>471559.21433417016</v>
      </c>
      <c r="F85" s="103">
        <f t="shared" ca="1" si="39"/>
        <v>436247.00718019612</v>
      </c>
      <c r="G85" s="103">
        <f t="shared" ca="1" si="39"/>
        <v>403477.27894130815</v>
      </c>
      <c r="H85" s="103">
        <f t="shared" ca="1" si="39"/>
        <v>373250.02961750631</v>
      </c>
      <c r="I85" s="103">
        <f t="shared" ca="1" si="39"/>
        <v>345212.13713725086</v>
      </c>
      <c r="J85" s="103">
        <f t="shared" ca="1" si="39"/>
        <v>319363.60150054184</v>
      </c>
      <c r="K85" s="103">
        <f t="shared" ca="1" si="39"/>
        <v>315126.1366420649</v>
      </c>
      <c r="L85" s="103">
        <f t="shared" ca="1" si="39"/>
        <v>315055.51222775696</v>
      </c>
      <c r="M85" s="103">
        <f t="shared" ca="1" si="39"/>
        <v>315126.1366420649</v>
      </c>
      <c r="N85" s="103">
        <f t="shared" ca="1" si="39"/>
        <v>315055.51222775696</v>
      </c>
      <c r="O85" s="103">
        <f t="shared" ca="1" si="39"/>
        <v>315126.1366420649</v>
      </c>
      <c r="P85" s="103">
        <f t="shared" ca="1" si="39"/>
        <v>315055.51222775696</v>
      </c>
      <c r="Q85" s="103">
        <f t="shared" ca="1" si="39"/>
        <v>315126.1366420649</v>
      </c>
      <c r="R85" s="103">
        <f t="shared" ca="1" si="39"/>
        <v>315055.51222775696</v>
      </c>
      <c r="S85" s="103">
        <f t="shared" ca="1" si="39"/>
        <v>315126.1366420649</v>
      </c>
      <c r="T85" s="103">
        <f t="shared" ca="1" si="39"/>
        <v>315055.51222775696</v>
      </c>
      <c r="U85" s="103">
        <f t="shared" ca="1" si="39"/>
        <v>315126.1366420649</v>
      </c>
      <c r="V85" s="103">
        <f t="shared" ca="1" si="39"/>
        <v>315055.51222775696</v>
      </c>
      <c r="W85" s="104">
        <f t="shared" ca="1" si="39"/>
        <v>157563.06832103245</v>
      </c>
      <c r="X85" s="101">
        <f t="shared" ca="1" si="3"/>
        <v>7062441.4307948211</v>
      </c>
    </row>
    <row r="86" spans="1:24" ht="15" customHeight="1" x14ac:dyDescent="0.25">
      <c r="A86" s="69">
        <f>IF('Cash Flow Analysis'!C102="","",'Cash Flow Analysis'!C102)</f>
        <v>35</v>
      </c>
      <c r="B86" s="819">
        <f ca="1">IF(A86="","",IF(A86&lt;1,0,IF(A86=1,$B$44-'Cash Flow Analysis'!I102,-'Cash Flow Analysis'!I102)))</f>
        <v>7196627.8179799225</v>
      </c>
      <c r="C86" s="102">
        <f t="shared" ref="C86:W86" ca="1" si="40">IF($B$86="","",IF(AND($B$42="Straight Line",C48&lt;=depr_length),$B$86/depr_length,IF(AND($B$42="MACRS",C48&lt;=depr_length+1),$B$86*INDEX(MACRS_Table,MATCH(C48,recovery_year,0),MATCH($B$43,recovery_period,0)),"")))</f>
        <v>269873.54317424708</v>
      </c>
      <c r="D86" s="103">
        <f t="shared" ca="1" si="40"/>
        <v>519524.56217997061</v>
      </c>
      <c r="E86" s="103">
        <f t="shared" ca="1" si="40"/>
        <v>480518.83940651937</v>
      </c>
      <c r="F86" s="103">
        <f t="shared" ca="1" si="40"/>
        <v>444535.70031661983</v>
      </c>
      <c r="G86" s="103">
        <f t="shared" ca="1" si="40"/>
        <v>411143.347241193</v>
      </c>
      <c r="H86" s="103">
        <f t="shared" ca="1" si="40"/>
        <v>380341.78018023889</v>
      </c>
      <c r="I86" s="103">
        <f t="shared" ca="1" si="40"/>
        <v>351771.16774285858</v>
      </c>
      <c r="J86" s="103">
        <f t="shared" ca="1" si="40"/>
        <v>325431.50992905215</v>
      </c>
      <c r="K86" s="103">
        <f t="shared" ca="1" si="40"/>
        <v>321113.53323826415</v>
      </c>
      <c r="L86" s="103">
        <f t="shared" ca="1" si="40"/>
        <v>321041.56696008431</v>
      </c>
      <c r="M86" s="103">
        <f t="shared" ca="1" si="40"/>
        <v>321113.53323826415</v>
      </c>
      <c r="N86" s="103">
        <f t="shared" ca="1" si="40"/>
        <v>321041.56696008431</v>
      </c>
      <c r="O86" s="103">
        <f t="shared" ca="1" si="40"/>
        <v>321113.53323826415</v>
      </c>
      <c r="P86" s="103">
        <f t="shared" ca="1" si="40"/>
        <v>321041.56696008431</v>
      </c>
      <c r="Q86" s="103">
        <f t="shared" ca="1" si="40"/>
        <v>321113.53323826415</v>
      </c>
      <c r="R86" s="103">
        <f t="shared" ca="1" si="40"/>
        <v>321041.56696008431</v>
      </c>
      <c r="S86" s="103">
        <f t="shared" ca="1" si="40"/>
        <v>321113.53323826415</v>
      </c>
      <c r="T86" s="103">
        <f t="shared" ca="1" si="40"/>
        <v>321041.56696008431</v>
      </c>
      <c r="U86" s="103">
        <f t="shared" ca="1" si="40"/>
        <v>321113.53323826415</v>
      </c>
      <c r="V86" s="103">
        <f t="shared" ca="1" si="40"/>
        <v>321041.56696008431</v>
      </c>
      <c r="W86" s="104">
        <f t="shared" ca="1" si="40"/>
        <v>160556.76661913207</v>
      </c>
      <c r="X86" s="101">
        <f t="shared" ca="1" si="3"/>
        <v>7196627.8179799207</v>
      </c>
    </row>
    <row r="87" spans="1:24" ht="15" customHeight="1" x14ac:dyDescent="0.25">
      <c r="A87" s="69">
        <f>IF('Cash Flow Analysis'!C103="","",'Cash Flow Analysis'!C103)</f>
        <v>36</v>
      </c>
      <c r="B87" s="819">
        <f ca="1">IF(A87="","",IF(A87&lt;1,0,IF(A87=1,$B$44-'Cash Flow Analysis'!I103,-'Cash Flow Analysis'!I103)))</f>
        <v>7333363.7465215418</v>
      </c>
      <c r="C87" s="102">
        <f t="shared" ref="C87:W87" ca="1" si="41">IF($B$87="","",IF(AND($B$42="Straight Line",C48&lt;=depr_length),$B$87/depr_length,IF(AND($B$42="MACRS",C48&lt;=depr_length+1),$B$87*INDEX(MACRS_Table,MATCH(C48,recovery_year,0),MATCH($B$43,recovery_period,0)),"")))</f>
        <v>275001.1404945578</v>
      </c>
      <c r="D87" s="103">
        <f t="shared" ca="1" si="41"/>
        <v>529395.52886139019</v>
      </c>
      <c r="E87" s="103">
        <f t="shared" ca="1" si="41"/>
        <v>489648.69735524332</v>
      </c>
      <c r="F87" s="103">
        <f t="shared" ca="1" si="41"/>
        <v>452981.87862263562</v>
      </c>
      <c r="G87" s="103">
        <f t="shared" ca="1" si="41"/>
        <v>418955.07083877566</v>
      </c>
      <c r="H87" s="103">
        <f t="shared" ca="1" si="41"/>
        <v>387568.27400366351</v>
      </c>
      <c r="I87" s="103">
        <f t="shared" ca="1" si="41"/>
        <v>358454.81992997299</v>
      </c>
      <c r="J87" s="103">
        <f t="shared" ca="1" si="41"/>
        <v>331614.70861770416</v>
      </c>
      <c r="K87" s="103">
        <f t="shared" ca="1" si="41"/>
        <v>327214.69036979118</v>
      </c>
      <c r="L87" s="103">
        <f t="shared" ca="1" si="41"/>
        <v>327141.35673232598</v>
      </c>
      <c r="M87" s="103">
        <f t="shared" ca="1" si="41"/>
        <v>327214.69036979118</v>
      </c>
      <c r="N87" s="103">
        <f t="shared" ca="1" si="41"/>
        <v>327141.35673232598</v>
      </c>
      <c r="O87" s="103">
        <f t="shared" ca="1" si="41"/>
        <v>327214.69036979118</v>
      </c>
      <c r="P87" s="103">
        <f t="shared" ca="1" si="41"/>
        <v>327141.35673232598</v>
      </c>
      <c r="Q87" s="103">
        <f t="shared" ca="1" si="41"/>
        <v>327214.69036979118</v>
      </c>
      <c r="R87" s="103">
        <f t="shared" ca="1" si="41"/>
        <v>327141.35673232598</v>
      </c>
      <c r="S87" s="103">
        <f t="shared" ca="1" si="41"/>
        <v>327214.69036979118</v>
      </c>
      <c r="T87" s="103">
        <f t="shared" ca="1" si="41"/>
        <v>327141.35673232598</v>
      </c>
      <c r="U87" s="103">
        <f t="shared" ca="1" si="41"/>
        <v>327214.69036979118</v>
      </c>
      <c r="V87" s="103">
        <f t="shared" ca="1" si="41"/>
        <v>327141.35673232598</v>
      </c>
      <c r="W87" s="104">
        <f t="shared" ca="1" si="41"/>
        <v>163607.34518489559</v>
      </c>
      <c r="X87" s="101">
        <f t="shared" ca="1" si="3"/>
        <v>7333363.74652154</v>
      </c>
    </row>
    <row r="88" spans="1:24" ht="15" customHeight="1" x14ac:dyDescent="0.25">
      <c r="A88" s="69">
        <f>IF('Cash Flow Analysis'!C104="","",'Cash Flow Analysis'!C104)</f>
        <v>37</v>
      </c>
      <c r="B88" s="819">
        <f ca="1">IF(A88="","",IF(A88&lt;1,0,IF(A88=1,$B$44-'Cash Flow Analysis'!I104,-'Cash Flow Analysis'!I104)))</f>
        <v>7472697.6577054504</v>
      </c>
      <c r="C88" s="102">
        <f t="shared" ref="C88:W88" ca="1" si="42">IF($B$88="","",IF(AND($B$42="Straight Line",C48&lt;=depr_length),$B$88/depr_length,IF(AND($B$42="MACRS",C48&lt;=depr_length+1),$B$88*INDEX(MACRS_Table,MATCH(C48,recovery_year,0),MATCH($B$43,recovery_period,0)),"")))</f>
        <v>280226.1621639544</v>
      </c>
      <c r="D88" s="103">
        <f t="shared" ca="1" si="42"/>
        <v>539454.04390975647</v>
      </c>
      <c r="E88" s="103">
        <f t="shared" ca="1" si="42"/>
        <v>498952.0226049929</v>
      </c>
      <c r="F88" s="103">
        <f t="shared" ca="1" si="42"/>
        <v>461588.53431646567</v>
      </c>
      <c r="G88" s="103">
        <f t="shared" ca="1" si="42"/>
        <v>426915.21718471241</v>
      </c>
      <c r="H88" s="103">
        <f t="shared" ca="1" si="42"/>
        <v>394932.07120973308</v>
      </c>
      <c r="I88" s="103">
        <f t="shared" ca="1" si="42"/>
        <v>365265.46150864242</v>
      </c>
      <c r="J88" s="103">
        <f t="shared" ca="1" si="42"/>
        <v>337915.38808144047</v>
      </c>
      <c r="K88" s="103">
        <f t="shared" ca="1" si="42"/>
        <v>333431.76948681718</v>
      </c>
      <c r="L88" s="103">
        <f t="shared" ca="1" si="42"/>
        <v>333357.04251024011</v>
      </c>
      <c r="M88" s="103">
        <f t="shared" ca="1" si="42"/>
        <v>333431.76948681718</v>
      </c>
      <c r="N88" s="103">
        <f t="shared" ca="1" si="42"/>
        <v>333357.04251024011</v>
      </c>
      <c r="O88" s="103">
        <f t="shared" ca="1" si="42"/>
        <v>333431.76948681718</v>
      </c>
      <c r="P88" s="103">
        <f t="shared" ca="1" si="42"/>
        <v>333357.04251024011</v>
      </c>
      <c r="Q88" s="103">
        <f t="shared" ca="1" si="42"/>
        <v>333431.76948681718</v>
      </c>
      <c r="R88" s="103">
        <f t="shared" ca="1" si="42"/>
        <v>333357.04251024011</v>
      </c>
      <c r="S88" s="103">
        <f t="shared" ca="1" si="42"/>
        <v>333431.76948681718</v>
      </c>
      <c r="T88" s="103">
        <f t="shared" ca="1" si="42"/>
        <v>333357.04251024011</v>
      </c>
      <c r="U88" s="103">
        <f t="shared" ca="1" si="42"/>
        <v>333431.76948681718</v>
      </c>
      <c r="V88" s="103">
        <f t="shared" ca="1" si="42"/>
        <v>333357.04251024011</v>
      </c>
      <c r="W88" s="104">
        <f t="shared" ca="1" si="42"/>
        <v>166715.88474340859</v>
      </c>
      <c r="X88" s="101">
        <f t="shared" ca="1" si="3"/>
        <v>7472697.6577054523</v>
      </c>
    </row>
    <row r="89" spans="1:24" ht="15" customHeight="1" x14ac:dyDescent="0.25">
      <c r="A89" s="69">
        <f>IF('Cash Flow Analysis'!C105="","",'Cash Flow Analysis'!C105)</f>
        <v>38</v>
      </c>
      <c r="B89" s="819">
        <f ca="1">IF(A89="","",IF(A89&lt;1,0,IF(A89=1,$B$44-'Cash Flow Analysis'!I105,-'Cash Flow Analysis'!I105)))</f>
        <v>7614678.9132018518</v>
      </c>
      <c r="C89" s="102">
        <f t="shared" ref="C89:W89" ca="1" si="43">IF($B$89="","",IF(AND($B$42="Straight Line",C48&lt;=depr_length),$B$89/depr_length,IF(AND($B$42="MACRS",C48&lt;=depr_length+1),$B$89*INDEX(MACRS_Table,MATCH(C48,recovery_year,0),MATCH($B$43,recovery_period,0)),"")))</f>
        <v>285550.45924506942</v>
      </c>
      <c r="D89" s="103">
        <f t="shared" ca="1" si="43"/>
        <v>549703.67074404168</v>
      </c>
      <c r="E89" s="103">
        <f t="shared" ca="1" si="43"/>
        <v>508432.11103448761</v>
      </c>
      <c r="F89" s="103">
        <f t="shared" ca="1" si="43"/>
        <v>470358.71646847838</v>
      </c>
      <c r="G89" s="103">
        <f t="shared" ca="1" si="43"/>
        <v>435026.60631122178</v>
      </c>
      <c r="H89" s="103">
        <f t="shared" ca="1" si="43"/>
        <v>402435.78056271788</v>
      </c>
      <c r="I89" s="103">
        <f t="shared" ca="1" si="43"/>
        <v>372205.50527730654</v>
      </c>
      <c r="J89" s="103">
        <f t="shared" ca="1" si="43"/>
        <v>344335.78045498778</v>
      </c>
      <c r="K89" s="103">
        <f t="shared" ca="1" si="43"/>
        <v>339766.97310706665</v>
      </c>
      <c r="L89" s="103">
        <f t="shared" ca="1" si="43"/>
        <v>339690.82631793461</v>
      </c>
      <c r="M89" s="103">
        <f t="shared" ca="1" si="43"/>
        <v>339766.97310706665</v>
      </c>
      <c r="N89" s="103">
        <f t="shared" ca="1" si="43"/>
        <v>339690.82631793461</v>
      </c>
      <c r="O89" s="103">
        <f t="shared" ca="1" si="43"/>
        <v>339766.97310706665</v>
      </c>
      <c r="P89" s="103">
        <f t="shared" ca="1" si="43"/>
        <v>339690.82631793461</v>
      </c>
      <c r="Q89" s="103">
        <f t="shared" ca="1" si="43"/>
        <v>339766.97310706665</v>
      </c>
      <c r="R89" s="103">
        <f t="shared" ca="1" si="43"/>
        <v>339690.82631793461</v>
      </c>
      <c r="S89" s="103">
        <f t="shared" ca="1" si="43"/>
        <v>339766.97310706665</v>
      </c>
      <c r="T89" s="103">
        <f t="shared" ca="1" si="43"/>
        <v>339690.82631793461</v>
      </c>
      <c r="U89" s="103">
        <f t="shared" ca="1" si="43"/>
        <v>339766.97310706665</v>
      </c>
      <c r="V89" s="103">
        <f t="shared" ca="1" si="43"/>
        <v>339690.82631793461</v>
      </c>
      <c r="W89" s="104">
        <f t="shared" ca="1" si="43"/>
        <v>169883.48655353332</v>
      </c>
      <c r="X89" s="101">
        <f t="shared" ca="1" si="3"/>
        <v>7614678.9132018518</v>
      </c>
    </row>
    <row r="90" spans="1:24" ht="15" customHeight="1" x14ac:dyDescent="0.25">
      <c r="A90" s="69">
        <f>IF('Cash Flow Analysis'!C106="","",'Cash Flow Analysis'!C106)</f>
        <v>39</v>
      </c>
      <c r="B90" s="819">
        <f ca="1">IF(A90="","",IF(A90&lt;1,0,IF(A90=1,$B$44-'Cash Flow Analysis'!I106,-'Cash Flow Analysis'!I106)))</f>
        <v>7759357.8125526886</v>
      </c>
      <c r="C90" s="102">
        <f t="shared" ref="C90:W90" ca="1" si="44">IF($B$90="","",IF(AND($B$42="Straight Line",C48&lt;=depr_length),$B$90/depr_length,IF(AND($B$42="MACRS",C48&lt;=depr_length+1),$B$90*INDEX(MACRS_Table,MATCH(C48,recovery_year,0),MATCH($B$43,recovery_period,0)),"")))</f>
        <v>290975.9179707258</v>
      </c>
      <c r="D90" s="103">
        <f t="shared" ca="1" si="44"/>
        <v>560148.04048817861</v>
      </c>
      <c r="E90" s="103">
        <f t="shared" ca="1" si="44"/>
        <v>518092.321144143</v>
      </c>
      <c r="F90" s="103">
        <f t="shared" ca="1" si="44"/>
        <v>479295.53208137956</v>
      </c>
      <c r="G90" s="103">
        <f t="shared" ca="1" si="44"/>
        <v>443292.11183113512</v>
      </c>
      <c r="H90" s="103">
        <f t="shared" ca="1" si="44"/>
        <v>410082.06039340963</v>
      </c>
      <c r="I90" s="103">
        <f t="shared" ca="1" si="44"/>
        <v>379277.40987757541</v>
      </c>
      <c r="J90" s="103">
        <f t="shared" ca="1" si="44"/>
        <v>350878.16028363263</v>
      </c>
      <c r="K90" s="103">
        <f t="shared" ca="1" si="44"/>
        <v>346222.54559610097</v>
      </c>
      <c r="L90" s="103">
        <f t="shared" ca="1" si="44"/>
        <v>346144.95201797539</v>
      </c>
      <c r="M90" s="103">
        <f t="shared" ca="1" si="44"/>
        <v>346222.54559610097</v>
      </c>
      <c r="N90" s="103">
        <f t="shared" ca="1" si="44"/>
        <v>346144.95201797539</v>
      </c>
      <c r="O90" s="103">
        <f t="shared" ca="1" si="44"/>
        <v>346222.54559610097</v>
      </c>
      <c r="P90" s="103">
        <f t="shared" ca="1" si="44"/>
        <v>346144.95201797539</v>
      </c>
      <c r="Q90" s="103">
        <f t="shared" ca="1" si="44"/>
        <v>346222.54559610097</v>
      </c>
      <c r="R90" s="103">
        <f t="shared" ca="1" si="44"/>
        <v>346144.95201797539</v>
      </c>
      <c r="S90" s="103">
        <f t="shared" ca="1" si="44"/>
        <v>346222.54559610097</v>
      </c>
      <c r="T90" s="103">
        <f t="shared" ca="1" si="44"/>
        <v>346144.95201797539</v>
      </c>
      <c r="U90" s="103">
        <f t="shared" ca="1" si="44"/>
        <v>346222.54559610097</v>
      </c>
      <c r="V90" s="103">
        <f t="shared" ca="1" si="44"/>
        <v>346144.95201797539</v>
      </c>
      <c r="W90" s="104">
        <f t="shared" ca="1" si="44"/>
        <v>173111.27279805049</v>
      </c>
      <c r="X90" s="101">
        <f t="shared" ca="1" si="3"/>
        <v>7759357.8125526877</v>
      </c>
    </row>
    <row r="91" spans="1:24" ht="15" customHeight="1" x14ac:dyDescent="0.25">
      <c r="A91" s="69">
        <f>IF('Cash Flow Analysis'!C107="","",'Cash Flow Analysis'!C107)</f>
        <v>40</v>
      </c>
      <c r="B91" s="819">
        <f ca="1">IF(A91="","",IF(A91&lt;1,0,IF(A91=1,$B$44-'Cash Flow Analysis'!I107,-'Cash Flow Analysis'!I107)))</f>
        <v>7906785.6109911902</v>
      </c>
      <c r="C91" s="102">
        <f t="shared" ref="C91:W91" ca="1" si="45">IF($B$91="","",IF(AND($B$42="Straight Line",C48&lt;=depr_length),$B$91/depr_length,IF(AND($B$42="MACRS",C48&lt;=depr_length+1),$B$91*INDEX(MACRS_Table,MATCH(C48,recovery_year,0),MATCH($B$43,recovery_period,0)),"")))</f>
        <v>296504.46041216963</v>
      </c>
      <c r="D91" s="103">
        <f t="shared" ca="1" si="45"/>
        <v>570790.853257454</v>
      </c>
      <c r="E91" s="103">
        <f t="shared" ca="1" si="45"/>
        <v>527936.07524588169</v>
      </c>
      <c r="F91" s="103">
        <f t="shared" ca="1" si="45"/>
        <v>488402.14719092578</v>
      </c>
      <c r="G91" s="103">
        <f t="shared" ca="1" si="45"/>
        <v>451714.66195592668</v>
      </c>
      <c r="H91" s="103">
        <f t="shared" ca="1" si="45"/>
        <v>417873.61954088439</v>
      </c>
      <c r="I91" s="103">
        <f t="shared" ca="1" si="45"/>
        <v>386483.68066524935</v>
      </c>
      <c r="J91" s="103">
        <f t="shared" ca="1" si="45"/>
        <v>357544.84532902163</v>
      </c>
      <c r="K91" s="103">
        <f t="shared" ca="1" si="45"/>
        <v>352800.77396242693</v>
      </c>
      <c r="L91" s="103">
        <f t="shared" ca="1" si="45"/>
        <v>352721.706106317</v>
      </c>
      <c r="M91" s="103">
        <f t="shared" ca="1" si="45"/>
        <v>352800.77396242693</v>
      </c>
      <c r="N91" s="103">
        <f t="shared" ca="1" si="45"/>
        <v>352721.706106317</v>
      </c>
      <c r="O91" s="103">
        <f t="shared" ca="1" si="45"/>
        <v>352800.77396242693</v>
      </c>
      <c r="P91" s="103">
        <f t="shared" ca="1" si="45"/>
        <v>352721.706106317</v>
      </c>
      <c r="Q91" s="103">
        <f t="shared" ca="1" si="45"/>
        <v>352800.77396242693</v>
      </c>
      <c r="R91" s="103">
        <f t="shared" ca="1" si="45"/>
        <v>352721.706106317</v>
      </c>
      <c r="S91" s="103">
        <f t="shared" ca="1" si="45"/>
        <v>352800.77396242693</v>
      </c>
      <c r="T91" s="103">
        <f t="shared" ca="1" si="45"/>
        <v>352721.706106317</v>
      </c>
      <c r="U91" s="103">
        <f t="shared" ca="1" si="45"/>
        <v>352800.77396242693</v>
      </c>
      <c r="V91" s="103">
        <f t="shared" ca="1" si="45"/>
        <v>352721.706106317</v>
      </c>
      <c r="W91" s="104">
        <f t="shared" ca="1" si="45"/>
        <v>176400.38698121347</v>
      </c>
      <c r="X91" s="101">
        <f t="shared" ca="1" si="3"/>
        <v>7906785.6109911911</v>
      </c>
    </row>
    <row r="92" spans="1:24" ht="15" customHeight="1" thickBot="1" x14ac:dyDescent="0.3">
      <c r="A92" s="73" t="str">
        <f>IF('Cash Flow Analysis'!C108="","",'Cash Flow Analysis'!C108)</f>
        <v/>
      </c>
      <c r="B92" s="819" t="str">
        <f>IF(A92="","",IF(A92&lt;1,0,IF(A92=1,$B$44-'Cash Flow Analysis'!I108,-'Cash Flow Analysis'!I108)))</f>
        <v/>
      </c>
      <c r="C92" s="105" t="str">
        <f t="shared" ref="C92:W92" si="46">IF($B$92="","",IF(AND($B$42="Straight Line",C48&lt;=depr_length),$B$92/depr_length,IF(AND($B$42="MACRS",C48&lt;=depr_length+1),$B$92*INDEX(MACRS_Table,MATCH(C48,recovery_year,0),MATCH($B$43,recovery_period,0)),"")))</f>
        <v/>
      </c>
      <c r="D92" s="106" t="str">
        <f t="shared" si="46"/>
        <v/>
      </c>
      <c r="E92" s="106" t="str">
        <f t="shared" si="46"/>
        <v/>
      </c>
      <c r="F92" s="106" t="str">
        <f t="shared" si="46"/>
        <v/>
      </c>
      <c r="G92" s="106" t="str">
        <f t="shared" si="46"/>
        <v/>
      </c>
      <c r="H92" s="106" t="str">
        <f t="shared" si="46"/>
        <v/>
      </c>
      <c r="I92" s="106" t="str">
        <f t="shared" si="46"/>
        <v/>
      </c>
      <c r="J92" s="106" t="str">
        <f t="shared" si="46"/>
        <v/>
      </c>
      <c r="K92" s="106" t="str">
        <f t="shared" si="46"/>
        <v/>
      </c>
      <c r="L92" s="106" t="str">
        <f t="shared" si="46"/>
        <v/>
      </c>
      <c r="M92" s="106" t="str">
        <f t="shared" si="46"/>
        <v/>
      </c>
      <c r="N92" s="106" t="str">
        <f t="shared" si="46"/>
        <v/>
      </c>
      <c r="O92" s="106" t="str">
        <f t="shared" si="46"/>
        <v/>
      </c>
      <c r="P92" s="106" t="str">
        <f t="shared" si="46"/>
        <v/>
      </c>
      <c r="Q92" s="106" t="str">
        <f t="shared" si="46"/>
        <v/>
      </c>
      <c r="R92" s="106" t="str">
        <f t="shared" si="46"/>
        <v/>
      </c>
      <c r="S92" s="106" t="str">
        <f t="shared" si="46"/>
        <v/>
      </c>
      <c r="T92" s="106" t="str">
        <f t="shared" si="46"/>
        <v/>
      </c>
      <c r="U92" s="106" t="str">
        <f t="shared" si="46"/>
        <v/>
      </c>
      <c r="V92" s="106" t="str">
        <f t="shared" si="46"/>
        <v/>
      </c>
      <c r="W92" s="91" t="str">
        <f t="shared" si="46"/>
        <v/>
      </c>
      <c r="X92" s="107">
        <f t="shared" si="3"/>
        <v>0</v>
      </c>
    </row>
    <row r="93" spans="1:24" ht="15" customHeight="1" thickTop="1" x14ac:dyDescent="0.25">
      <c r="B93" s="108"/>
      <c r="C93" s="108"/>
      <c r="D93" s="108"/>
      <c r="E93" s="108"/>
      <c r="F93" s="108"/>
      <c r="G93" s="108"/>
      <c r="H93" s="108"/>
      <c r="I93" s="108"/>
      <c r="J93" s="108"/>
      <c r="K93" s="108"/>
      <c r="L93" s="108"/>
      <c r="M93" s="108"/>
      <c r="N93" s="108"/>
      <c r="O93" s="108"/>
      <c r="P93" s="108"/>
      <c r="Q93" s="108"/>
      <c r="R93" s="108"/>
      <c r="S93" s="108"/>
      <c r="T93" s="108"/>
      <c r="U93" s="108"/>
      <c r="V93" s="108"/>
      <c r="W93" s="108"/>
      <c r="X93" s="108"/>
    </row>
    <row r="94" spans="1:24" ht="15" customHeight="1" thickBot="1" x14ac:dyDescent="0.3">
      <c r="B94" s="108"/>
      <c r="C94" s="108"/>
      <c r="D94" s="108"/>
      <c r="E94" s="108"/>
      <c r="F94" s="108"/>
      <c r="G94" s="108"/>
      <c r="H94" s="108"/>
      <c r="I94" s="108"/>
      <c r="J94" s="108"/>
      <c r="K94" s="108"/>
      <c r="L94" s="108"/>
      <c r="M94" s="108"/>
      <c r="N94" s="108"/>
      <c r="O94" s="108"/>
      <c r="P94" s="108"/>
      <c r="Q94" s="108"/>
      <c r="R94" s="108"/>
      <c r="S94" s="108"/>
      <c r="T94" s="108"/>
      <c r="U94" s="108"/>
      <c r="V94" s="108"/>
      <c r="W94" s="108"/>
      <c r="X94" s="108"/>
    </row>
    <row r="95" spans="1:24" ht="30.75" customHeight="1" thickTop="1" thickBot="1" x14ac:dyDescent="0.35">
      <c r="A95" s="92" t="s">
        <v>56</v>
      </c>
      <c r="B95" s="58"/>
      <c r="C95" s="59"/>
    </row>
    <row r="96" spans="1:24" ht="31.2" customHeight="1" thickTop="1" x14ac:dyDescent="0.25">
      <c r="A96" s="109" t="s">
        <v>53</v>
      </c>
      <c r="B96" s="110" t="s">
        <v>57</v>
      </c>
      <c r="C96" s="111" t="s">
        <v>58</v>
      </c>
    </row>
    <row r="97" spans="1:3" ht="15" customHeight="1" x14ac:dyDescent="0.25">
      <c r="A97" s="88">
        <f>IF('Cash Flow Analysis'!C65="","",'Cash Flow Analysis'!C65)</f>
        <v>-3</v>
      </c>
      <c r="B97" s="103">
        <f>C49</f>
        <v>0</v>
      </c>
      <c r="C97" s="112">
        <f t="shared" ref="C97:C140" si="47">IF(A97="",B97,0)</f>
        <v>0</v>
      </c>
    </row>
    <row r="98" spans="1:3" ht="15" customHeight="1" x14ac:dyDescent="0.25">
      <c r="A98" s="88">
        <f>IF('Cash Flow Analysis'!C66="","",'Cash Flow Analysis'!C66)</f>
        <v>-2</v>
      </c>
      <c r="B98" s="103">
        <f>SUM(D49,C50)</f>
        <v>0</v>
      </c>
      <c r="C98" s="112">
        <f t="shared" si="47"/>
        <v>0</v>
      </c>
    </row>
    <row r="99" spans="1:3" ht="15" customHeight="1" x14ac:dyDescent="0.25">
      <c r="A99" s="88">
        <f>IF('Cash Flow Analysis'!C67="","",'Cash Flow Analysis'!C67)</f>
        <v>-1</v>
      </c>
      <c r="B99" s="103">
        <f>SUM(E49,D50,C51)</f>
        <v>0</v>
      </c>
      <c r="C99" s="112">
        <f t="shared" si="47"/>
        <v>0</v>
      </c>
    </row>
    <row r="100" spans="1:3" ht="15" customHeight="1" x14ac:dyDescent="0.25">
      <c r="A100" s="88">
        <f>IF('Cash Flow Analysis'!C68="","",'Cash Flow Analysis'!C68)</f>
        <v>1</v>
      </c>
      <c r="B100" s="103">
        <f ca="1">SUM(F49,E50,D51,C52)</f>
        <v>27041890.81622244</v>
      </c>
      <c r="C100" s="112">
        <f t="shared" si="47"/>
        <v>0</v>
      </c>
    </row>
    <row r="101" spans="1:3" ht="15" customHeight="1" x14ac:dyDescent="0.25">
      <c r="A101" s="88">
        <f>IF('Cash Flow Analysis'!C69="","",'Cash Flow Analysis'!C69)</f>
        <v>2</v>
      </c>
      <c r="B101" s="103">
        <f ca="1">SUM(G49,F50,E51,D52,C53)</f>
        <v>52202457.384156503</v>
      </c>
      <c r="C101" s="112">
        <f t="shared" si="47"/>
        <v>0</v>
      </c>
    </row>
    <row r="102" spans="1:3" ht="15" customHeight="1" x14ac:dyDescent="0.25">
      <c r="A102" s="88">
        <f>IF('Cash Flow Analysis'!C70="","",'Cash Flow Analysis'!C70)</f>
        <v>3</v>
      </c>
      <c r="B102" s="103">
        <f ca="1">SUM(H49,G50,F51,E52,D53,C54)</f>
        <v>48575921.14578601</v>
      </c>
      <c r="C102" s="112">
        <f t="shared" si="47"/>
        <v>0</v>
      </c>
    </row>
    <row r="103" spans="1:3" ht="15" customHeight="1" x14ac:dyDescent="0.25">
      <c r="A103" s="88">
        <f>IF('Cash Flow Analysis'!C71="","",'Cash Flow Analysis'!C71)</f>
        <v>4</v>
      </c>
      <c r="B103" s="103">
        <f ca="1">SUM(I49,H50,G51,F52,E53,D54,C55)</f>
        <v>45236651.065674335</v>
      </c>
      <c r="C103" s="112">
        <f t="shared" si="47"/>
        <v>0</v>
      </c>
    </row>
    <row r="104" spans="1:3" ht="15" customHeight="1" x14ac:dyDescent="0.25">
      <c r="A104" s="88">
        <f>IF('Cash Flow Analysis'!C72="","",'Cash Flow Analysis'!C72)</f>
        <v>5</v>
      </c>
      <c r="B104" s="103">
        <f ca="1">SUM(J49,I50,H51,G52,F53,E54,D55,C56)</f>
        <v>42142707.82658308</v>
      </c>
      <c r="C104" s="112">
        <f t="shared" si="47"/>
        <v>0</v>
      </c>
    </row>
    <row r="105" spans="1:3" ht="15" customHeight="1" x14ac:dyDescent="0.25">
      <c r="A105" s="88">
        <f>IF('Cash Flow Analysis'!C73="","",'Cash Flow Analysis'!C73)</f>
        <v>6</v>
      </c>
      <c r="B105" s="103">
        <f ca="1">SUM(K49,J50,I51,H52,G53,F54,E55,D56,C57)</f>
        <v>39295212.339400731</v>
      </c>
      <c r="C105" s="112">
        <f t="shared" si="47"/>
        <v>0</v>
      </c>
    </row>
    <row r="106" spans="1:3" ht="15" customHeight="1" x14ac:dyDescent="0.25">
      <c r="A106" s="88">
        <f>IF('Cash Flow Analysis'!C74="","",'Cash Flow Analysis'!C74)</f>
        <v>7</v>
      </c>
      <c r="B106" s="103">
        <f ca="1">SUM(L49,K50,J51,I52,H53,G54,F55,E56,D57,C58)</f>
        <v>36659250.957901038</v>
      </c>
      <c r="C106" s="112">
        <f t="shared" si="47"/>
        <v>0</v>
      </c>
    </row>
    <row r="107" spans="1:3" ht="15" customHeight="1" x14ac:dyDescent="0.25">
      <c r="A107" s="88">
        <f>IF('Cash Flow Analysis'!C75="","",'Cash Flow Analysis'!C75)</f>
        <v>8</v>
      </c>
      <c r="B107" s="103">
        <f ca="1">SUM(M49,L50,K51,J52,I53,H54,G55,F56,E57,D58,C59)</f>
        <v>34235794.239208177</v>
      </c>
      <c r="C107" s="112">
        <f t="shared" si="47"/>
        <v>0</v>
      </c>
    </row>
    <row r="108" spans="1:3" ht="15" customHeight="1" x14ac:dyDescent="0.25">
      <c r="A108" s="88">
        <f>IF('Cash Flow Analysis'!C76="","",'Cash Flow Analysis'!C76)</f>
        <v>9</v>
      </c>
      <c r="B108" s="103">
        <f ca="1">SUM(N49,M50,L51,K52,J53,I54,H55,G56,F57,E58,D59,C60)</f>
        <v>34008903.174221262</v>
      </c>
      <c r="C108" s="112">
        <f t="shared" si="47"/>
        <v>0</v>
      </c>
    </row>
    <row r="109" spans="1:3" ht="15" customHeight="1" x14ac:dyDescent="0.25">
      <c r="A109" s="88">
        <f>IF('Cash Flow Analysis'!C77="","",'Cash Flow Analysis'!C77)</f>
        <v>10</v>
      </c>
      <c r="B109" s="103">
        <f ca="1">SUM(O49,N50,M51,L52,K53,J54,I55,H56,G57,F58,E59,D60,C61)</f>
        <v>34209060.759659648</v>
      </c>
      <c r="C109" s="112">
        <f t="shared" si="47"/>
        <v>0</v>
      </c>
    </row>
    <row r="110" spans="1:3" ht="15" customHeight="1" x14ac:dyDescent="0.25">
      <c r="A110" s="88">
        <f>IF('Cash Flow Analysis'!C78="","",'Cash Flow Analysis'!C78)</f>
        <v>11</v>
      </c>
      <c r="B110" s="103">
        <f ca="1">SUM(P49,O50,N51,M52,L53,K54,J55,I56,H57,G58,F59,E60,D61,C62)</f>
        <v>34427542.022631444</v>
      </c>
      <c r="C110" s="112">
        <f t="shared" si="47"/>
        <v>0</v>
      </c>
    </row>
    <row r="111" spans="1:3" ht="15" customHeight="1" x14ac:dyDescent="0.25">
      <c r="A111" s="88">
        <f>IF('Cash Flow Analysis'!C79="","",'Cash Flow Analysis'!C79)</f>
        <v>12</v>
      </c>
      <c r="B111" s="103">
        <f ca="1">SUM(Q49,P50,O51,N52,M53,L54,K55,J56,I57,H58,G59,F60,E61,D62,C63)</f>
        <v>34635653.746189617</v>
      </c>
      <c r="C111" s="112">
        <f t="shared" si="47"/>
        <v>0</v>
      </c>
    </row>
    <row r="112" spans="1:3" ht="15" customHeight="1" x14ac:dyDescent="0.25">
      <c r="A112" s="88">
        <f>IF('Cash Flow Analysis'!C80="","",'Cash Flow Analysis'!C80)</f>
        <v>13</v>
      </c>
      <c r="B112" s="103">
        <f ca="1">SUM(R49,Q50,P51,O52,N53,M54,L55,K56,J57,I58,H59,G60,F61,E62,D63,C64)</f>
        <v>34862240.275905482</v>
      </c>
      <c r="C112" s="112">
        <f t="shared" si="47"/>
        <v>0</v>
      </c>
    </row>
    <row r="113" spans="1:3" ht="15" customHeight="1" x14ac:dyDescent="0.25">
      <c r="A113" s="88">
        <f>IF('Cash Flow Analysis'!C81="","",'Cash Flow Analysis'!C81)</f>
        <v>14</v>
      </c>
      <c r="B113" s="103">
        <f ca="1">SUM(S49,R50,Q51,P52,O53,N54,M55,L56,K57,J58,I59,H60,G61,F62,E63,D64,C65)</f>
        <v>35078611.266275875</v>
      </c>
      <c r="C113" s="112">
        <f t="shared" si="47"/>
        <v>0</v>
      </c>
    </row>
    <row r="114" spans="1:3" ht="15" customHeight="1" x14ac:dyDescent="0.25">
      <c r="A114" s="88">
        <f>IF('Cash Flow Analysis'!C82="","",'Cash Flow Analysis'!C82)</f>
        <v>15</v>
      </c>
      <c r="B114" s="103">
        <f ca="1">SUM(T49,S50,R51,Q52,P53,O54,N55,M56,L57,K58,J59,I60,H61,G62,F63,E64,D65,C66)</f>
        <v>35313613.98887337</v>
      </c>
      <c r="C114" s="112">
        <f t="shared" si="47"/>
        <v>0</v>
      </c>
    </row>
    <row r="115" spans="1:3" ht="15" customHeight="1" x14ac:dyDescent="0.25">
      <c r="A115" s="88">
        <f>IF('Cash Flow Analysis'!C83="","",'Cash Flow Analysis'!C83)</f>
        <v>16</v>
      </c>
      <c r="B115" s="103">
        <f ca="1">SUM(U49,T50,S51,R52,Q53,P54,O55,N56,M57,L58,K59,J60,I61,H62,G63,F64,E65,D66,C67)</f>
        <v>35538561.079790153</v>
      </c>
      <c r="C115" s="112">
        <f t="shared" si="47"/>
        <v>0</v>
      </c>
    </row>
    <row r="116" spans="1:3" ht="15" customHeight="1" x14ac:dyDescent="0.25">
      <c r="A116" s="88">
        <f>IF('Cash Flow Analysis'!C84="","",'Cash Flow Analysis'!C84)</f>
        <v>17</v>
      </c>
      <c r="B116" s="103">
        <f ca="1">SUM(V49,U50,T51,S52,R53,Q54,P55,O56,N57,M58,L59,K60,J61,I62,H63,G64,F65,E66,D67,C68)</f>
        <v>35782302.848844409</v>
      </c>
      <c r="C116" s="112">
        <f t="shared" si="47"/>
        <v>0</v>
      </c>
    </row>
    <row r="117" spans="1:3" ht="15" customHeight="1" x14ac:dyDescent="0.25">
      <c r="A117" s="88">
        <f>IF('Cash Flow Analysis'!C85="","",'Cash Flow Analysis'!C85)</f>
        <v>18</v>
      </c>
      <c r="B117" s="103">
        <f t="shared" ref="B117:B140" ca="1" si="48">SUM(W49,V50,U51,T52,S53,R54,Q55,P56,O57,N58,M59,L60,K61,J62,I63,H64,G65,F66,E67,D68,C69)</f>
        <v>36016155.02810064</v>
      </c>
      <c r="C117" s="112">
        <f t="shared" si="47"/>
        <v>0</v>
      </c>
    </row>
    <row r="118" spans="1:3" ht="15" customHeight="1" x14ac:dyDescent="0.25">
      <c r="A118" s="88">
        <f>IF('Cash Flow Analysis'!C86="","",'Cash Flow Analysis'!C86)</f>
        <v>19</v>
      </c>
      <c r="B118" s="103">
        <f t="shared" ca="1" si="48"/>
        <v>36268971.082172811</v>
      </c>
      <c r="C118" s="112">
        <f t="shared" si="47"/>
        <v>0</v>
      </c>
    </row>
    <row r="119" spans="1:3" ht="15" customHeight="1" x14ac:dyDescent="0.25">
      <c r="A119" s="88">
        <f>IF('Cash Flow Analysis'!C87="","",'Cash Flow Analysis'!C87)</f>
        <v>20</v>
      </c>
      <c r="B119" s="103">
        <f t="shared" ca="1" si="48"/>
        <v>36512069.957862251</v>
      </c>
      <c r="C119" s="112">
        <f t="shared" si="47"/>
        <v>0</v>
      </c>
    </row>
    <row r="120" spans="1:3" ht="15" customHeight="1" x14ac:dyDescent="0.25">
      <c r="A120" s="88">
        <f>IF('Cash Flow Analysis'!C88="","",'Cash Flow Analysis'!C88)</f>
        <v>21</v>
      </c>
      <c r="B120" s="103">
        <f t="shared" ca="1" si="48"/>
        <v>20686186.152668633</v>
      </c>
      <c r="C120" s="112">
        <f t="shared" si="47"/>
        <v>0</v>
      </c>
    </row>
    <row r="121" spans="1:3" ht="15" customHeight="1" x14ac:dyDescent="0.25">
      <c r="A121" s="88">
        <f>IF('Cash Flow Analysis'!C89="","",'Cash Flow Analysis'!C89)</f>
        <v>22</v>
      </c>
      <c r="B121" s="103">
        <f t="shared" ca="1" si="48"/>
        <v>4771701.2446443224</v>
      </c>
      <c r="C121" s="112">
        <f t="shared" si="47"/>
        <v>0</v>
      </c>
    </row>
    <row r="122" spans="1:3" ht="15" customHeight="1" x14ac:dyDescent="0.25">
      <c r="A122" s="88">
        <f>IF('Cash Flow Analysis'!C90="","",'Cash Flow Analysis'!C90)</f>
        <v>23</v>
      </c>
      <c r="B122" s="103">
        <f t="shared" ca="1" si="48"/>
        <v>4862363.5682925656</v>
      </c>
      <c r="C122" s="112">
        <f t="shared" si="47"/>
        <v>0</v>
      </c>
    </row>
    <row r="123" spans="1:3" ht="15" customHeight="1" x14ac:dyDescent="0.25">
      <c r="A123" s="88">
        <f>IF('Cash Flow Analysis'!C91="","",'Cash Flow Analysis'!C91)</f>
        <v>24</v>
      </c>
      <c r="B123" s="103">
        <f t="shared" ca="1" si="48"/>
        <v>4954748.4760901239</v>
      </c>
      <c r="C123" s="112">
        <f t="shared" si="47"/>
        <v>0</v>
      </c>
    </row>
    <row r="124" spans="1:3" ht="15" customHeight="1" x14ac:dyDescent="0.25">
      <c r="A124" s="88">
        <f>IF('Cash Flow Analysis'!C92="","",'Cash Flow Analysis'!C92)</f>
        <v>25</v>
      </c>
      <c r="B124" s="103">
        <f t="shared" ca="1" si="48"/>
        <v>5048888.6971358359</v>
      </c>
      <c r="C124" s="112">
        <f t="shared" si="47"/>
        <v>0</v>
      </c>
    </row>
    <row r="125" spans="1:3" ht="15" customHeight="1" x14ac:dyDescent="0.25">
      <c r="A125" s="88">
        <f>IF('Cash Flow Analysis'!C93="","",'Cash Flow Analysis'!C93)</f>
        <v>26</v>
      </c>
      <c r="B125" s="103">
        <f t="shared" ca="1" si="48"/>
        <v>5144817.5823814152</v>
      </c>
      <c r="C125" s="112">
        <f t="shared" si="47"/>
        <v>0</v>
      </c>
    </row>
    <row r="126" spans="1:3" ht="15" customHeight="1" x14ac:dyDescent="0.25">
      <c r="A126" s="88">
        <f>IF('Cash Flow Analysis'!C94="","",'Cash Flow Analysis'!C94)</f>
        <v>27</v>
      </c>
      <c r="B126" s="103">
        <f t="shared" ca="1" si="48"/>
        <v>5242569.1164466636</v>
      </c>
      <c r="C126" s="112">
        <f t="shared" si="47"/>
        <v>0</v>
      </c>
    </row>
    <row r="127" spans="1:3" ht="15" customHeight="1" x14ac:dyDescent="0.25">
      <c r="A127" s="88">
        <f>IF('Cash Flow Analysis'!C95="","",'Cash Flow Analysis'!C95)</f>
        <v>28</v>
      </c>
      <c r="B127" s="103">
        <f t="shared" ca="1" si="48"/>
        <v>5342177.9296591505</v>
      </c>
      <c r="C127" s="112">
        <f t="shared" si="47"/>
        <v>0</v>
      </c>
    </row>
    <row r="128" spans="1:3" ht="15" customHeight="1" x14ac:dyDescent="0.25">
      <c r="A128" s="88">
        <f>IF('Cash Flow Analysis'!C96="","",'Cash Flow Analysis'!C96)</f>
        <v>29</v>
      </c>
      <c r="B128" s="103">
        <f t="shared" ca="1" si="48"/>
        <v>5443679.310322674</v>
      </c>
      <c r="C128" s="112">
        <f t="shared" si="47"/>
        <v>0</v>
      </c>
    </row>
    <row r="129" spans="1:3" ht="15" customHeight="1" x14ac:dyDescent="0.25">
      <c r="A129" s="88">
        <f>IF('Cash Flow Analysis'!C97="","",'Cash Flow Analysis'!C97)</f>
        <v>30</v>
      </c>
      <c r="B129" s="103">
        <f t="shared" ca="1" si="48"/>
        <v>5547109.2172188032</v>
      </c>
      <c r="C129" s="112">
        <f t="shared" si="47"/>
        <v>0</v>
      </c>
    </row>
    <row r="130" spans="1:3" ht="15" customHeight="1" x14ac:dyDescent="0.25">
      <c r="A130" s="88">
        <f>IF('Cash Flow Analysis'!C98="","",'Cash Flow Analysis'!C98)</f>
        <v>31</v>
      </c>
      <c r="B130" s="103">
        <f t="shared" ca="1" si="48"/>
        <v>5652504.2923459625</v>
      </c>
      <c r="C130" s="112">
        <f t="shared" si="47"/>
        <v>0</v>
      </c>
    </row>
    <row r="131" spans="1:3" ht="15" customHeight="1" x14ac:dyDescent="0.25">
      <c r="A131" s="88">
        <f>IF('Cash Flow Analysis'!C99="","",'Cash Flow Analysis'!C99)</f>
        <v>32</v>
      </c>
      <c r="B131" s="103">
        <f t="shared" ca="1" si="48"/>
        <v>5759901.8739005327</v>
      </c>
      <c r="C131" s="112">
        <f t="shared" si="47"/>
        <v>0</v>
      </c>
    </row>
    <row r="132" spans="1:3" ht="15" customHeight="1" x14ac:dyDescent="0.25">
      <c r="A132" s="88">
        <f>IF('Cash Flow Analysis'!C100="","",'Cash Flow Analysis'!C100)</f>
        <v>33</v>
      </c>
      <c r="B132" s="103">
        <f t="shared" ca="1" si="48"/>
        <v>5869340.0095046451</v>
      </c>
      <c r="C132" s="112">
        <f t="shared" si="47"/>
        <v>0</v>
      </c>
    </row>
    <row r="133" spans="1:3" ht="15" customHeight="1" x14ac:dyDescent="0.25">
      <c r="A133" s="88">
        <f>IF('Cash Flow Analysis'!C101="","",'Cash Flow Analysis'!C101)</f>
        <v>34</v>
      </c>
      <c r="B133" s="103">
        <f t="shared" ca="1" si="48"/>
        <v>5980857.4696852323</v>
      </c>
      <c r="C133" s="112">
        <f t="shared" si="47"/>
        <v>0</v>
      </c>
    </row>
    <row r="134" spans="1:3" ht="15" customHeight="1" x14ac:dyDescent="0.25">
      <c r="A134" s="88">
        <f>IF('Cash Flow Analysis'!C102="","",'Cash Flow Analysis'!C102)</f>
        <v>35</v>
      </c>
      <c r="B134" s="103">
        <f t="shared" ca="1" si="48"/>
        <v>6094493.7616092516</v>
      </c>
      <c r="C134" s="112">
        <f t="shared" si="47"/>
        <v>0</v>
      </c>
    </row>
    <row r="135" spans="1:3" ht="15" customHeight="1" x14ac:dyDescent="0.25">
      <c r="A135" s="88">
        <f>IF('Cash Flow Analysis'!C103="","",'Cash Flow Analysis'!C103)</f>
        <v>36</v>
      </c>
      <c r="B135" s="103">
        <f t="shared" ca="1" si="48"/>
        <v>6210289.1430798266</v>
      </c>
      <c r="C135" s="112">
        <f t="shared" si="47"/>
        <v>0</v>
      </c>
    </row>
    <row r="136" spans="1:3" ht="15" customHeight="1" x14ac:dyDescent="0.25">
      <c r="A136" s="88">
        <f>IF('Cash Flow Analysis'!C104="","",'Cash Flow Analysis'!C104)</f>
        <v>37</v>
      </c>
      <c r="B136" s="103">
        <f t="shared" ca="1" si="48"/>
        <v>6328284.6367983427</v>
      </c>
      <c r="C136" s="112">
        <f t="shared" si="47"/>
        <v>0</v>
      </c>
    </row>
    <row r="137" spans="1:3" ht="15" customHeight="1" x14ac:dyDescent="0.25">
      <c r="A137" s="88">
        <f>IF('Cash Flow Analysis'!C105="","",'Cash Flow Analysis'!C105)</f>
        <v>38</v>
      </c>
      <c r="B137" s="103">
        <f t="shared" ca="1" si="48"/>
        <v>6448522.0448975116</v>
      </c>
      <c r="C137" s="112">
        <f t="shared" si="47"/>
        <v>0</v>
      </c>
    </row>
    <row r="138" spans="1:3" ht="15" customHeight="1" x14ac:dyDescent="0.25">
      <c r="A138" s="88">
        <f>IF('Cash Flow Analysis'!C106="","",'Cash Flow Analysis'!C106)</f>
        <v>39</v>
      </c>
      <c r="B138" s="103">
        <f t="shared" ca="1" si="48"/>
        <v>6571043.9637505636</v>
      </c>
      <c r="C138" s="112">
        <f t="shared" si="47"/>
        <v>0</v>
      </c>
    </row>
    <row r="139" spans="1:3" ht="15" customHeight="1" x14ac:dyDescent="0.25">
      <c r="A139" s="88">
        <f>IF('Cash Flow Analysis'!C107="","",'Cash Flow Analysis'!C107)</f>
        <v>40</v>
      </c>
      <c r="B139" s="103">
        <f t="shared" ca="1" si="48"/>
        <v>6695893.7990618236</v>
      </c>
      <c r="C139" s="112">
        <f t="shared" si="47"/>
        <v>0</v>
      </c>
    </row>
    <row r="140" spans="1:3" ht="15" customHeight="1" thickBot="1" x14ac:dyDescent="0.3">
      <c r="A140" s="113" t="str">
        <f>IF('Cash Flow Analysis'!C108="","",'Cash Flow Analysis'!C108)</f>
        <v/>
      </c>
      <c r="B140" s="114">
        <f t="shared" ca="1" si="48"/>
        <v>6520977.7360839983</v>
      </c>
      <c r="C140" s="115">
        <f t="shared" ca="1" si="47"/>
        <v>6520977.7360839983</v>
      </c>
    </row>
    <row r="141" spans="1:3" ht="15" customHeight="1" thickTop="1" thickBot="1" x14ac:dyDescent="0.3">
      <c r="A141" s="116" t="s">
        <v>59</v>
      </c>
      <c r="B141" s="117">
        <f ca="1">SUM(B97:B140)</f>
        <v>883219921.03103685</v>
      </c>
      <c r="C141" s="118">
        <f ca="1">SUM(C97:C140)</f>
        <v>6520977.7360839983</v>
      </c>
    </row>
    <row r="142" spans="1:3" ht="15" customHeight="1" thickTop="1" x14ac:dyDescent="0.25">
      <c r="A142" s="1"/>
      <c r="B142" s="119"/>
      <c r="C142" s="120"/>
    </row>
    <row r="143" spans="1:3" ht="15" customHeight="1" thickBot="1" x14ac:dyDescent="0.3">
      <c r="A143" t="str">
        <f>IF('Cash Flow Analysis'!C109="","",'Cash Flow Analysis'!C109)</f>
        <v/>
      </c>
      <c r="B143" s="108"/>
    </row>
    <row r="144" spans="1:3" ht="31.5" customHeight="1" thickTop="1" x14ac:dyDescent="0.3">
      <c r="A144" s="1573" t="s">
        <v>60</v>
      </c>
      <c r="B144" s="1574"/>
    </row>
    <row r="145" spans="1:2" ht="16.5" customHeight="1" thickBot="1" x14ac:dyDescent="0.3">
      <c r="A145" s="121" t="s">
        <v>61</v>
      </c>
      <c r="B145" s="122" t="s">
        <v>57</v>
      </c>
    </row>
    <row r="146" spans="1:2" ht="15" customHeight="1" thickTop="1" x14ac:dyDescent="0.25">
      <c r="A146" s="123">
        <v>1</v>
      </c>
      <c r="B146" s="99">
        <f ca="1">SUM(D92,E91,F90,G89,H88,I87,J86,K85,L84,M83,N82,O81,P80,Q79,R78,S77,T76,U75,V74,W73)</f>
        <v>6063240.4336002478</v>
      </c>
    </row>
    <row r="147" spans="1:2" ht="15" customHeight="1" x14ac:dyDescent="0.25">
      <c r="A147" s="88">
        <v>2</v>
      </c>
      <c r="B147" s="104">
        <f ca="1">SUM(E92,F91,G90,H89,I88,J87,K86,L85,M84,N83,O82,P81,Q80,R79,S78,T77,U76,V75,W74)</f>
        <v>5640475.1411630986</v>
      </c>
    </row>
    <row r="148" spans="1:2" ht="15" customHeight="1" x14ac:dyDescent="0.25">
      <c r="A148" s="88">
        <v>3</v>
      </c>
      <c r="B148" s="104">
        <f ca="1">SUM(F92,G91,H90,I89,J88,K87,L86,M85,N84,O83,P82,Q81,R80,S79,T78,U77,V76,W75)</f>
        <v>5249962.3808576437</v>
      </c>
    </row>
    <row r="149" spans="1:2" ht="15" customHeight="1" x14ac:dyDescent="0.25">
      <c r="A149" s="88">
        <v>4</v>
      </c>
      <c r="B149" s="104">
        <f ca="1">SUM(G92,H91,I90,J89,K88,L87,M86,N85,O84,P83,Q82,R81,S80,T79,U78,V77,W76)</f>
        <v>4889414.4255608507</v>
      </c>
    </row>
    <row r="150" spans="1:2" ht="15" customHeight="1" x14ac:dyDescent="0.25">
      <c r="A150" s="88">
        <v>5</v>
      </c>
      <c r="B150" s="104">
        <f ca="1">SUM(H92,I91,J90,K89,L88,M87,N86,O85,P84,Q83,R82,S81,T80,U79,V78,W77)</f>
        <v>4556500.081334346</v>
      </c>
    </row>
    <row r="151" spans="1:2" ht="15" customHeight="1" x14ac:dyDescent="0.25">
      <c r="A151" s="88">
        <v>6</v>
      </c>
      <c r="B151" s="104">
        <f ca="1">SUM(I92,J91,K90,L89,M88,N87,O86,P85,Q84,R83,S82,T81,U80,V79,W78)</f>
        <v>4249246.7122818092</v>
      </c>
    </row>
    <row r="152" spans="1:2" ht="15" customHeight="1" x14ac:dyDescent="0.25">
      <c r="A152" s="88">
        <v>7</v>
      </c>
      <c r="B152" s="104">
        <f ca="1">SUM(J92,K91,L90,M89,N88,O87,P86,Q85,R84,S83,T82,U81,V80,W79)</f>
        <v>3965644.2024248894</v>
      </c>
    </row>
    <row r="153" spans="1:2" ht="15" customHeight="1" x14ac:dyDescent="0.25">
      <c r="A153" s="88">
        <v>8</v>
      </c>
      <c r="B153" s="104">
        <f ca="1">SUM(K92,L91,M90,N89,O88,P87,Q86,R85,S84,T83,U82,V81,W80)</f>
        <v>3681487.45360325</v>
      </c>
    </row>
    <row r="154" spans="1:2" ht="15" customHeight="1" x14ac:dyDescent="0.25">
      <c r="A154" s="88">
        <v>9</v>
      </c>
      <c r="B154" s="104">
        <f ca="1">SUM(L92,M91,N90,O89,P88,Q87,R86,S85,T84,U83,V82,W81)</f>
        <v>3392012.296699374</v>
      </c>
    </row>
    <row r="155" spans="1:2" ht="15" customHeight="1" x14ac:dyDescent="0.25">
      <c r="A155" s="88">
        <v>10</v>
      </c>
      <c r="B155" s="104">
        <f ca="1">SUM(M92,N91,O90,P89,Q88,R87,S86,T85,U84,V83,W82)</f>
        <v>3096956.5416689496</v>
      </c>
    </row>
    <row r="156" spans="1:2" ht="15" customHeight="1" x14ac:dyDescent="0.25">
      <c r="A156" s="88">
        <v>11</v>
      </c>
      <c r="B156" s="104">
        <f ca="1">SUM(N92,O91,P90,Q89,R88,S87,T86,U85,V84,W83)</f>
        <v>2796375.2974383221</v>
      </c>
    </row>
    <row r="157" spans="1:2" ht="15" customHeight="1" x14ac:dyDescent="0.25">
      <c r="A157" s="88">
        <v>12</v>
      </c>
      <c r="B157" s="104">
        <f ca="1">SUM(O92,P91,Q90,R89,S88,T87,U86,V85,W84)</f>
        <v>2490002.4394219378</v>
      </c>
    </row>
    <row r="158" spans="1:2" ht="15" customHeight="1" x14ac:dyDescent="0.25">
      <c r="A158" s="88">
        <v>13</v>
      </c>
      <c r="B158" s="104">
        <f ca="1">SUM(P92,Q91,R90,S89,T88,U87,V86,W85)</f>
        <v>2177889.0672486168</v>
      </c>
    </row>
    <row r="159" spans="1:2" ht="15" customHeight="1" x14ac:dyDescent="0.25">
      <c r="A159" s="88">
        <v>14</v>
      </c>
      <c r="B159" s="104">
        <f ca="1">SUM(Q92,R91,S90,T89,U88,V87,W86)</f>
        <v>1859764.9708586282</v>
      </c>
    </row>
    <row r="160" spans="1:2" ht="15" customHeight="1" x14ac:dyDescent="0.25">
      <c r="A160" s="88">
        <v>15</v>
      </c>
      <c r="B160" s="104">
        <f ca="1">SUM(R92,S91,T90,U89,V88,W87)</f>
        <v>1535677.0867826047</v>
      </c>
    </row>
    <row r="161" spans="1:2" ht="15" customHeight="1" x14ac:dyDescent="0.25">
      <c r="A161" s="88">
        <v>16</v>
      </c>
      <c r="B161" s="104">
        <f ca="1">SUM(S92,T91,U90,V89,W88)</f>
        <v>1205350.9627637612</v>
      </c>
    </row>
    <row r="162" spans="1:2" ht="15" customHeight="1" x14ac:dyDescent="0.25">
      <c r="A162" s="88">
        <v>17</v>
      </c>
      <c r="B162" s="104">
        <f ca="1">SUM(T92,U91,V90,W89)</f>
        <v>868829.21253393567</v>
      </c>
    </row>
    <row r="163" spans="1:2" ht="15" customHeight="1" x14ac:dyDescent="0.25">
      <c r="A163" s="88">
        <v>18</v>
      </c>
      <c r="B163" s="104">
        <f ca="1">SUM(U92,V91,W90)</f>
        <v>525832.97890436742</v>
      </c>
    </row>
    <row r="164" spans="1:2" ht="15" customHeight="1" x14ac:dyDescent="0.25">
      <c r="A164" s="88">
        <v>19</v>
      </c>
      <c r="B164" s="104">
        <f ca="1">SUM(V92,W91)</f>
        <v>176400.38698121347</v>
      </c>
    </row>
    <row r="165" spans="1:2" ht="15" customHeight="1" thickBot="1" x14ac:dyDescent="0.3">
      <c r="A165" s="90">
        <v>20</v>
      </c>
      <c r="B165" s="91">
        <f>SUM(W92)</f>
        <v>0</v>
      </c>
    </row>
    <row r="166" spans="1:2" ht="14.4" thickTop="1" thickBot="1" x14ac:dyDescent="0.3">
      <c r="A166" s="116" t="s">
        <v>59</v>
      </c>
      <c r="B166" s="124">
        <f ca="1">SUM(B146:B165)</f>
        <v>58421062.072127849</v>
      </c>
    </row>
    <row r="167" spans="1:2" ht="13.8"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3.2" x14ac:dyDescent="0.25"/>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44140625" bestFit="1" customWidth="1"/>
    <col min="16" max="16" width="14.33203125" customWidth="1"/>
  </cols>
  <sheetData>
    <row r="1" spans="1:5" s="2" customFormat="1" ht="13.8" x14ac:dyDescent="0.25">
      <c r="A1" s="2" t="s">
        <v>281</v>
      </c>
      <c r="B1" s="2" t="s">
        <v>282</v>
      </c>
      <c r="C1" s="2" t="s">
        <v>283</v>
      </c>
    </row>
    <row r="2" spans="1:5" ht="13.8" x14ac:dyDescent="0.25">
      <c r="A2" s="2" t="s">
        <v>284</v>
      </c>
    </row>
    <row r="3" spans="1:5" x14ac:dyDescent="0.25">
      <c r="A3" t="s">
        <v>285</v>
      </c>
      <c r="B3" t="s">
        <v>286</v>
      </c>
      <c r="C3">
        <v>1.6093</v>
      </c>
      <c r="D3" t="s">
        <v>627</v>
      </c>
    </row>
    <row r="4" spans="1:5" x14ac:dyDescent="0.25">
      <c r="A4" t="s">
        <v>287</v>
      </c>
      <c r="B4" t="s">
        <v>288</v>
      </c>
      <c r="C4">
        <v>3.7850000000000001</v>
      </c>
      <c r="D4" t="s">
        <v>628</v>
      </c>
    </row>
    <row r="5" spans="1:5" x14ac:dyDescent="0.25">
      <c r="A5" t="s">
        <v>289</v>
      </c>
      <c r="B5" t="s">
        <v>290</v>
      </c>
      <c r="C5">
        <v>1.8263969224024776E-2</v>
      </c>
      <c r="D5" t="s">
        <v>629</v>
      </c>
    </row>
    <row r="6" spans="1:5" x14ac:dyDescent="0.25">
      <c r="A6" t="s">
        <v>829</v>
      </c>
      <c r="B6" t="s">
        <v>981</v>
      </c>
      <c r="C6">
        <v>2.6852999999999998E-2</v>
      </c>
      <c r="D6" t="s">
        <v>630</v>
      </c>
      <c r="E6" t="s">
        <v>694</v>
      </c>
    </row>
    <row r="7" spans="1:5" x14ac:dyDescent="0.25">
      <c r="A7" t="s">
        <v>837</v>
      </c>
      <c r="B7" t="s">
        <v>265</v>
      </c>
      <c r="C7">
        <f>1/2.205</f>
        <v>0.45351473922902491</v>
      </c>
      <c r="D7" t="s">
        <v>631</v>
      </c>
    </row>
    <row r="8" spans="1:5" x14ac:dyDescent="0.25">
      <c r="A8" t="s">
        <v>894</v>
      </c>
      <c r="B8" t="s">
        <v>981</v>
      </c>
      <c r="C8">
        <v>2.8316999999999998E-2</v>
      </c>
      <c r="D8" t="s">
        <v>632</v>
      </c>
      <c r="E8" t="s">
        <v>695</v>
      </c>
    </row>
    <row r="9" spans="1:5" x14ac:dyDescent="0.25">
      <c r="A9" t="s">
        <v>372</v>
      </c>
      <c r="B9" t="s">
        <v>408</v>
      </c>
      <c r="C9">
        <v>145.03800000000001</v>
      </c>
      <c r="D9" t="s">
        <v>536</v>
      </c>
    </row>
    <row r="11" spans="1:5" ht="13.8" x14ac:dyDescent="0.25">
      <c r="A11" s="2" t="s">
        <v>291</v>
      </c>
    </row>
    <row r="12" spans="1:5" x14ac:dyDescent="0.25">
      <c r="A12" t="s">
        <v>292</v>
      </c>
      <c r="B12" t="s">
        <v>293</v>
      </c>
      <c r="C12">
        <v>0.27777777777777779</v>
      </c>
    </row>
    <row r="13" spans="1:5" x14ac:dyDescent="0.25">
      <c r="A13" t="s">
        <v>294</v>
      </c>
      <c r="B13" t="s">
        <v>293</v>
      </c>
      <c r="C13">
        <v>34.022625288888882</v>
      </c>
    </row>
    <row r="14" spans="1:5" x14ac:dyDescent="0.25">
      <c r="A14" t="s">
        <v>295</v>
      </c>
      <c r="B14" t="s">
        <v>296</v>
      </c>
      <c r="C14">
        <v>0.97933196399532141</v>
      </c>
    </row>
    <row r="15" spans="1:5" x14ac:dyDescent="0.25">
      <c r="A15" t="s">
        <v>295</v>
      </c>
      <c r="B15" t="s">
        <v>293</v>
      </c>
      <c r="C15">
        <f>kgH2_to_GJ*MJ_to_kWh*1000</f>
        <v>33.392121748655818</v>
      </c>
    </row>
    <row r="16" spans="1:5" x14ac:dyDescent="0.25">
      <c r="A16" t="s">
        <v>295</v>
      </c>
      <c r="B16" t="s">
        <v>1047</v>
      </c>
      <c r="C16">
        <f>H2_LHV_MJ_p_kg/1000</f>
        <v>0.12021163829516093</v>
      </c>
    </row>
    <row r="17" spans="1:3" x14ac:dyDescent="0.25">
      <c r="A17" t="s">
        <v>297</v>
      </c>
      <c r="B17" t="s">
        <v>293</v>
      </c>
      <c r="C17">
        <v>2.9308323563892143E-4</v>
      </c>
    </row>
    <row r="18" spans="1:3" x14ac:dyDescent="0.25">
      <c r="A18" t="s">
        <v>1046</v>
      </c>
      <c r="B18" t="s">
        <v>1047</v>
      </c>
      <c r="C18">
        <v>1.0549999999999999</v>
      </c>
    </row>
    <row r="21" spans="1:3" ht="13.8" x14ac:dyDescent="0.25">
      <c r="A21" s="2" t="s">
        <v>523</v>
      </c>
      <c r="C21" s="39" t="s">
        <v>820</v>
      </c>
    </row>
    <row r="22" spans="1:3" x14ac:dyDescent="0.25">
      <c r="A22" t="s">
        <v>398</v>
      </c>
      <c r="B22">
        <v>1</v>
      </c>
    </row>
    <row r="23" spans="1:3" x14ac:dyDescent="0.25">
      <c r="A23" t="s">
        <v>399</v>
      </c>
      <c r="B23">
        <v>25</v>
      </c>
    </row>
    <row r="24" spans="1:3" x14ac:dyDescent="0.25">
      <c r="A24" t="s">
        <v>400</v>
      </c>
      <c r="B24">
        <v>298</v>
      </c>
    </row>
    <row r="27" spans="1:3" ht="13.8" x14ac:dyDescent="0.25">
      <c r="A27" s="2" t="s">
        <v>689</v>
      </c>
    </row>
    <row r="28" spans="1:3" x14ac:dyDescent="0.25">
      <c r="A28" t="s">
        <v>690</v>
      </c>
      <c r="B28" t="s">
        <v>691</v>
      </c>
    </row>
    <row r="29" spans="1:3" x14ac:dyDescent="0.25">
      <c r="A29" t="s">
        <v>843</v>
      </c>
      <c r="B29">
        <f>mmBTU_to_GJ</f>
        <v>1.0549999999999999</v>
      </c>
    </row>
    <row r="30" spans="1:3" x14ac:dyDescent="0.25">
      <c r="A30" t="s">
        <v>293</v>
      </c>
      <c r="B30">
        <f>1/MJ_to_kWh/1000</f>
        <v>3.5999999999999995E-3</v>
      </c>
    </row>
    <row r="31" spans="1:3" x14ac:dyDescent="0.25">
      <c r="A31" t="s">
        <v>1047</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3.2" x14ac:dyDescent="0.25"/>
  <cols>
    <col min="1" max="1" width="17" customWidth="1"/>
    <col min="3" max="3" width="13.6640625" customWidth="1"/>
    <col min="5" max="5" width="16" customWidth="1"/>
    <col min="7" max="7" width="56.4414062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546875" customWidth="1"/>
    <col min="22" max="22" width="18.5546875" customWidth="1"/>
    <col min="25" max="25" width="22.5546875" customWidth="1"/>
    <col min="26" max="26" width="15.33203125" customWidth="1"/>
    <col min="27" max="27" width="12.5546875" bestFit="1" customWidth="1"/>
    <col min="28" max="28" width="18.6640625" customWidth="1"/>
    <col min="29" max="29" width="18.5546875" customWidth="1"/>
  </cols>
  <sheetData>
    <row r="1" spans="1:29" x14ac:dyDescent="0.25">
      <c r="A1" s="1" t="s">
        <v>1064</v>
      </c>
    </row>
    <row r="2" spans="1:29" x14ac:dyDescent="0.25">
      <c r="J2" s="1" t="s">
        <v>799</v>
      </c>
    </row>
    <row r="3" spans="1:29" x14ac:dyDescent="0.25">
      <c r="A3" s="1" t="s">
        <v>978</v>
      </c>
      <c r="C3" s="1" t="s">
        <v>19</v>
      </c>
      <c r="E3" s="1" t="s">
        <v>163</v>
      </c>
      <c r="G3" s="1" t="s">
        <v>8</v>
      </c>
      <c r="J3" s="39" t="s">
        <v>1088</v>
      </c>
      <c r="M3" s="1" t="s">
        <v>72</v>
      </c>
      <c r="O3" s="1" t="s">
        <v>425</v>
      </c>
      <c r="Q3" s="281" t="s">
        <v>1248</v>
      </c>
      <c r="R3" s="1" t="s">
        <v>651</v>
      </c>
      <c r="T3" s="1" t="s">
        <v>420</v>
      </c>
      <c r="V3" s="1" t="s">
        <v>422</v>
      </c>
      <c r="Y3" s="1" t="s">
        <v>343</v>
      </c>
      <c r="AA3" s="281" t="s">
        <v>1248</v>
      </c>
      <c r="AB3" s="1" t="s">
        <v>1039</v>
      </c>
    </row>
    <row r="4" spans="1:29" x14ac:dyDescent="0.25">
      <c r="A4" t="s">
        <v>979</v>
      </c>
      <c r="C4" t="s">
        <v>20</v>
      </c>
      <c r="E4" s="1">
        <v>100000</v>
      </c>
      <c r="G4" t="s">
        <v>321</v>
      </c>
      <c r="H4" t="s">
        <v>5</v>
      </c>
      <c r="J4" s="39" t="s">
        <v>1076</v>
      </c>
      <c r="M4" t="s">
        <v>1015</v>
      </c>
      <c r="O4" t="str">
        <f>M7</f>
        <v>ref_year</v>
      </c>
      <c r="P4">
        <v>2016</v>
      </c>
      <c r="Q4" t="b">
        <v>1</v>
      </c>
      <c r="R4" s="39" t="s">
        <v>1015</v>
      </c>
      <c r="T4">
        <v>1</v>
      </c>
      <c r="U4" t="s">
        <v>421</v>
      </c>
      <c r="V4" t="s">
        <v>409</v>
      </c>
      <c r="W4">
        <v>1.1000000000000001</v>
      </c>
      <c r="Y4" t="s">
        <v>336</v>
      </c>
      <c r="Z4">
        <v>0.9</v>
      </c>
      <c r="AA4" t="b">
        <v>0</v>
      </c>
      <c r="AB4" t="s">
        <v>24</v>
      </c>
      <c r="AC4" s="39" t="s">
        <v>807</v>
      </c>
    </row>
    <row r="5" spans="1:29" x14ac:dyDescent="0.25">
      <c r="A5" t="s">
        <v>980</v>
      </c>
      <c r="C5" t="s">
        <v>279</v>
      </c>
      <c r="G5" t="s">
        <v>332</v>
      </c>
      <c r="H5" t="s">
        <v>23</v>
      </c>
      <c r="J5" s="39" t="s">
        <v>1077</v>
      </c>
      <c r="M5" t="s">
        <v>5</v>
      </c>
      <c r="O5" t="str">
        <f>M18</f>
        <v>depr_type</v>
      </c>
      <c r="P5" t="s">
        <v>424</v>
      </c>
      <c r="Q5" t="b">
        <v>1</v>
      </c>
      <c r="R5" s="39" t="s">
        <v>915</v>
      </c>
      <c r="T5">
        <v>1.2</v>
      </c>
      <c r="U5" t="s">
        <v>416</v>
      </c>
      <c r="V5" t="s">
        <v>410</v>
      </c>
      <c r="W5">
        <v>1</v>
      </c>
      <c r="Y5" t="s">
        <v>337</v>
      </c>
      <c r="Z5">
        <v>0.04</v>
      </c>
      <c r="AA5" t="b">
        <v>0</v>
      </c>
      <c r="AB5" t="s">
        <v>176</v>
      </c>
      <c r="AC5" s="39" t="s">
        <v>807</v>
      </c>
    </row>
    <row r="6" spans="1:29" x14ac:dyDescent="0.25">
      <c r="G6" t="s">
        <v>368</v>
      </c>
      <c r="H6" t="s">
        <v>179</v>
      </c>
      <c r="J6" s="39" t="s">
        <v>1078</v>
      </c>
      <c r="M6" t="s">
        <v>23</v>
      </c>
      <c r="O6" t="str">
        <f>M19</f>
        <v>equity</v>
      </c>
      <c r="P6" s="1081">
        <v>0.4</v>
      </c>
      <c r="Q6" t="b">
        <v>1</v>
      </c>
      <c r="R6" s="39" t="s">
        <v>916</v>
      </c>
      <c r="V6" t="s">
        <v>411</v>
      </c>
      <c r="W6">
        <v>1.05</v>
      </c>
      <c r="Y6" t="s">
        <v>535</v>
      </c>
      <c r="Z6">
        <v>14.7</v>
      </c>
      <c r="AA6" t="b">
        <v>0</v>
      </c>
      <c r="AB6" t="s">
        <v>168</v>
      </c>
      <c r="AC6" s="39" t="s">
        <v>807</v>
      </c>
    </row>
    <row r="7" spans="1:29" x14ac:dyDescent="0.25">
      <c r="A7" s="1" t="s">
        <v>267</v>
      </c>
      <c r="C7" s="1" t="s">
        <v>1030</v>
      </c>
      <c r="G7" t="s">
        <v>369</v>
      </c>
      <c r="H7" t="s">
        <v>7</v>
      </c>
      <c r="J7" s="281" t="s">
        <v>1187</v>
      </c>
      <c r="M7" t="s">
        <v>998</v>
      </c>
      <c r="O7" t="str">
        <f t="shared" ref="O7:O13" si="0">M25</f>
        <v>decom_percent</v>
      </c>
      <c r="P7">
        <v>0.1</v>
      </c>
      <c r="Q7" t="b">
        <v>1</v>
      </c>
      <c r="R7" s="39" t="s">
        <v>917</v>
      </c>
      <c r="V7" t="s">
        <v>412</v>
      </c>
      <c r="W7">
        <v>1.1000000000000001</v>
      </c>
      <c r="Y7" t="s">
        <v>938</v>
      </c>
      <c r="Z7">
        <v>0</v>
      </c>
      <c r="AA7" t="b">
        <v>1</v>
      </c>
      <c r="AB7" t="s">
        <v>170</v>
      </c>
      <c r="AC7" s="39" t="s">
        <v>807</v>
      </c>
    </row>
    <row r="8" spans="1:29" x14ac:dyDescent="0.25">
      <c r="A8" t="s">
        <v>245</v>
      </c>
      <c r="C8" t="s">
        <v>1025</v>
      </c>
      <c r="G8" t="s">
        <v>373</v>
      </c>
      <c r="H8" t="s">
        <v>178</v>
      </c>
      <c r="M8" t="s">
        <v>179</v>
      </c>
      <c r="O8" t="str">
        <f t="shared" si="0"/>
        <v>salvage_perct</v>
      </c>
      <c r="P8">
        <v>0.1</v>
      </c>
      <c r="Q8" t="b">
        <v>1</v>
      </c>
      <c r="R8" s="39" t="s">
        <v>918</v>
      </c>
      <c r="V8" t="s">
        <v>414</v>
      </c>
      <c r="W8">
        <v>1.1000000000000001</v>
      </c>
      <c r="Y8" s="281" t="s">
        <v>1184</v>
      </c>
      <c r="Z8" s="281">
        <v>1</v>
      </c>
      <c r="AA8" t="b">
        <v>0</v>
      </c>
      <c r="AB8" t="s">
        <v>26</v>
      </c>
      <c r="AC8" s="39" t="s">
        <v>807</v>
      </c>
    </row>
    <row r="9" spans="1:29" x14ac:dyDescent="0.25">
      <c r="A9" t="s">
        <v>268</v>
      </c>
      <c r="C9" t="s">
        <v>268</v>
      </c>
      <c r="G9" t="s">
        <v>374</v>
      </c>
      <c r="H9" t="s">
        <v>167</v>
      </c>
      <c r="M9" t="s">
        <v>7</v>
      </c>
      <c r="O9" t="str">
        <f t="shared" si="0"/>
        <v>inflation_rate</v>
      </c>
      <c r="P9">
        <v>1.9E-2</v>
      </c>
      <c r="Q9" t="b">
        <v>1</v>
      </c>
      <c r="R9" s="39" t="s">
        <v>919</v>
      </c>
      <c r="V9" t="s">
        <v>413</v>
      </c>
      <c r="W9">
        <v>1.3</v>
      </c>
      <c r="Y9" s="281" t="s">
        <v>342</v>
      </c>
      <c r="Z9" s="281">
        <v>100</v>
      </c>
      <c r="AA9" t="b">
        <v>1</v>
      </c>
      <c r="AB9" t="s">
        <v>156</v>
      </c>
      <c r="AC9" s="39" t="s">
        <v>807</v>
      </c>
    </row>
    <row r="10" spans="1:29" x14ac:dyDescent="0.25">
      <c r="A10" t="s">
        <v>269</v>
      </c>
      <c r="C10" t="s">
        <v>1031</v>
      </c>
      <c r="G10" t="s">
        <v>322</v>
      </c>
      <c r="H10" t="s">
        <v>15</v>
      </c>
      <c r="M10" t="s">
        <v>158</v>
      </c>
      <c r="O10" t="str">
        <f t="shared" si="0"/>
        <v>real_irr</v>
      </c>
      <c r="P10" s="1081">
        <v>0.08</v>
      </c>
      <c r="Q10" t="b">
        <v>1</v>
      </c>
      <c r="R10" s="39" t="s">
        <v>920</v>
      </c>
      <c r="V10" t="s">
        <v>415</v>
      </c>
      <c r="W10">
        <v>1.5</v>
      </c>
      <c r="Y10" s="281" t="s">
        <v>1179</v>
      </c>
      <c r="Z10" s="281">
        <v>0.75</v>
      </c>
      <c r="AA10" t="b">
        <v>0</v>
      </c>
      <c r="AB10" t="s">
        <v>166</v>
      </c>
      <c r="AC10" s="39" t="s">
        <v>807</v>
      </c>
    </row>
    <row r="11" spans="1:29" x14ac:dyDescent="0.25">
      <c r="C11" t="s">
        <v>1044</v>
      </c>
      <c r="G11" t="s">
        <v>323</v>
      </c>
      <c r="H11" t="s">
        <v>175</v>
      </c>
      <c r="J11" s="1" t="s">
        <v>678</v>
      </c>
      <c r="K11" s="1" t="s">
        <v>679</v>
      </c>
      <c r="M11" t="s">
        <v>159</v>
      </c>
      <c r="O11" t="str">
        <f t="shared" si="0"/>
        <v>state_tax_rate</v>
      </c>
      <c r="P11">
        <v>0.06</v>
      </c>
      <c r="Q11" t="b">
        <v>1</v>
      </c>
      <c r="R11" s="39" t="s">
        <v>921</v>
      </c>
      <c r="Y11" s="281" t="s">
        <v>1180</v>
      </c>
      <c r="Z11" s="994" t="s">
        <v>20</v>
      </c>
      <c r="AA11" t="b">
        <v>0</v>
      </c>
      <c r="AB11" t="s">
        <v>1066</v>
      </c>
      <c r="AC11" t="s">
        <v>819</v>
      </c>
    </row>
    <row r="12" spans="1:29" x14ac:dyDescent="0.25">
      <c r="C12" t="s">
        <v>269</v>
      </c>
      <c r="G12" t="s">
        <v>324</v>
      </c>
      <c r="H12" t="s">
        <v>27</v>
      </c>
      <c r="J12" s="705" t="str">
        <f>TMP_PriceTable</f>
        <v>AEO_2017_Reference_Case</v>
      </c>
      <c r="K12" t="str">
        <f>J12&amp;"_Feeds"</f>
        <v>AEO_2017_Reference_Case_Feeds</v>
      </c>
      <c r="M12" t="s">
        <v>160</v>
      </c>
      <c r="O12" t="str">
        <f t="shared" si="0"/>
        <v>fed_tax_rate</v>
      </c>
      <c r="P12" s="1081">
        <v>0.21</v>
      </c>
      <c r="Q12" t="b">
        <v>1</v>
      </c>
      <c r="R12" s="39" t="s">
        <v>922</v>
      </c>
      <c r="Y12" s="281" t="s">
        <v>1181</v>
      </c>
      <c r="Z12" s="994" t="s">
        <v>20</v>
      </c>
      <c r="AA12" t="b">
        <v>0</v>
      </c>
      <c r="AB12" t="s">
        <v>1067</v>
      </c>
      <c r="AC12" t="s">
        <v>1035</v>
      </c>
    </row>
    <row r="13" spans="1:29" x14ac:dyDescent="0.25">
      <c r="G13" t="s">
        <v>325</v>
      </c>
      <c r="H13" t="s">
        <v>171</v>
      </c>
      <c r="K13" s="1" t="s">
        <v>680</v>
      </c>
      <c r="M13" t="s">
        <v>161</v>
      </c>
      <c r="O13" t="str">
        <f t="shared" si="0"/>
        <v>WorkingCap</v>
      </c>
      <c r="P13">
        <v>0.15</v>
      </c>
      <c r="Q13" t="b">
        <v>1</v>
      </c>
      <c r="R13" s="39" t="s">
        <v>923</v>
      </c>
      <c r="Y13" s="281" t="s">
        <v>1182</v>
      </c>
      <c r="Z13" s="281">
        <v>0</v>
      </c>
      <c r="AA13" t="b">
        <v>1</v>
      </c>
      <c r="AB13" t="s">
        <v>995</v>
      </c>
      <c r="AC13">
        <v>0.25</v>
      </c>
    </row>
    <row r="14" spans="1:29" x14ac:dyDescent="0.25">
      <c r="A14" s="1" t="s">
        <v>13</v>
      </c>
      <c r="C14" s="1" t="s">
        <v>196</v>
      </c>
      <c r="G14" t="s">
        <v>326</v>
      </c>
      <c r="H14" t="s">
        <v>181</v>
      </c>
      <c r="K14" t="str">
        <f>J12&amp;"_Years"</f>
        <v>AEO_2017_Reference_Case_Years</v>
      </c>
      <c r="M14" t="s">
        <v>178</v>
      </c>
      <c r="O14" t="s">
        <v>157</v>
      </c>
      <c r="P14">
        <v>0.2</v>
      </c>
      <c r="Q14" t="b">
        <v>1</v>
      </c>
      <c r="R14" t="s">
        <v>5</v>
      </c>
      <c r="Y14" s="281" t="s">
        <v>1183</v>
      </c>
      <c r="Z14" s="281">
        <v>53</v>
      </c>
      <c r="AA14" t="b">
        <v>0</v>
      </c>
      <c r="AB14" t="s">
        <v>996</v>
      </c>
      <c r="AC14" t="s">
        <v>819</v>
      </c>
    </row>
    <row r="15" spans="1:29" x14ac:dyDescent="0.25">
      <c r="A15" t="s">
        <v>188</v>
      </c>
      <c r="C15" s="648" t="s">
        <v>197</v>
      </c>
      <c r="G15" t="s">
        <v>327</v>
      </c>
      <c r="H15" t="s">
        <v>25</v>
      </c>
      <c r="M15" t="s">
        <v>167</v>
      </c>
      <c r="O15" t="s">
        <v>183</v>
      </c>
      <c r="P15">
        <v>0.02</v>
      </c>
      <c r="Q15" t="b">
        <v>1</v>
      </c>
      <c r="R15" t="s">
        <v>23</v>
      </c>
      <c r="Y15" s="991"/>
      <c r="Z15" s="991"/>
      <c r="AB15" t="s">
        <v>28</v>
      </c>
      <c r="AC15" t="s">
        <v>1035</v>
      </c>
    </row>
    <row r="16" spans="1:29" ht="13.8" x14ac:dyDescent="0.25">
      <c r="A16" t="s">
        <v>189</v>
      </c>
      <c r="C16" s="649" t="s">
        <v>198</v>
      </c>
      <c r="G16" t="s">
        <v>328</v>
      </c>
      <c r="H16" t="s">
        <v>186</v>
      </c>
      <c r="M16" t="s">
        <v>4</v>
      </c>
      <c r="O16" t="s">
        <v>174</v>
      </c>
      <c r="P16">
        <v>0</v>
      </c>
      <c r="R16" t="s">
        <v>998</v>
      </c>
      <c r="Y16" s="991"/>
      <c r="Z16" s="992"/>
      <c r="AB16" t="s">
        <v>172</v>
      </c>
      <c r="AC16" t="s">
        <v>1035</v>
      </c>
    </row>
    <row r="17" spans="1:29" x14ac:dyDescent="0.25">
      <c r="A17" t="s">
        <v>240</v>
      </c>
      <c r="C17" s="665" t="s">
        <v>487</v>
      </c>
      <c r="G17" t="s">
        <v>9</v>
      </c>
      <c r="H17" t="s">
        <v>243</v>
      </c>
      <c r="M17" t="s">
        <v>21</v>
      </c>
      <c r="O17" t="s">
        <v>153</v>
      </c>
      <c r="P17">
        <v>0</v>
      </c>
      <c r="R17" t="s">
        <v>179</v>
      </c>
      <c r="AB17" t="s">
        <v>997</v>
      </c>
      <c r="AC17" t="s">
        <v>1035</v>
      </c>
    </row>
    <row r="18" spans="1:29" x14ac:dyDescent="0.25">
      <c r="A18" t="s">
        <v>241</v>
      </c>
      <c r="C18" s="650" t="s">
        <v>1005</v>
      </c>
      <c r="G18" t="s">
        <v>114</v>
      </c>
      <c r="H18" t="s">
        <v>949</v>
      </c>
      <c r="M18" t="s">
        <v>22</v>
      </c>
      <c r="O18" t="s">
        <v>182</v>
      </c>
      <c r="P18">
        <v>0</v>
      </c>
      <c r="R18" t="s">
        <v>7</v>
      </c>
      <c r="Y18" s="991"/>
      <c r="Z18" s="991"/>
      <c r="AB18" t="s">
        <v>169</v>
      </c>
      <c r="AC18" t="s">
        <v>1035</v>
      </c>
    </row>
    <row r="19" spans="1:29" x14ac:dyDescent="0.25">
      <c r="A19" t="s">
        <v>242</v>
      </c>
      <c r="C19" s="417" t="s">
        <v>199</v>
      </c>
      <c r="G19" t="s">
        <v>619</v>
      </c>
      <c r="H19" t="s">
        <v>620</v>
      </c>
      <c r="M19" t="s">
        <v>244</v>
      </c>
      <c r="O19" t="s">
        <v>939</v>
      </c>
      <c r="P19">
        <v>0</v>
      </c>
      <c r="R19" t="s">
        <v>158</v>
      </c>
      <c r="Y19" s="991"/>
      <c r="Z19" s="991"/>
      <c r="AB19" t="s">
        <v>154</v>
      </c>
      <c r="AC19" t="s">
        <v>1034</v>
      </c>
    </row>
    <row r="20" spans="1:29" x14ac:dyDescent="0.25">
      <c r="A20" t="s">
        <v>14</v>
      </c>
      <c r="G20" t="s">
        <v>347</v>
      </c>
      <c r="H20" t="s">
        <v>1066</v>
      </c>
      <c r="M20" t="s">
        <v>10</v>
      </c>
      <c r="O20" t="s">
        <v>940</v>
      </c>
      <c r="P20">
        <v>0</v>
      </c>
      <c r="R20" t="s">
        <v>159</v>
      </c>
      <c r="Y20" s="991"/>
      <c r="Z20" s="991"/>
      <c r="AB20" t="s">
        <v>155</v>
      </c>
      <c r="AC20" t="s">
        <v>1035</v>
      </c>
    </row>
    <row r="21" spans="1:29" x14ac:dyDescent="0.25">
      <c r="G21" t="s">
        <v>647</v>
      </c>
      <c r="H21" t="s">
        <v>995</v>
      </c>
      <c r="M21" t="s">
        <v>11</v>
      </c>
      <c r="R21" t="s">
        <v>160</v>
      </c>
      <c r="AB21" t="s">
        <v>184</v>
      </c>
      <c r="AC21" t="s">
        <v>1034</v>
      </c>
    </row>
    <row r="22" spans="1:29" x14ac:dyDescent="0.25">
      <c r="G22" t="s">
        <v>329</v>
      </c>
      <c r="H22" t="s">
        <v>157</v>
      </c>
      <c r="M22" t="s">
        <v>162</v>
      </c>
      <c r="R22" t="s">
        <v>161</v>
      </c>
      <c r="AB22" t="s">
        <v>277</v>
      </c>
      <c r="AC22" t="s">
        <v>1034</v>
      </c>
    </row>
    <row r="23" spans="1:29" x14ac:dyDescent="0.25">
      <c r="A23" s="1" t="s">
        <v>818</v>
      </c>
      <c r="G23" t="s">
        <v>330</v>
      </c>
      <c r="H23" t="s">
        <v>183</v>
      </c>
      <c r="M23" t="s">
        <v>164</v>
      </c>
      <c r="R23" t="s">
        <v>178</v>
      </c>
      <c r="AB23" t="s">
        <v>185</v>
      </c>
      <c r="AC23" t="s">
        <v>1034</v>
      </c>
    </row>
    <row r="24" spans="1:29" x14ac:dyDescent="0.25">
      <c r="A24" s="39" t="s">
        <v>1034</v>
      </c>
      <c r="G24" t="s">
        <v>354</v>
      </c>
      <c r="H24" t="s">
        <v>172</v>
      </c>
      <c r="M24" t="s">
        <v>165</v>
      </c>
      <c r="R24" t="s">
        <v>167</v>
      </c>
      <c r="AB24" t="s">
        <v>177</v>
      </c>
      <c r="AC24" t="s">
        <v>1034</v>
      </c>
    </row>
    <row r="25" spans="1:29" x14ac:dyDescent="0.25">
      <c r="A25" s="39" t="s">
        <v>1035</v>
      </c>
      <c r="G25" t="s">
        <v>355</v>
      </c>
      <c r="H25" t="s">
        <v>997</v>
      </c>
      <c r="M25" t="s">
        <v>15</v>
      </c>
      <c r="R25" t="s">
        <v>4</v>
      </c>
      <c r="AB25" t="s">
        <v>174</v>
      </c>
      <c r="AC25" t="s">
        <v>1034</v>
      </c>
    </row>
    <row r="26" spans="1:29" x14ac:dyDescent="0.25">
      <c r="A26" s="39" t="s">
        <v>819</v>
      </c>
      <c r="G26" t="s">
        <v>356</v>
      </c>
      <c r="H26" t="s">
        <v>169</v>
      </c>
      <c r="M26" t="s">
        <v>175</v>
      </c>
      <c r="R26" t="s">
        <v>21</v>
      </c>
      <c r="AB26" t="s">
        <v>153</v>
      </c>
      <c r="AC26" t="s">
        <v>1034</v>
      </c>
    </row>
    <row r="27" spans="1:29" x14ac:dyDescent="0.25">
      <c r="A27" s="39" t="s">
        <v>807</v>
      </c>
      <c r="G27" t="s">
        <v>360</v>
      </c>
      <c r="H27" t="s">
        <v>185</v>
      </c>
      <c r="M27" t="s">
        <v>27</v>
      </c>
      <c r="R27" t="s">
        <v>22</v>
      </c>
      <c r="AB27" t="s">
        <v>182</v>
      </c>
      <c r="AC27" t="s">
        <v>1034</v>
      </c>
    </row>
    <row r="28" spans="1:29" x14ac:dyDescent="0.25">
      <c r="A28">
        <v>0.1</v>
      </c>
      <c r="G28" t="s">
        <v>361</v>
      </c>
      <c r="H28" t="s">
        <v>177</v>
      </c>
      <c r="M28" t="s">
        <v>171</v>
      </c>
      <c r="R28" t="s">
        <v>244</v>
      </c>
      <c r="AB28" t="s">
        <v>1038</v>
      </c>
      <c r="AC28" t="s">
        <v>807</v>
      </c>
    </row>
    <row r="29" spans="1:29" x14ac:dyDescent="0.25">
      <c r="A29">
        <v>0.2</v>
      </c>
      <c r="G29" t="s">
        <v>974</v>
      </c>
      <c r="H29" t="s">
        <v>6</v>
      </c>
      <c r="M29" t="s">
        <v>181</v>
      </c>
      <c r="R29" t="s">
        <v>10</v>
      </c>
    </row>
    <row r="30" spans="1:29" x14ac:dyDescent="0.25">
      <c r="A30">
        <v>0.25</v>
      </c>
      <c r="G30" t="s">
        <v>815</v>
      </c>
      <c r="H30" t="s">
        <v>816</v>
      </c>
      <c r="M30" t="s">
        <v>25</v>
      </c>
      <c r="R30" t="s">
        <v>11</v>
      </c>
    </row>
    <row r="31" spans="1:29" x14ac:dyDescent="0.25">
      <c r="A31">
        <v>0.3</v>
      </c>
      <c r="G31" t="s">
        <v>1292</v>
      </c>
      <c r="H31" t="s">
        <v>1293</v>
      </c>
      <c r="M31" t="s">
        <v>186</v>
      </c>
      <c r="R31" t="s">
        <v>162</v>
      </c>
    </row>
    <row r="32" spans="1:29" x14ac:dyDescent="0.25">
      <c r="A32">
        <v>0.4</v>
      </c>
      <c r="G32" t="s">
        <v>815</v>
      </c>
      <c r="H32" t="s">
        <v>816</v>
      </c>
      <c r="M32" t="s">
        <v>1066</v>
      </c>
      <c r="R32" t="s">
        <v>164</v>
      </c>
    </row>
    <row r="33" spans="1:18" x14ac:dyDescent="0.25">
      <c r="A33">
        <v>0.5</v>
      </c>
      <c r="M33" t="s">
        <v>1067</v>
      </c>
      <c r="R33" t="s">
        <v>165</v>
      </c>
    </row>
    <row r="34" spans="1:18" x14ac:dyDescent="0.25">
      <c r="A34">
        <v>0.6</v>
      </c>
      <c r="M34" t="s">
        <v>995</v>
      </c>
      <c r="R34" t="s">
        <v>15</v>
      </c>
    </row>
    <row r="35" spans="1:18" x14ac:dyDescent="0.25">
      <c r="A35">
        <v>0.7</v>
      </c>
      <c r="M35" t="s">
        <v>996</v>
      </c>
      <c r="R35" t="s">
        <v>175</v>
      </c>
    </row>
    <row r="36" spans="1:18" x14ac:dyDescent="0.25">
      <c r="A36">
        <v>0.8</v>
      </c>
      <c r="M36" t="s">
        <v>157</v>
      </c>
      <c r="R36" t="s">
        <v>27</v>
      </c>
    </row>
    <row r="37" spans="1:18" x14ac:dyDescent="0.25">
      <c r="A37">
        <v>0.9</v>
      </c>
      <c r="M37" t="s">
        <v>183</v>
      </c>
      <c r="R37" t="s">
        <v>171</v>
      </c>
    </row>
    <row r="38" spans="1:18" x14ac:dyDescent="0.25">
      <c r="M38" t="s">
        <v>172</v>
      </c>
      <c r="R38" t="s">
        <v>181</v>
      </c>
    </row>
    <row r="39" spans="1:18" x14ac:dyDescent="0.25">
      <c r="M39" t="s">
        <v>997</v>
      </c>
      <c r="R39" t="s">
        <v>25</v>
      </c>
    </row>
    <row r="40" spans="1:18" x14ac:dyDescent="0.25">
      <c r="M40" t="s">
        <v>169</v>
      </c>
      <c r="R40" t="s">
        <v>186</v>
      </c>
    </row>
    <row r="41" spans="1:18" x14ac:dyDescent="0.25">
      <c r="M41" t="s">
        <v>154</v>
      </c>
      <c r="R41" t="s">
        <v>243</v>
      </c>
    </row>
    <row r="42" spans="1:18" x14ac:dyDescent="0.25">
      <c r="M42" t="s">
        <v>155</v>
      </c>
      <c r="R42" t="s">
        <v>24</v>
      </c>
    </row>
    <row r="43" spans="1:18" x14ac:dyDescent="0.25">
      <c r="M43" t="s">
        <v>277</v>
      </c>
      <c r="R43" t="s">
        <v>176</v>
      </c>
    </row>
    <row r="44" spans="1:18" x14ac:dyDescent="0.25">
      <c r="M44" t="s">
        <v>184</v>
      </c>
      <c r="R44" t="s">
        <v>168</v>
      </c>
    </row>
    <row r="45" spans="1:18" x14ac:dyDescent="0.25">
      <c r="M45" t="s">
        <v>185</v>
      </c>
      <c r="R45" t="s">
        <v>170</v>
      </c>
    </row>
    <row r="46" spans="1:18" x14ac:dyDescent="0.25">
      <c r="M46" t="s">
        <v>177</v>
      </c>
      <c r="R46" t="s">
        <v>26</v>
      </c>
    </row>
    <row r="47" spans="1:18" x14ac:dyDescent="0.25">
      <c r="M47" t="s">
        <v>173</v>
      </c>
      <c r="R47" t="s">
        <v>156</v>
      </c>
    </row>
    <row r="48" spans="1:18" x14ac:dyDescent="0.25">
      <c r="M48" t="s">
        <v>174</v>
      </c>
      <c r="R48" t="s">
        <v>166</v>
      </c>
    </row>
    <row r="49" spans="13:18" x14ac:dyDescent="0.25">
      <c r="M49" t="s">
        <v>153</v>
      </c>
      <c r="R49" t="s">
        <v>1066</v>
      </c>
    </row>
    <row r="50" spans="13:18" x14ac:dyDescent="0.25">
      <c r="M50" t="s">
        <v>182</v>
      </c>
      <c r="R50" t="s">
        <v>1067</v>
      </c>
    </row>
    <row r="51" spans="13:18" x14ac:dyDescent="0.25">
      <c r="M51" t="s">
        <v>6</v>
      </c>
      <c r="R51" t="s">
        <v>995</v>
      </c>
    </row>
    <row r="52" spans="13:18" x14ac:dyDescent="0.25">
      <c r="M52" t="s">
        <v>1038</v>
      </c>
      <c r="R52" t="s">
        <v>996</v>
      </c>
    </row>
    <row r="53" spans="13:18" x14ac:dyDescent="0.25">
      <c r="M53" t="s">
        <v>572</v>
      </c>
      <c r="R53" t="s">
        <v>157</v>
      </c>
    </row>
    <row r="54" spans="13:18" x14ac:dyDescent="0.25">
      <c r="M54" t="s">
        <v>337</v>
      </c>
      <c r="R54" t="s">
        <v>183</v>
      </c>
    </row>
    <row r="55" spans="13:18" x14ac:dyDescent="0.25">
      <c r="M55" t="s">
        <v>338</v>
      </c>
      <c r="R55" t="s">
        <v>172</v>
      </c>
    </row>
    <row r="56" spans="13:18" x14ac:dyDescent="0.25">
      <c r="M56" t="s">
        <v>339</v>
      </c>
      <c r="R56" t="s">
        <v>997</v>
      </c>
    </row>
    <row r="57" spans="13:18" x14ac:dyDescent="0.25">
      <c r="M57" t="s">
        <v>573</v>
      </c>
      <c r="R57" t="s">
        <v>169</v>
      </c>
    </row>
    <row r="58" spans="13:18" x14ac:dyDescent="0.25">
      <c r="M58" t="s">
        <v>340</v>
      </c>
      <c r="R58" t="s">
        <v>154</v>
      </c>
    </row>
    <row r="59" spans="13:18" x14ac:dyDescent="0.25">
      <c r="M59" t="s">
        <v>574</v>
      </c>
      <c r="R59" t="s">
        <v>155</v>
      </c>
    </row>
    <row r="60" spans="13:18" x14ac:dyDescent="0.25">
      <c r="M60" t="s">
        <v>341</v>
      </c>
      <c r="R60" t="s">
        <v>277</v>
      </c>
    </row>
    <row r="61" spans="13:18" x14ac:dyDescent="0.25">
      <c r="M61" t="s">
        <v>342</v>
      </c>
      <c r="R61" t="s">
        <v>278</v>
      </c>
    </row>
    <row r="62" spans="13:18" x14ac:dyDescent="0.25">
      <c r="R62" t="s">
        <v>256</v>
      </c>
    </row>
    <row r="63" spans="13:18" x14ac:dyDescent="0.25">
      <c r="R63" t="s">
        <v>184</v>
      </c>
    </row>
    <row r="64" spans="13:18" x14ac:dyDescent="0.25">
      <c r="R64" t="s">
        <v>185</v>
      </c>
    </row>
    <row r="65" spans="18:18" x14ac:dyDescent="0.25">
      <c r="R65" t="s">
        <v>177</v>
      </c>
    </row>
    <row r="66" spans="18:18" x14ac:dyDescent="0.25">
      <c r="R66" t="s">
        <v>173</v>
      </c>
    </row>
    <row r="67" spans="18:18" x14ac:dyDescent="0.25">
      <c r="R67" t="s">
        <v>174</v>
      </c>
    </row>
    <row r="68" spans="18:18" x14ac:dyDescent="0.25">
      <c r="R68" t="s">
        <v>153</v>
      </c>
    </row>
    <row r="69" spans="18:18" x14ac:dyDescent="0.25">
      <c r="R69" t="s">
        <v>182</v>
      </c>
    </row>
    <row r="70" spans="18:18" x14ac:dyDescent="0.25">
      <c r="R70" t="s">
        <v>6</v>
      </c>
    </row>
    <row r="71" spans="18:18" x14ac:dyDescent="0.25">
      <c r="R71" t="s">
        <v>1038</v>
      </c>
    </row>
    <row r="72" spans="18:18" x14ac:dyDescent="0.25">
      <c r="R72" t="s">
        <v>572</v>
      </c>
    </row>
    <row r="73" spans="18:18" x14ac:dyDescent="0.25">
      <c r="R73" t="s">
        <v>337</v>
      </c>
    </row>
    <row r="74" spans="18:18" x14ac:dyDescent="0.25">
      <c r="R74" t="s">
        <v>338</v>
      </c>
    </row>
    <row r="75" spans="18:18" x14ac:dyDescent="0.25">
      <c r="R75" t="s">
        <v>339</v>
      </c>
    </row>
    <row r="76" spans="18:18" x14ac:dyDescent="0.25">
      <c r="R76" t="s">
        <v>573</v>
      </c>
    </row>
    <row r="77" spans="18:18" x14ac:dyDescent="0.25">
      <c r="R77" t="s">
        <v>340</v>
      </c>
    </row>
    <row r="78" spans="18:18" x14ac:dyDescent="0.25">
      <c r="R78" t="s">
        <v>574</v>
      </c>
    </row>
    <row r="79" spans="18:18" x14ac:dyDescent="0.25">
      <c r="R79" t="s">
        <v>341</v>
      </c>
    </row>
    <row r="80" spans="18:18" x14ac:dyDescent="0.25">
      <c r="R80" t="s">
        <v>342</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2.xml><?xml version="1.0" encoding="utf-8"?>
<ds:datastoreItem xmlns:ds="http://schemas.openxmlformats.org/officeDocument/2006/customXml" ds:itemID="{5FD97086-85F3-44E1-B356-8D8C4A3E0157}">
  <ds:schemaRefs>
    <ds:schemaRef ds:uri="http://schemas.microsoft.com/sharepoint/v3/contenttype/forms"/>
  </ds:schemaRefs>
</ds:datastoreItem>
</file>

<file path=customXml/itemProps3.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4.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289</vt:i4>
      </vt:variant>
    </vt:vector>
  </HeadingPairs>
  <TitlesOfParts>
    <vt:vector size="30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CEPCIinflator</vt:lpstr>
      <vt:lpstr>Chemical_price_indexes</vt:lpstr>
      <vt:lpstr>CO2_cap_charge_rate</vt:lpstr>
      <vt:lpstr>CO2_Capture_Efficiency</vt:lpstr>
      <vt:lpstr>CO2_CashFlow_eUse</vt:lpstr>
      <vt:lpstr>CO2_credit</vt:lpstr>
      <vt:lpstr>CO2_eCostpY</vt:lpstr>
      <vt:lpstr>CO2_flowrate</vt:lpstr>
      <vt:lpstr>CO2_flowrate_GTpY</vt:lpstr>
      <vt:lpstr>CO2_inUse</vt:lpstr>
      <vt:lpstr>CO2_Location</vt:lpstr>
      <vt:lpstr>CO2_OandMcost</vt:lpstr>
      <vt:lpstr>CO2_Pin_psia</vt:lpstr>
      <vt:lpstr>CO2_PipeLength</vt:lpstr>
      <vt:lpstr>CO2_Pipeline_Temp</vt:lpstr>
      <vt:lpstr>CO2_Pipeline_Temp_factor</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feedstockIndustrial_Electricity_Price</vt:lpstr>
      <vt:lpstr>feedstockIndustrial_Electricity_Usage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Penev, Michael (Misho)</cp:lastModifiedBy>
  <cp:lastPrinted>2008-09-22T17:50:40Z</cp:lastPrinted>
  <dcterms:created xsi:type="dcterms:W3CDTF">2007-03-27T19:45:13Z</dcterms:created>
  <dcterms:modified xsi:type="dcterms:W3CDTF">2023-01-23T22:06:31Z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