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8145" activeTab="2"/>
  </bookViews>
  <sheets>
    <sheet name="Лист1" sheetId="1" r:id="rId1"/>
    <sheet name="Измерения" sheetId="2" r:id="rId2"/>
    <sheet name="НОВЫЕ_ИЗМЕРЕНИЯ" sheetId="3" r:id="rId3"/>
  </sheets>
  <calcPr calcId="145621"/>
</workbook>
</file>

<file path=xl/calcChain.xml><?xml version="1.0" encoding="utf-8"?>
<calcChain xmlns="http://schemas.openxmlformats.org/spreadsheetml/2006/main">
  <c r="J43" i="3" l="1"/>
  <c r="I19" i="3"/>
  <c r="K5" i="3"/>
  <c r="I6" i="3" l="1"/>
  <c r="I7" i="3"/>
  <c r="I8" i="3"/>
  <c r="I9" i="3"/>
  <c r="I5" i="3"/>
  <c r="J19" i="3"/>
  <c r="K19" i="3" s="1"/>
  <c r="K20" i="3" l="1"/>
  <c r="G12" i="3"/>
  <c r="G14" i="3"/>
  <c r="G13" i="3"/>
  <c r="G11" i="3"/>
  <c r="G10" i="3"/>
  <c r="G9" i="3"/>
  <c r="G8" i="3"/>
  <c r="I29" i="3"/>
  <c r="J29" i="3"/>
  <c r="M11" i="3"/>
  <c r="I38" i="3"/>
  <c r="I41" i="3" s="1"/>
  <c r="H41" i="3"/>
  <c r="N5" i="3"/>
  <c r="K25" i="3"/>
  <c r="G7" i="2"/>
  <c r="J41" i="3"/>
  <c r="D29" i="3"/>
  <c r="C29" i="3"/>
  <c r="E25" i="3"/>
  <c r="C20" i="3"/>
  <c r="E20" i="3" s="1"/>
  <c r="E19" i="3"/>
  <c r="D19" i="3"/>
  <c r="C19" i="3"/>
  <c r="D15" i="3"/>
  <c r="E15" i="3" s="1"/>
  <c r="C15" i="3"/>
  <c r="C14" i="3"/>
  <c r="D13" i="3"/>
  <c r="E13" i="3" s="1"/>
  <c r="C13" i="3"/>
  <c r="C12" i="3"/>
  <c r="C11" i="3"/>
  <c r="E11" i="3" s="1"/>
  <c r="E10" i="3"/>
  <c r="C10" i="3"/>
  <c r="C9" i="3"/>
  <c r="E9" i="3" s="1"/>
  <c r="C8" i="3"/>
  <c r="E8" i="3" s="1"/>
  <c r="E7" i="3"/>
  <c r="C7" i="3"/>
  <c r="C6" i="3"/>
  <c r="E6" i="3" s="1"/>
  <c r="C5" i="3"/>
  <c r="E5" i="3" s="1"/>
  <c r="E29" i="3" l="1"/>
  <c r="K29" i="3"/>
  <c r="K41" i="3"/>
  <c r="D12" i="3"/>
  <c r="E12" i="3" s="1"/>
  <c r="D14" i="3"/>
  <c r="E14" i="3" s="1"/>
  <c r="D41" i="2"/>
  <c r="C41" i="2" s="1"/>
  <c r="E41" i="2" s="1"/>
  <c r="L41" i="3" l="1"/>
  <c r="K43" i="3" s="1"/>
  <c r="H13" i="3"/>
  <c r="H11" i="3"/>
  <c r="I11" i="3" s="1"/>
  <c r="H12" i="3"/>
  <c r="I12" i="3" s="1"/>
  <c r="H10" i="3"/>
  <c r="I10" i="3" s="1"/>
  <c r="H14" i="3"/>
  <c r="I14" i="3" s="1"/>
  <c r="N5" i="2"/>
  <c r="J41" i="2"/>
  <c r="I13" i="3" l="1"/>
  <c r="J5" i="3"/>
  <c r="I29" i="2"/>
  <c r="I25" i="2"/>
  <c r="K25" i="2"/>
  <c r="I41" i="2" s="1"/>
  <c r="K41" i="2" s="1"/>
  <c r="J43" i="2" s="1"/>
  <c r="J29" i="2"/>
  <c r="G12" i="2"/>
  <c r="G13" i="2"/>
  <c r="G14" i="2"/>
  <c r="G11" i="2"/>
  <c r="G10" i="2"/>
  <c r="G9" i="2"/>
  <c r="I9" i="2" s="1"/>
  <c r="G8" i="2"/>
  <c r="I8" i="2" s="1"/>
  <c r="I7" i="2"/>
  <c r="G6" i="2"/>
  <c r="I6" i="2" s="1"/>
  <c r="I20" i="2"/>
  <c r="C20" i="2"/>
  <c r="J19" i="2"/>
  <c r="I19" i="2"/>
  <c r="D19" i="2"/>
  <c r="C19" i="2"/>
  <c r="D29" i="2"/>
  <c r="C29" i="2"/>
  <c r="E25" i="2"/>
  <c r="C15" i="2"/>
  <c r="C14" i="2"/>
  <c r="C13" i="2"/>
  <c r="C12" i="2"/>
  <c r="C11" i="2"/>
  <c r="E11" i="2" s="1"/>
  <c r="C10" i="2"/>
  <c r="E10" i="2" s="1"/>
  <c r="C9" i="2"/>
  <c r="E9" i="2" s="1"/>
  <c r="C8" i="2"/>
  <c r="E8" i="2" s="1"/>
  <c r="C7" i="2"/>
  <c r="E7" i="2" s="1"/>
  <c r="C6" i="2"/>
  <c r="E6" i="2" s="1"/>
  <c r="I5" i="2"/>
  <c r="C5" i="2"/>
  <c r="E5" i="2" s="1"/>
  <c r="E19" i="2" l="1"/>
  <c r="F41" i="2" s="1"/>
  <c r="E29" i="2"/>
  <c r="E20" i="2"/>
  <c r="K20" i="2"/>
  <c r="K29" i="2"/>
  <c r="K19" i="2"/>
  <c r="L41" i="2" s="1"/>
  <c r="K43" i="2" s="1"/>
  <c r="D23" i="1"/>
  <c r="C23" i="1"/>
  <c r="E19" i="1"/>
  <c r="C34" i="1" s="1"/>
  <c r="E34" i="1" s="1"/>
  <c r="H5" i="1"/>
  <c r="H6" i="1"/>
  <c r="H4" i="1"/>
  <c r="K44" i="2" l="1"/>
  <c r="J44" i="2"/>
  <c r="D13" i="2"/>
  <c r="E13" i="2" s="1"/>
  <c r="D15" i="2"/>
  <c r="E15" i="2" s="1"/>
  <c r="D12" i="2"/>
  <c r="E12" i="2" s="1"/>
  <c r="D14" i="2"/>
  <c r="E14" i="2" s="1"/>
  <c r="H10" i="2"/>
  <c r="I10" i="2" s="1"/>
  <c r="H14" i="2"/>
  <c r="I14" i="2" s="1"/>
  <c r="H12" i="2"/>
  <c r="I12" i="2" s="1"/>
  <c r="H13" i="2"/>
  <c r="I13" i="2" s="1"/>
  <c r="H11" i="2"/>
  <c r="I11" i="2" s="1"/>
  <c r="I26" i="1"/>
  <c r="H27" i="1"/>
  <c r="H26" i="1"/>
  <c r="J27" i="1" l="1"/>
  <c r="J26" i="1"/>
  <c r="I23" i="1"/>
  <c r="H23" i="1"/>
  <c r="J19" i="1"/>
  <c r="I34" i="1" s="1"/>
  <c r="K34" i="1" s="1"/>
  <c r="H19" i="1"/>
  <c r="F13" i="1"/>
  <c r="F12" i="1"/>
  <c r="F11" i="1"/>
  <c r="F10" i="1"/>
  <c r="F9" i="1"/>
  <c r="F8" i="1"/>
  <c r="H8" i="1" s="1"/>
  <c r="F7" i="1"/>
  <c r="H7" i="1" s="1"/>
  <c r="L34" i="1" l="1"/>
  <c r="J37" i="1" s="1"/>
  <c r="G9" i="1"/>
  <c r="H9" i="1" s="1"/>
  <c r="G12" i="1"/>
  <c r="H12" i="1" s="1"/>
  <c r="G13" i="1"/>
  <c r="H13" i="1" s="1"/>
  <c r="G10" i="1"/>
  <c r="H10" i="1" s="1"/>
  <c r="G11" i="1"/>
  <c r="H11" i="1" s="1"/>
  <c r="J23" i="1"/>
  <c r="C12" i="1"/>
  <c r="D26" i="1"/>
  <c r="C27" i="1"/>
  <c r="C26" i="1"/>
  <c r="C14" i="1"/>
  <c r="C13" i="1"/>
  <c r="C11" i="1"/>
  <c r="C10" i="1"/>
  <c r="C9" i="1"/>
  <c r="C8" i="1"/>
  <c r="E8" i="1" s="1"/>
  <c r="C7" i="1"/>
  <c r="E7" i="1" s="1"/>
  <c r="C6" i="1"/>
  <c r="E6" i="1" s="1"/>
  <c r="C5" i="1"/>
  <c r="E5" i="1" s="1"/>
  <c r="C4" i="1"/>
  <c r="E4" i="1" s="1"/>
  <c r="E27" i="1" l="1"/>
  <c r="E26" i="1"/>
  <c r="F34" i="1" s="1"/>
  <c r="F37" i="1" s="1"/>
  <c r="E23" i="1"/>
  <c r="D13" i="1" l="1"/>
  <c r="E13" i="1" s="1"/>
  <c r="D14" i="1"/>
  <c r="E14" i="1" s="1"/>
  <c r="E9" i="1"/>
  <c r="E10" i="1"/>
  <c r="D12" i="1"/>
  <c r="E12" i="1" s="1"/>
  <c r="D11" i="1"/>
  <c r="E11" i="1" s="1"/>
</calcChain>
</file>

<file path=xl/sharedStrings.xml><?xml version="1.0" encoding="utf-8"?>
<sst xmlns="http://schemas.openxmlformats.org/spreadsheetml/2006/main" count="259" uniqueCount="78">
  <si>
    <t>Spice</t>
  </si>
  <si>
    <t>Waveform</t>
  </si>
  <si>
    <t>I, A</t>
  </si>
  <si>
    <t>№</t>
  </si>
  <si>
    <t>Ic, A</t>
  </si>
  <si>
    <t>Перевірка</t>
  </si>
  <si>
    <t>Uзв, V</t>
  </si>
  <si>
    <t>off V1</t>
  </si>
  <si>
    <t>Uвс0</t>
  </si>
  <si>
    <t>вих</t>
  </si>
  <si>
    <t>вх</t>
  </si>
  <si>
    <t>амплітуда</t>
  </si>
  <si>
    <t xml:space="preserve">Uп, V </t>
  </si>
  <si>
    <t>b</t>
  </si>
  <si>
    <t>Om</t>
  </si>
  <si>
    <t>Використані компоненти</t>
  </si>
  <si>
    <t>R1</t>
  </si>
  <si>
    <t>R2</t>
  </si>
  <si>
    <t>R3</t>
  </si>
  <si>
    <t>C1</t>
  </si>
  <si>
    <t>C2</t>
  </si>
  <si>
    <t>uF</t>
  </si>
  <si>
    <t>2N7000</t>
  </si>
  <si>
    <t>Похибка, %</t>
  </si>
  <si>
    <t>збільшення Uзв на 0.05 - 0.2В збільшенням R2</t>
  </si>
  <si>
    <t>Ic0</t>
  </si>
  <si>
    <t>???</t>
  </si>
  <si>
    <t>значення амплітуди гармонічного сигналу на вході, при якій починається спотворення форми вихідного сигналу на виході</t>
  </si>
  <si>
    <t>Знайти</t>
  </si>
  <si>
    <t>Знайдене значення визначає максимальну величину змінної напруги на вході, при якій схема виходить з лінійного режиму підсилення</t>
  </si>
  <si>
    <t>Iс1(Uзв0+∆Uзв)</t>
  </si>
  <si>
    <t>∆Ic</t>
  </si>
  <si>
    <t>∆Uзв</t>
  </si>
  <si>
    <t>через дельты</t>
  </si>
  <si>
    <t>ф-ла</t>
  </si>
  <si>
    <r>
      <t>g</t>
    </r>
    <r>
      <rPr>
        <vertAlign val="subscript"/>
        <sz val="11"/>
        <color theme="1"/>
        <rFont val="Calibri"/>
        <family val="2"/>
        <charset val="204"/>
        <scheme val="minor"/>
      </rPr>
      <t>m</t>
    </r>
  </si>
  <si>
    <t>Uзв0 (R2)</t>
  </si>
  <si>
    <t>Передаточну провідність</t>
  </si>
  <si>
    <t>Ku</t>
  </si>
  <si>
    <t>амплитуды</t>
  </si>
  <si>
    <t>-R3 * Gm</t>
  </si>
  <si>
    <t>Якщо до відкриття значення перевірочні ЗАНУЛИТИ</t>
  </si>
  <si>
    <t>коеф підсил</t>
  </si>
  <si>
    <t>V</t>
  </si>
  <si>
    <t>A</t>
  </si>
  <si>
    <t>Виміри</t>
  </si>
  <si>
    <t>Вимкнули V1</t>
  </si>
  <si>
    <t>V2 = 5V</t>
  </si>
  <si>
    <t>Параметри робочої точки</t>
  </si>
  <si>
    <t>V1 = 20mV</t>
  </si>
  <si>
    <t>F = 1KHz</t>
  </si>
  <si>
    <t>Скрін вх, вих сигналів</t>
  </si>
  <si>
    <t>Завдання 3.2</t>
  </si>
  <si>
    <t>Завдання 3.3</t>
  </si>
  <si>
    <t>Скрін спотворення синусоїди</t>
  </si>
  <si>
    <t>Завдання 3.4</t>
  </si>
  <si>
    <t>порогове</t>
  </si>
  <si>
    <t>Затвор-виток</t>
  </si>
  <si>
    <t>сток</t>
  </si>
  <si>
    <t>коеф транзистора</t>
  </si>
  <si>
    <t>Використані елементи</t>
  </si>
  <si>
    <t>амплітуди</t>
  </si>
  <si>
    <t>Новое значение</t>
  </si>
  <si>
    <t>Изменение параметра</t>
  </si>
  <si>
    <t>Завдання 3.5</t>
  </si>
  <si>
    <t>Завдання 3.6</t>
  </si>
  <si>
    <t>Ku_теоретичне</t>
  </si>
  <si>
    <t>Ku_практичне</t>
  </si>
  <si>
    <t>1 вариант</t>
  </si>
  <si>
    <t>2 вариант</t>
  </si>
  <si>
    <t>Завдання 1</t>
  </si>
  <si>
    <t>Якщо до U порогового значення перевірочні ЗАНУЛИТИ</t>
  </si>
  <si>
    <t>через вольтаж на Р3</t>
  </si>
  <si>
    <t>потрібно порахувати</t>
  </si>
  <si>
    <t>gm(по графіку)</t>
  </si>
  <si>
    <t>Червоний графік</t>
  </si>
  <si>
    <t>Синій</t>
  </si>
  <si>
    <t>(U1 = 1.8,U2= 1.6)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</si>
</sst>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#,##0.0000"/>
    <numFmt numFmtId="165" formatCode="#,##0.000"/>
    <numFmt numFmtId="166" formatCode="#,##0.0"/>
    <numFmt numFmtId="167" formatCode="#,##0.000000"/>
    <numFmt numFmtId="168" formatCode="#,##0.00000000000"/>
    <numFmt numFmtId="169" formatCode="0.000"/>
    <numFmt numFmtId="170" formatCode="0.0000"/>
    <numFmt numFmtId="171" formatCode="0.00000"/>
    <numFmt numFmtId="172" formatCode="0.000000"/>
  </numFmts>
  <fonts count="6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164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vertical="center"/>
    </xf>
    <xf numFmtId="164" fontId="0" fillId="0" borderId="4" xfId="0" applyNumberFormat="1" applyBorder="1" applyAlignment="1">
      <alignment vertical="center"/>
    </xf>
    <xf numFmtId="164" fontId="0" fillId="0" borderId="3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3" fontId="0" fillId="0" borderId="0" xfId="0" applyNumberFormat="1" applyAlignment="1">
      <alignment horizontal="center" vertical="center"/>
    </xf>
    <xf numFmtId="167" fontId="0" fillId="2" borderId="1" xfId="0" applyNumberFormat="1" applyFill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7" fontId="0" fillId="0" borderId="1" xfId="0" applyNumberFormat="1" applyFill="1" applyBorder="1" applyAlignment="1">
      <alignment horizontal="center" vertical="center"/>
    </xf>
    <xf numFmtId="0" fontId="1" fillId="0" borderId="0" xfId="0" applyFont="1"/>
    <xf numFmtId="164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169" fontId="0" fillId="0" borderId="1" xfId="0" applyNumberFormat="1" applyFill="1" applyBorder="1" applyAlignment="1">
      <alignment horizontal="center" vertical="center"/>
    </xf>
    <xf numFmtId="170" fontId="0" fillId="0" borderId="1" xfId="0" applyNumberFormat="1" applyFill="1" applyBorder="1" applyAlignment="1">
      <alignment horizontal="center" vertical="center"/>
    </xf>
    <xf numFmtId="171" fontId="0" fillId="0" borderId="1" xfId="0" applyNumberFormat="1" applyFill="1" applyBorder="1" applyAlignment="1">
      <alignment horizontal="center" vertical="center"/>
    </xf>
    <xf numFmtId="172" fontId="0" fillId="0" borderId="1" xfId="0" applyNumberForma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172" fontId="0" fillId="0" borderId="0" xfId="0" applyNumberForma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2" fontId="0" fillId="8" borderId="0" xfId="0" applyNumberFormat="1" applyFill="1" applyAlignment="1">
      <alignment horizontal="center" vertical="center"/>
    </xf>
    <xf numFmtId="171" fontId="0" fillId="0" borderId="0" xfId="0" applyNumberFormat="1" applyFill="1" applyAlignment="1">
      <alignment horizontal="center" vertical="center"/>
    </xf>
    <xf numFmtId="172" fontId="0" fillId="0" borderId="0" xfId="0" applyNumberFormat="1" applyFill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2" fontId="5" fillId="0" borderId="0" xfId="0" applyNumberFormat="1" applyFont="1" applyFill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2" fontId="0" fillId="2" borderId="3" xfId="0" applyNumberForma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5" borderId="2" xfId="0" applyNumberFormat="1" applyFill="1" applyBorder="1" applyAlignment="1">
      <alignment horizontal="center" vertical="center"/>
    </xf>
    <xf numFmtId="2" fontId="0" fillId="5" borderId="4" xfId="0" applyNumberFormat="1" applyFill="1" applyBorder="1" applyAlignment="1">
      <alignment horizontal="center" vertical="center"/>
    </xf>
    <xf numFmtId="2" fontId="0" fillId="5" borderId="3" xfId="0" applyNumberFormat="1" applyFill="1" applyBorder="1" applyAlignment="1">
      <alignment horizontal="center" vertical="center"/>
    </xf>
    <xf numFmtId="2" fontId="0" fillId="6" borderId="4" xfId="0" applyNumberFormat="1" applyFill="1" applyBorder="1" applyAlignment="1">
      <alignment horizontal="center" vertical="center"/>
    </xf>
    <xf numFmtId="2" fontId="0" fillId="6" borderId="3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170" fontId="0" fillId="0" borderId="0" xfId="0" applyNumberFormat="1" applyFill="1" applyBorder="1" applyAlignment="1">
      <alignment horizontal="center" vertical="center"/>
    </xf>
    <xf numFmtId="171" fontId="0" fillId="0" borderId="0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Лист1!$C$2</c:f>
              <c:strCache>
                <c:ptCount val="1"/>
                <c:pt idx="0">
                  <c:v>Spice</c:v>
                </c:pt>
              </c:strCache>
            </c:strRef>
          </c:tx>
          <c:marker>
            <c:symbol val="none"/>
          </c:marker>
          <c:cat>
            <c:numRef>
              <c:f>Лист1!$B$4:$B$14</c:f>
              <c:numCache>
                <c:formatCode>#,##0.0</c:formatCode>
                <c:ptCount val="11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1.4</c:v>
                </c:pt>
                <c:pt idx="7">
                  <c:v>1.6</c:v>
                </c:pt>
                <c:pt idx="8">
                  <c:v>1.8</c:v>
                </c:pt>
                <c:pt idx="9">
                  <c:v>2</c:v>
                </c:pt>
                <c:pt idx="10">
                  <c:v>2.2000000000000002</c:v>
                </c:pt>
              </c:numCache>
            </c:numRef>
          </c:cat>
          <c:val>
            <c:numRef>
              <c:f>Лист1!$C$4:$C$14</c:f>
              <c:numCache>
                <c:formatCode>#,##0.000000</c:formatCode>
                <c:ptCount val="11"/>
                <c:pt idx="0">
                  <c:v>2.4100000000000003E-13</c:v>
                </c:pt>
                <c:pt idx="1">
                  <c:v>4.4000000000000004E-13</c:v>
                </c:pt>
                <c:pt idx="2">
                  <c:v>6.39E-13</c:v>
                </c:pt>
                <c:pt idx="3">
                  <c:v>8.3900000000000006E-13</c:v>
                </c:pt>
                <c:pt idx="4">
                  <c:v>1.04E-12</c:v>
                </c:pt>
                <c:pt idx="5">
                  <c:v>1.242E-12</c:v>
                </c:pt>
                <c:pt idx="6">
                  <c:v>1.439E-12</c:v>
                </c:pt>
                <c:pt idx="7">
                  <c:v>5.1929999999999992E-6</c:v>
                </c:pt>
                <c:pt idx="8">
                  <c:v>3.3090000000000003E-3</c:v>
                </c:pt>
                <c:pt idx="9">
                  <c:v>1.3050000000000001E-2</c:v>
                </c:pt>
                <c:pt idx="10">
                  <c:v>2.8461E-2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433-4F3C-945B-EFEF84527CED}"/>
            </c:ext>
          </c:extLst>
        </c:ser>
        <c:ser>
          <c:idx val="1"/>
          <c:order val="1"/>
          <c:tx>
            <c:strRef>
              <c:f>Лист1!$F$2</c:f>
              <c:strCache>
                <c:ptCount val="1"/>
                <c:pt idx="0">
                  <c:v>Waveform</c:v>
                </c:pt>
              </c:strCache>
            </c:strRef>
          </c:tx>
          <c:marker>
            <c:symbol val="none"/>
          </c:marker>
          <c:cat>
            <c:numRef>
              <c:f>Лист1!$B$4:$B$14</c:f>
              <c:numCache>
                <c:formatCode>#,##0.0</c:formatCode>
                <c:ptCount val="11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1.4</c:v>
                </c:pt>
                <c:pt idx="7">
                  <c:v>1.6</c:v>
                </c:pt>
                <c:pt idx="8">
                  <c:v>1.8</c:v>
                </c:pt>
                <c:pt idx="9">
                  <c:v>2</c:v>
                </c:pt>
                <c:pt idx="10">
                  <c:v>2.2000000000000002</c:v>
                </c:pt>
              </c:numCache>
            </c:numRef>
          </c:cat>
          <c:val>
            <c:numRef>
              <c:f>Лист1!$F$4:$F$14</c:f>
              <c:numCache>
                <c:formatCode>#,##0.000000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2.3999999999999998E-7</c:v>
                </c:pt>
                <c:pt idx="4">
                  <c:v>4.2899999999999996E-6</c:v>
                </c:pt>
                <c:pt idx="5">
                  <c:v>1.6789999999999997E-5</c:v>
                </c:pt>
                <c:pt idx="6">
                  <c:v>1.0580000000000001E-3</c:v>
                </c:pt>
                <c:pt idx="7">
                  <c:v>1.43E-2</c:v>
                </c:pt>
                <c:pt idx="8">
                  <c:v>3.5500000000000004E-2</c:v>
                </c:pt>
                <c:pt idx="9">
                  <c:v>6.2E-2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433-4F3C-945B-EFEF84527C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573760"/>
        <c:axId val="69683456"/>
      </c:lineChart>
      <c:catAx>
        <c:axId val="171573760"/>
        <c:scaling>
          <c:orientation val="minMax"/>
        </c:scaling>
        <c:delete val="0"/>
        <c:axPos val="b"/>
        <c:numFmt formatCode="#,##0.0" sourceLinked="1"/>
        <c:majorTickMark val="out"/>
        <c:minorTickMark val="none"/>
        <c:tickLblPos val="nextTo"/>
        <c:crossAx val="69683456"/>
        <c:crosses val="autoZero"/>
        <c:auto val="1"/>
        <c:lblAlgn val="ctr"/>
        <c:lblOffset val="100"/>
        <c:noMultiLvlLbl val="0"/>
      </c:catAx>
      <c:valAx>
        <c:axId val="69683456"/>
        <c:scaling>
          <c:orientation val="minMax"/>
        </c:scaling>
        <c:delete val="0"/>
        <c:axPos val="l"/>
        <c:majorGridlines/>
        <c:numFmt formatCode="#,##0.000000" sourceLinked="1"/>
        <c:majorTickMark val="out"/>
        <c:minorTickMark val="none"/>
        <c:tickLblPos val="nextTo"/>
        <c:crossAx val="1715737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Лист1!$F$2</c:f>
              <c:strCache>
                <c:ptCount val="1"/>
                <c:pt idx="0">
                  <c:v>Waveform</c:v>
                </c:pt>
              </c:strCache>
            </c:strRef>
          </c:tx>
          <c:xVal>
            <c:numRef>
              <c:f>Лист1!$B$4:$B$14</c:f>
              <c:numCache>
                <c:formatCode>#,##0.0</c:formatCode>
                <c:ptCount val="11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1.4</c:v>
                </c:pt>
                <c:pt idx="7">
                  <c:v>1.6</c:v>
                </c:pt>
                <c:pt idx="8">
                  <c:v>1.8</c:v>
                </c:pt>
                <c:pt idx="9">
                  <c:v>2</c:v>
                </c:pt>
                <c:pt idx="10">
                  <c:v>2.2000000000000002</c:v>
                </c:pt>
              </c:numCache>
            </c:numRef>
          </c:xVal>
          <c:yVal>
            <c:numRef>
              <c:f>Лист1!$F$4:$F$14</c:f>
              <c:numCache>
                <c:formatCode>#,##0.000000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2.3999999999999998E-7</c:v>
                </c:pt>
                <c:pt idx="4">
                  <c:v>4.2899999999999996E-6</c:v>
                </c:pt>
                <c:pt idx="5">
                  <c:v>1.6789999999999997E-5</c:v>
                </c:pt>
                <c:pt idx="6">
                  <c:v>1.0580000000000001E-3</c:v>
                </c:pt>
                <c:pt idx="7">
                  <c:v>1.43E-2</c:v>
                </c:pt>
                <c:pt idx="8">
                  <c:v>3.5500000000000004E-2</c:v>
                </c:pt>
                <c:pt idx="9">
                  <c:v>6.2E-2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C82-415C-BEE3-8D10AE333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85760"/>
        <c:axId val="69686336"/>
      </c:scatterChart>
      <c:valAx>
        <c:axId val="69685760"/>
        <c:scaling>
          <c:orientation val="minMax"/>
        </c:scaling>
        <c:delete val="0"/>
        <c:axPos val="b"/>
        <c:numFmt formatCode="#,##0.0" sourceLinked="1"/>
        <c:majorTickMark val="out"/>
        <c:minorTickMark val="none"/>
        <c:tickLblPos val="nextTo"/>
        <c:crossAx val="69686336"/>
        <c:crosses val="autoZero"/>
        <c:crossBetween val="midCat"/>
        <c:majorUnit val="0.2"/>
      </c:valAx>
      <c:valAx>
        <c:axId val="69686336"/>
        <c:scaling>
          <c:orientation val="minMax"/>
        </c:scaling>
        <c:delete val="0"/>
        <c:axPos val="l"/>
        <c:majorGridlines/>
        <c:numFmt formatCode="#,##0.000000" sourceLinked="1"/>
        <c:majorTickMark val="out"/>
        <c:minorTickMark val="none"/>
        <c:tickLblPos val="nextTo"/>
        <c:crossAx val="696857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Лист1!$F$2</c:f>
              <c:strCache>
                <c:ptCount val="1"/>
                <c:pt idx="0">
                  <c:v>Waveform</c:v>
                </c:pt>
              </c:strCache>
            </c:strRef>
          </c:tx>
          <c:cat>
            <c:numRef>
              <c:f>Лист1!$B$4:$B$13</c:f>
              <c:numCache>
                <c:formatCode>#,##0.0</c:formatCode>
                <c:ptCount val="10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1.4</c:v>
                </c:pt>
                <c:pt idx="7">
                  <c:v>1.6</c:v>
                </c:pt>
                <c:pt idx="8">
                  <c:v>1.8</c:v>
                </c:pt>
                <c:pt idx="9">
                  <c:v>2</c:v>
                </c:pt>
              </c:numCache>
            </c:numRef>
          </c:cat>
          <c:val>
            <c:numRef>
              <c:f>Лист1!$F$4:$F$13</c:f>
              <c:numCache>
                <c:formatCode>#,##0.000000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2.3999999999999998E-7</c:v>
                </c:pt>
                <c:pt idx="4">
                  <c:v>4.2899999999999996E-6</c:v>
                </c:pt>
                <c:pt idx="5">
                  <c:v>1.6789999999999997E-5</c:v>
                </c:pt>
                <c:pt idx="6">
                  <c:v>1.0580000000000001E-3</c:v>
                </c:pt>
                <c:pt idx="7">
                  <c:v>1.43E-2</c:v>
                </c:pt>
                <c:pt idx="8">
                  <c:v>3.5500000000000004E-2</c:v>
                </c:pt>
                <c:pt idx="9">
                  <c:v>6.2E-2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2E1-4111-87C4-362949E5A6C9}"/>
            </c:ext>
          </c:extLst>
        </c:ser>
        <c:ser>
          <c:idx val="1"/>
          <c:order val="1"/>
          <c:tx>
            <c:strRef>
              <c:f>Лист1!$G$1</c:f>
              <c:strCache>
                <c:ptCount val="1"/>
                <c:pt idx="0">
                  <c:v>Перевірка</c:v>
                </c:pt>
              </c:strCache>
            </c:strRef>
          </c:tx>
          <c:val>
            <c:numRef>
              <c:f>Лист1!$G$4:$G$13</c:f>
              <c:numCache>
                <c:formatCode>#,##0.000000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7.7899259765832855E-6</c:v>
                </c:pt>
                <c:pt idx="6">
                  <c:v>3.937439776398417E-3</c:v>
                </c:pt>
                <c:pt idx="7">
                  <c:v>1.5057007933328077E-2</c:v>
                </c:pt>
                <c:pt idx="8">
                  <c:v>3.3366494396765541E-2</c:v>
                </c:pt>
                <c:pt idx="9">
                  <c:v>5.8865899166710818E-2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2E1-4111-87C4-362949E5A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3861632"/>
        <c:axId val="69688064"/>
      </c:lineChart>
      <c:catAx>
        <c:axId val="633861632"/>
        <c:scaling>
          <c:orientation val="minMax"/>
        </c:scaling>
        <c:delete val="0"/>
        <c:axPos val="b"/>
        <c:numFmt formatCode="#,##0.0" sourceLinked="1"/>
        <c:majorTickMark val="out"/>
        <c:minorTickMark val="none"/>
        <c:tickLblPos val="nextTo"/>
        <c:crossAx val="69688064"/>
        <c:crosses val="autoZero"/>
        <c:auto val="1"/>
        <c:lblAlgn val="ctr"/>
        <c:lblOffset val="100"/>
        <c:noMultiLvlLbl val="0"/>
      </c:catAx>
      <c:valAx>
        <c:axId val="69688064"/>
        <c:scaling>
          <c:orientation val="minMax"/>
        </c:scaling>
        <c:delete val="0"/>
        <c:axPos val="l"/>
        <c:majorGridlines/>
        <c:numFmt formatCode="#,##0.000000" sourceLinked="1"/>
        <c:majorTickMark val="out"/>
        <c:minorTickMark val="none"/>
        <c:tickLblPos val="nextTo"/>
        <c:crossAx val="6338616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Лист1!$C$2</c:f>
              <c:strCache>
                <c:ptCount val="1"/>
                <c:pt idx="0">
                  <c:v>Spice</c:v>
                </c:pt>
              </c:strCache>
            </c:strRef>
          </c:tx>
          <c:cat>
            <c:numRef>
              <c:f>Лист1!$B$4:$B$14</c:f>
              <c:numCache>
                <c:formatCode>#,##0.0</c:formatCode>
                <c:ptCount val="11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1.4</c:v>
                </c:pt>
                <c:pt idx="7">
                  <c:v>1.6</c:v>
                </c:pt>
                <c:pt idx="8">
                  <c:v>1.8</c:v>
                </c:pt>
                <c:pt idx="9">
                  <c:v>2</c:v>
                </c:pt>
                <c:pt idx="10">
                  <c:v>2.2000000000000002</c:v>
                </c:pt>
              </c:numCache>
            </c:numRef>
          </c:cat>
          <c:val>
            <c:numRef>
              <c:f>Лист1!$C$4:$C$14</c:f>
              <c:numCache>
                <c:formatCode>#,##0.000000</c:formatCode>
                <c:ptCount val="11"/>
                <c:pt idx="0">
                  <c:v>2.4100000000000003E-13</c:v>
                </c:pt>
                <c:pt idx="1">
                  <c:v>4.4000000000000004E-13</c:v>
                </c:pt>
                <c:pt idx="2">
                  <c:v>6.39E-13</c:v>
                </c:pt>
                <c:pt idx="3">
                  <c:v>8.3900000000000006E-13</c:v>
                </c:pt>
                <c:pt idx="4">
                  <c:v>1.04E-12</c:v>
                </c:pt>
                <c:pt idx="5">
                  <c:v>1.242E-12</c:v>
                </c:pt>
                <c:pt idx="6">
                  <c:v>1.439E-12</c:v>
                </c:pt>
                <c:pt idx="7">
                  <c:v>5.1929999999999992E-6</c:v>
                </c:pt>
                <c:pt idx="8">
                  <c:v>3.3090000000000003E-3</c:v>
                </c:pt>
                <c:pt idx="9">
                  <c:v>1.3050000000000001E-2</c:v>
                </c:pt>
                <c:pt idx="10">
                  <c:v>2.8461E-2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AE4-49CF-9906-5ABC55F7618A}"/>
            </c:ext>
          </c:extLst>
        </c:ser>
        <c:ser>
          <c:idx val="1"/>
          <c:order val="1"/>
          <c:tx>
            <c:strRef>
              <c:f>Лист1!$D$1</c:f>
              <c:strCache>
                <c:ptCount val="1"/>
                <c:pt idx="0">
                  <c:v>Перевірка</c:v>
                </c:pt>
              </c:strCache>
            </c:strRef>
          </c:tx>
          <c:cat>
            <c:numRef>
              <c:f>Лист1!$B$4:$B$14</c:f>
              <c:numCache>
                <c:formatCode>#,##0.0</c:formatCode>
                <c:ptCount val="11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1.4</c:v>
                </c:pt>
                <c:pt idx="7">
                  <c:v>1.6</c:v>
                </c:pt>
                <c:pt idx="8">
                  <c:v>1.8</c:v>
                </c:pt>
                <c:pt idx="9">
                  <c:v>2</c:v>
                </c:pt>
                <c:pt idx="10">
                  <c:v>2.2000000000000002</c:v>
                </c:pt>
              </c:numCache>
            </c:numRef>
          </c:cat>
          <c:val>
            <c:numRef>
              <c:f>Лист1!$D$4:$D$14</c:f>
              <c:numCache>
                <c:formatCode>#,##0.000000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9.2602040816328553E-6</c:v>
                </c:pt>
                <c:pt idx="8">
                  <c:v>3.407219387755104E-3</c:v>
                </c:pt>
                <c:pt idx="9">
                  <c:v>1.2927627551020407E-2</c:v>
                </c:pt>
                <c:pt idx="10">
                  <c:v>2.8570484693877563E-2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AE4-49CF-9906-5ABC55F761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229184"/>
        <c:axId val="633150208"/>
      </c:lineChart>
      <c:catAx>
        <c:axId val="171229184"/>
        <c:scaling>
          <c:orientation val="minMax"/>
        </c:scaling>
        <c:delete val="0"/>
        <c:axPos val="b"/>
        <c:numFmt formatCode="#,##0.0" sourceLinked="1"/>
        <c:majorTickMark val="out"/>
        <c:minorTickMark val="none"/>
        <c:tickLblPos val="nextTo"/>
        <c:crossAx val="633150208"/>
        <c:crosses val="autoZero"/>
        <c:auto val="1"/>
        <c:lblAlgn val="ctr"/>
        <c:lblOffset val="100"/>
        <c:noMultiLvlLbl val="0"/>
      </c:catAx>
      <c:valAx>
        <c:axId val="633150208"/>
        <c:scaling>
          <c:orientation val="minMax"/>
        </c:scaling>
        <c:delete val="0"/>
        <c:axPos val="l"/>
        <c:majorGridlines/>
        <c:numFmt formatCode="#,##0.000000" sourceLinked="1"/>
        <c:majorTickMark val="out"/>
        <c:minorTickMark val="none"/>
        <c:tickLblPos val="nextTo"/>
        <c:crossAx val="1712291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Лист1!$C$2</c:f>
              <c:strCache>
                <c:ptCount val="1"/>
                <c:pt idx="0">
                  <c:v>Spice</c:v>
                </c:pt>
              </c:strCache>
            </c:strRef>
          </c:tx>
          <c:marker>
            <c:symbol val="none"/>
          </c:marker>
          <c:cat>
            <c:numRef>
              <c:f>Лист1!$B$4:$B$14</c:f>
              <c:numCache>
                <c:formatCode>#,##0.0</c:formatCode>
                <c:ptCount val="11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1.4</c:v>
                </c:pt>
                <c:pt idx="7">
                  <c:v>1.6</c:v>
                </c:pt>
                <c:pt idx="8">
                  <c:v>1.8</c:v>
                </c:pt>
                <c:pt idx="9">
                  <c:v>2</c:v>
                </c:pt>
                <c:pt idx="10">
                  <c:v>2.2000000000000002</c:v>
                </c:pt>
              </c:numCache>
            </c:numRef>
          </c:cat>
          <c:val>
            <c:numRef>
              <c:f>Лист1!$C$4:$C$14</c:f>
              <c:numCache>
                <c:formatCode>#,##0.000000</c:formatCode>
                <c:ptCount val="11"/>
                <c:pt idx="0">
                  <c:v>2.4100000000000003E-13</c:v>
                </c:pt>
                <c:pt idx="1">
                  <c:v>4.4000000000000004E-13</c:v>
                </c:pt>
                <c:pt idx="2">
                  <c:v>6.39E-13</c:v>
                </c:pt>
                <c:pt idx="3">
                  <c:v>8.3900000000000006E-13</c:v>
                </c:pt>
                <c:pt idx="4">
                  <c:v>1.04E-12</c:v>
                </c:pt>
                <c:pt idx="5">
                  <c:v>1.242E-12</c:v>
                </c:pt>
                <c:pt idx="6">
                  <c:v>1.439E-12</c:v>
                </c:pt>
                <c:pt idx="7">
                  <c:v>5.1929999999999992E-6</c:v>
                </c:pt>
                <c:pt idx="8">
                  <c:v>3.3090000000000003E-3</c:v>
                </c:pt>
                <c:pt idx="9">
                  <c:v>1.3050000000000001E-2</c:v>
                </c:pt>
                <c:pt idx="10">
                  <c:v>2.8461E-2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3F0-4E0B-921E-8208E92832CA}"/>
            </c:ext>
          </c:extLst>
        </c:ser>
        <c:ser>
          <c:idx val="1"/>
          <c:order val="1"/>
          <c:tx>
            <c:strRef>
              <c:f>Лист1!$F$2</c:f>
              <c:strCache>
                <c:ptCount val="1"/>
                <c:pt idx="0">
                  <c:v>Waveform</c:v>
                </c:pt>
              </c:strCache>
            </c:strRef>
          </c:tx>
          <c:marker>
            <c:symbol val="none"/>
          </c:marker>
          <c:cat>
            <c:numRef>
              <c:f>Лист1!$B$4:$B$14</c:f>
              <c:numCache>
                <c:formatCode>#,##0.0</c:formatCode>
                <c:ptCount val="11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1.4</c:v>
                </c:pt>
                <c:pt idx="7">
                  <c:v>1.6</c:v>
                </c:pt>
                <c:pt idx="8">
                  <c:v>1.8</c:v>
                </c:pt>
                <c:pt idx="9">
                  <c:v>2</c:v>
                </c:pt>
                <c:pt idx="10">
                  <c:v>2.2000000000000002</c:v>
                </c:pt>
              </c:numCache>
            </c:numRef>
          </c:cat>
          <c:val>
            <c:numRef>
              <c:f>Лист1!$F$4:$F$14</c:f>
              <c:numCache>
                <c:formatCode>#,##0.000000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2.3999999999999998E-7</c:v>
                </c:pt>
                <c:pt idx="4">
                  <c:v>4.2899999999999996E-6</c:v>
                </c:pt>
                <c:pt idx="5">
                  <c:v>1.6789999999999997E-5</c:v>
                </c:pt>
                <c:pt idx="6">
                  <c:v>1.0580000000000001E-3</c:v>
                </c:pt>
                <c:pt idx="7">
                  <c:v>1.43E-2</c:v>
                </c:pt>
                <c:pt idx="8">
                  <c:v>3.5500000000000004E-2</c:v>
                </c:pt>
                <c:pt idx="9">
                  <c:v>6.2E-2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3F0-4E0B-921E-8208E92832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230720"/>
        <c:axId val="185796288"/>
      </c:lineChart>
      <c:catAx>
        <c:axId val="171230720"/>
        <c:scaling>
          <c:orientation val="minMax"/>
        </c:scaling>
        <c:delete val="0"/>
        <c:axPos val="b"/>
        <c:numFmt formatCode="#,##0.0" sourceLinked="1"/>
        <c:majorTickMark val="out"/>
        <c:minorTickMark val="none"/>
        <c:tickLblPos val="nextTo"/>
        <c:crossAx val="185796288"/>
        <c:crosses val="autoZero"/>
        <c:auto val="1"/>
        <c:lblAlgn val="ctr"/>
        <c:lblOffset val="100"/>
        <c:noMultiLvlLbl val="0"/>
      </c:catAx>
      <c:valAx>
        <c:axId val="185796288"/>
        <c:scaling>
          <c:orientation val="minMax"/>
        </c:scaling>
        <c:delete val="0"/>
        <c:axPos val="l"/>
        <c:majorGridlines/>
        <c:numFmt formatCode="#,##0.000000" sourceLinked="1"/>
        <c:majorTickMark val="out"/>
        <c:minorTickMark val="none"/>
        <c:tickLblPos val="nextTo"/>
        <c:crossAx val="1712307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Лист1!$F$2</c:f>
              <c:strCache>
                <c:ptCount val="1"/>
                <c:pt idx="0">
                  <c:v>Waveform</c:v>
                </c:pt>
              </c:strCache>
            </c:strRef>
          </c:tx>
          <c:cat>
            <c:numRef>
              <c:f>Лист1!$B$4:$B$13</c:f>
              <c:numCache>
                <c:formatCode>#,##0.0</c:formatCode>
                <c:ptCount val="10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1.4</c:v>
                </c:pt>
                <c:pt idx="7">
                  <c:v>1.6</c:v>
                </c:pt>
                <c:pt idx="8">
                  <c:v>1.8</c:v>
                </c:pt>
                <c:pt idx="9">
                  <c:v>2</c:v>
                </c:pt>
              </c:numCache>
            </c:numRef>
          </c:cat>
          <c:val>
            <c:numRef>
              <c:f>Лист1!$F$4:$F$13</c:f>
              <c:numCache>
                <c:formatCode>#,##0.000000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2.3999999999999998E-7</c:v>
                </c:pt>
                <c:pt idx="4">
                  <c:v>4.2899999999999996E-6</c:v>
                </c:pt>
                <c:pt idx="5">
                  <c:v>1.6789999999999997E-5</c:v>
                </c:pt>
                <c:pt idx="6">
                  <c:v>1.0580000000000001E-3</c:v>
                </c:pt>
                <c:pt idx="7">
                  <c:v>1.43E-2</c:v>
                </c:pt>
                <c:pt idx="8">
                  <c:v>3.5500000000000004E-2</c:v>
                </c:pt>
                <c:pt idx="9">
                  <c:v>6.2E-2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207-4F42-AE03-EFBF4553B75F}"/>
            </c:ext>
          </c:extLst>
        </c:ser>
        <c:ser>
          <c:idx val="1"/>
          <c:order val="1"/>
          <c:tx>
            <c:strRef>
              <c:f>Лист1!$G$1</c:f>
              <c:strCache>
                <c:ptCount val="1"/>
                <c:pt idx="0">
                  <c:v>Перевірка</c:v>
                </c:pt>
              </c:strCache>
            </c:strRef>
          </c:tx>
          <c:val>
            <c:numRef>
              <c:f>Лист1!$G$4:$G$13</c:f>
              <c:numCache>
                <c:formatCode>#,##0.000000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7.7899259765832855E-6</c:v>
                </c:pt>
                <c:pt idx="6">
                  <c:v>3.937439776398417E-3</c:v>
                </c:pt>
                <c:pt idx="7">
                  <c:v>1.5057007933328077E-2</c:v>
                </c:pt>
                <c:pt idx="8">
                  <c:v>3.3366494396765541E-2</c:v>
                </c:pt>
                <c:pt idx="9">
                  <c:v>5.8865899166710818E-2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207-4F42-AE03-EFBF4553B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232768"/>
        <c:axId val="185798592"/>
      </c:lineChart>
      <c:catAx>
        <c:axId val="171232768"/>
        <c:scaling>
          <c:orientation val="minMax"/>
        </c:scaling>
        <c:delete val="0"/>
        <c:axPos val="b"/>
        <c:numFmt formatCode="#,##0.0" sourceLinked="1"/>
        <c:majorTickMark val="out"/>
        <c:minorTickMark val="none"/>
        <c:tickLblPos val="nextTo"/>
        <c:crossAx val="185798592"/>
        <c:crosses val="autoZero"/>
        <c:auto val="1"/>
        <c:lblAlgn val="ctr"/>
        <c:lblOffset val="100"/>
        <c:noMultiLvlLbl val="0"/>
      </c:catAx>
      <c:valAx>
        <c:axId val="185798592"/>
        <c:scaling>
          <c:orientation val="minMax"/>
        </c:scaling>
        <c:delete val="0"/>
        <c:axPos val="l"/>
        <c:majorGridlines/>
        <c:numFmt formatCode="#,##0.000000" sourceLinked="1"/>
        <c:majorTickMark val="out"/>
        <c:minorTickMark val="none"/>
        <c:tickLblPos val="nextTo"/>
        <c:crossAx val="1712327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Лист1!$C$2</c:f>
              <c:strCache>
                <c:ptCount val="1"/>
                <c:pt idx="0">
                  <c:v>Spice</c:v>
                </c:pt>
              </c:strCache>
            </c:strRef>
          </c:tx>
          <c:cat>
            <c:numRef>
              <c:f>Лист1!$B$4:$B$14</c:f>
              <c:numCache>
                <c:formatCode>#,##0.0</c:formatCode>
                <c:ptCount val="11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1.4</c:v>
                </c:pt>
                <c:pt idx="7">
                  <c:v>1.6</c:v>
                </c:pt>
                <c:pt idx="8">
                  <c:v>1.8</c:v>
                </c:pt>
                <c:pt idx="9">
                  <c:v>2</c:v>
                </c:pt>
                <c:pt idx="10">
                  <c:v>2.2000000000000002</c:v>
                </c:pt>
              </c:numCache>
            </c:numRef>
          </c:cat>
          <c:val>
            <c:numRef>
              <c:f>Лист1!$C$4:$C$14</c:f>
              <c:numCache>
                <c:formatCode>#,##0.000000</c:formatCode>
                <c:ptCount val="11"/>
                <c:pt idx="0">
                  <c:v>2.4100000000000003E-13</c:v>
                </c:pt>
                <c:pt idx="1">
                  <c:v>4.4000000000000004E-13</c:v>
                </c:pt>
                <c:pt idx="2">
                  <c:v>6.39E-13</c:v>
                </c:pt>
                <c:pt idx="3">
                  <c:v>8.3900000000000006E-13</c:v>
                </c:pt>
                <c:pt idx="4">
                  <c:v>1.04E-12</c:v>
                </c:pt>
                <c:pt idx="5">
                  <c:v>1.242E-12</c:v>
                </c:pt>
                <c:pt idx="6">
                  <c:v>1.439E-12</c:v>
                </c:pt>
                <c:pt idx="7">
                  <c:v>5.1929999999999992E-6</c:v>
                </c:pt>
                <c:pt idx="8">
                  <c:v>3.3090000000000003E-3</c:v>
                </c:pt>
                <c:pt idx="9">
                  <c:v>1.3050000000000001E-2</c:v>
                </c:pt>
                <c:pt idx="10">
                  <c:v>2.8461E-2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519-474D-A37D-EC088DA53E81}"/>
            </c:ext>
          </c:extLst>
        </c:ser>
        <c:ser>
          <c:idx val="1"/>
          <c:order val="1"/>
          <c:tx>
            <c:strRef>
              <c:f>Лист1!$D$1</c:f>
              <c:strCache>
                <c:ptCount val="1"/>
                <c:pt idx="0">
                  <c:v>Перевірка</c:v>
                </c:pt>
              </c:strCache>
            </c:strRef>
          </c:tx>
          <c:cat>
            <c:numRef>
              <c:f>Лист1!$B$4:$B$14</c:f>
              <c:numCache>
                <c:formatCode>#,##0.0</c:formatCode>
                <c:ptCount val="11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1.4</c:v>
                </c:pt>
                <c:pt idx="7">
                  <c:v>1.6</c:v>
                </c:pt>
                <c:pt idx="8">
                  <c:v>1.8</c:v>
                </c:pt>
                <c:pt idx="9">
                  <c:v>2</c:v>
                </c:pt>
                <c:pt idx="10">
                  <c:v>2.2000000000000002</c:v>
                </c:pt>
              </c:numCache>
            </c:numRef>
          </c:cat>
          <c:val>
            <c:numRef>
              <c:f>Лист1!$D$4:$D$14</c:f>
              <c:numCache>
                <c:formatCode>#,##0.000000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9.2602040816328553E-6</c:v>
                </c:pt>
                <c:pt idx="8">
                  <c:v>3.407219387755104E-3</c:v>
                </c:pt>
                <c:pt idx="9">
                  <c:v>1.2927627551020407E-2</c:v>
                </c:pt>
                <c:pt idx="10">
                  <c:v>2.8570484693877563E-2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519-474D-A37D-EC088DA53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855360"/>
        <c:axId val="185800896"/>
      </c:lineChart>
      <c:catAx>
        <c:axId val="187855360"/>
        <c:scaling>
          <c:orientation val="minMax"/>
        </c:scaling>
        <c:delete val="0"/>
        <c:axPos val="b"/>
        <c:numFmt formatCode="#,##0.0" sourceLinked="1"/>
        <c:majorTickMark val="out"/>
        <c:minorTickMark val="none"/>
        <c:tickLblPos val="nextTo"/>
        <c:crossAx val="185800896"/>
        <c:crosses val="autoZero"/>
        <c:auto val="1"/>
        <c:lblAlgn val="ctr"/>
        <c:lblOffset val="100"/>
        <c:noMultiLvlLbl val="0"/>
      </c:catAx>
      <c:valAx>
        <c:axId val="185800896"/>
        <c:scaling>
          <c:orientation val="minMax"/>
        </c:scaling>
        <c:delete val="0"/>
        <c:axPos val="l"/>
        <c:majorGridlines/>
        <c:numFmt formatCode="#,##0.000000" sourceLinked="1"/>
        <c:majorTickMark val="out"/>
        <c:minorTickMark val="none"/>
        <c:tickLblPos val="nextTo"/>
        <c:crossAx val="1878553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Измерения!$G$4</c:f>
              <c:strCache>
                <c:ptCount val="1"/>
                <c:pt idx="0">
                  <c:v>I, A</c:v>
                </c:pt>
              </c:strCache>
            </c:strRef>
          </c:tx>
          <c:xVal>
            <c:numRef>
              <c:f>Измерения!$B$5:$B$15</c:f>
              <c:numCache>
                <c:formatCode>0.00</c:formatCode>
                <c:ptCount val="11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1.4</c:v>
                </c:pt>
                <c:pt idx="7">
                  <c:v>1.6</c:v>
                </c:pt>
                <c:pt idx="8">
                  <c:v>1.8</c:v>
                </c:pt>
                <c:pt idx="9">
                  <c:v>2</c:v>
                </c:pt>
                <c:pt idx="10">
                  <c:v>2.2000000000000002</c:v>
                </c:pt>
              </c:numCache>
            </c:numRef>
          </c:xVal>
          <c:yVal>
            <c:numRef>
              <c:f>Измерения!$G$5:$G$15</c:f>
              <c:numCache>
                <c:formatCode>0.000000</c:formatCode>
                <c:ptCount val="11"/>
                <c:pt idx="0">
                  <c:v>0</c:v>
                </c:pt>
                <c:pt idx="1">
                  <c:v>2.3999999999999998E-7</c:v>
                </c:pt>
                <c:pt idx="2">
                  <c:v>4.3599999999999998E-6</c:v>
                </c:pt>
                <c:pt idx="3">
                  <c:v>1.6799999999999998E-5</c:v>
                </c:pt>
                <c:pt idx="4">
                  <c:v>9.9500000000000001E-4</c:v>
                </c:pt>
                <c:pt idx="5">
                  <c:v>1.2E-2</c:v>
                </c:pt>
                <c:pt idx="6">
                  <c:v>3.0499999999999999E-2</c:v>
                </c:pt>
                <c:pt idx="7">
                  <c:v>4.8799999999999996E-2</c:v>
                </c:pt>
                <c:pt idx="8">
                  <c:v>4.8799999999999996E-2</c:v>
                </c:pt>
                <c:pt idx="9">
                  <c:v>4.9000000000000002E-2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606784"/>
        <c:axId val="640607360"/>
      </c:scatterChart>
      <c:valAx>
        <c:axId val="640606784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640607360"/>
        <c:crosses val="autoZero"/>
        <c:crossBetween val="midCat"/>
      </c:valAx>
      <c:valAx>
        <c:axId val="640607360"/>
        <c:scaling>
          <c:orientation val="minMax"/>
        </c:scaling>
        <c:delete val="0"/>
        <c:axPos val="l"/>
        <c:majorGridlines/>
        <c:numFmt formatCode="0.000000" sourceLinked="1"/>
        <c:majorTickMark val="out"/>
        <c:minorTickMark val="none"/>
        <c:tickLblPos val="nextTo"/>
        <c:crossAx val="6406067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Лист1!$F$2</c:f>
              <c:strCache>
                <c:ptCount val="1"/>
                <c:pt idx="0">
                  <c:v>Waveform</c:v>
                </c:pt>
              </c:strCache>
            </c:strRef>
          </c:tx>
          <c:cat>
            <c:numRef>
              <c:f>Лист1!$B$4:$B$13</c:f>
              <c:numCache>
                <c:formatCode>#,##0.0</c:formatCode>
                <c:ptCount val="10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1.4</c:v>
                </c:pt>
                <c:pt idx="7">
                  <c:v>1.6</c:v>
                </c:pt>
                <c:pt idx="8">
                  <c:v>1.8</c:v>
                </c:pt>
                <c:pt idx="9">
                  <c:v>2</c:v>
                </c:pt>
              </c:numCache>
            </c:numRef>
          </c:cat>
          <c:val>
            <c:numRef>
              <c:f>Лист1!$F$4:$F$13</c:f>
              <c:numCache>
                <c:formatCode>#,##0.000000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2.3999999999999998E-7</c:v>
                </c:pt>
                <c:pt idx="4">
                  <c:v>4.2899999999999996E-6</c:v>
                </c:pt>
                <c:pt idx="5">
                  <c:v>1.6789999999999997E-5</c:v>
                </c:pt>
                <c:pt idx="6">
                  <c:v>1.0580000000000001E-3</c:v>
                </c:pt>
                <c:pt idx="7">
                  <c:v>1.43E-2</c:v>
                </c:pt>
                <c:pt idx="8">
                  <c:v>3.5500000000000004E-2</c:v>
                </c:pt>
                <c:pt idx="9">
                  <c:v>6.2E-2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207-4F42-AE03-EFBF4553B75F}"/>
            </c:ext>
          </c:extLst>
        </c:ser>
        <c:ser>
          <c:idx val="1"/>
          <c:order val="1"/>
          <c:tx>
            <c:strRef>
              <c:f>Лист1!$G$1</c:f>
              <c:strCache>
                <c:ptCount val="1"/>
                <c:pt idx="0">
                  <c:v>Перевірка</c:v>
                </c:pt>
              </c:strCache>
            </c:strRef>
          </c:tx>
          <c:val>
            <c:numRef>
              <c:f>Лист1!$G$4:$G$13</c:f>
              <c:numCache>
                <c:formatCode>#,##0.000000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7.7899259765832855E-6</c:v>
                </c:pt>
                <c:pt idx="6">
                  <c:v>3.937439776398417E-3</c:v>
                </c:pt>
                <c:pt idx="7">
                  <c:v>1.5057007933328077E-2</c:v>
                </c:pt>
                <c:pt idx="8">
                  <c:v>3.3366494396765541E-2</c:v>
                </c:pt>
                <c:pt idx="9">
                  <c:v>5.8865899166710818E-2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207-4F42-AE03-EFBF4553B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301376"/>
        <c:axId val="640611392"/>
      </c:lineChart>
      <c:catAx>
        <c:axId val="171301376"/>
        <c:scaling>
          <c:orientation val="minMax"/>
        </c:scaling>
        <c:delete val="0"/>
        <c:axPos val="b"/>
        <c:numFmt formatCode="#,##0.0" sourceLinked="1"/>
        <c:majorTickMark val="out"/>
        <c:minorTickMark val="none"/>
        <c:tickLblPos val="nextTo"/>
        <c:crossAx val="640611392"/>
        <c:crosses val="autoZero"/>
        <c:auto val="1"/>
        <c:lblAlgn val="ctr"/>
        <c:lblOffset val="100"/>
        <c:noMultiLvlLbl val="0"/>
      </c:catAx>
      <c:valAx>
        <c:axId val="640611392"/>
        <c:scaling>
          <c:orientation val="minMax"/>
        </c:scaling>
        <c:delete val="0"/>
        <c:axPos val="l"/>
        <c:majorGridlines/>
        <c:numFmt formatCode="#,##0.000000" sourceLinked="1"/>
        <c:majorTickMark val="out"/>
        <c:minorTickMark val="none"/>
        <c:tickLblPos val="nextTo"/>
        <c:crossAx val="1713013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Лист1!$C$2</c:f>
              <c:strCache>
                <c:ptCount val="1"/>
                <c:pt idx="0">
                  <c:v>Spice</c:v>
                </c:pt>
              </c:strCache>
            </c:strRef>
          </c:tx>
          <c:cat>
            <c:numRef>
              <c:f>Лист1!$B$4:$B$14</c:f>
              <c:numCache>
                <c:formatCode>#,##0.0</c:formatCode>
                <c:ptCount val="11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1.4</c:v>
                </c:pt>
                <c:pt idx="7">
                  <c:v>1.6</c:v>
                </c:pt>
                <c:pt idx="8">
                  <c:v>1.8</c:v>
                </c:pt>
                <c:pt idx="9">
                  <c:v>2</c:v>
                </c:pt>
                <c:pt idx="10">
                  <c:v>2.2000000000000002</c:v>
                </c:pt>
              </c:numCache>
            </c:numRef>
          </c:cat>
          <c:val>
            <c:numRef>
              <c:f>Лист1!$C$4:$C$14</c:f>
              <c:numCache>
                <c:formatCode>#,##0.000000</c:formatCode>
                <c:ptCount val="11"/>
                <c:pt idx="0">
                  <c:v>2.4100000000000003E-13</c:v>
                </c:pt>
                <c:pt idx="1">
                  <c:v>4.4000000000000004E-13</c:v>
                </c:pt>
                <c:pt idx="2">
                  <c:v>6.39E-13</c:v>
                </c:pt>
                <c:pt idx="3">
                  <c:v>8.3900000000000006E-13</c:v>
                </c:pt>
                <c:pt idx="4">
                  <c:v>1.04E-12</c:v>
                </c:pt>
                <c:pt idx="5">
                  <c:v>1.242E-12</c:v>
                </c:pt>
                <c:pt idx="6">
                  <c:v>1.439E-12</c:v>
                </c:pt>
                <c:pt idx="7">
                  <c:v>5.1929999999999992E-6</c:v>
                </c:pt>
                <c:pt idx="8">
                  <c:v>3.3090000000000003E-3</c:v>
                </c:pt>
                <c:pt idx="9">
                  <c:v>1.3050000000000001E-2</c:v>
                </c:pt>
                <c:pt idx="10">
                  <c:v>2.8461E-2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519-474D-A37D-EC088DA53E81}"/>
            </c:ext>
          </c:extLst>
        </c:ser>
        <c:ser>
          <c:idx val="1"/>
          <c:order val="1"/>
          <c:tx>
            <c:strRef>
              <c:f>Лист1!$D$1</c:f>
              <c:strCache>
                <c:ptCount val="1"/>
                <c:pt idx="0">
                  <c:v>Перевірка</c:v>
                </c:pt>
              </c:strCache>
            </c:strRef>
          </c:tx>
          <c:cat>
            <c:numRef>
              <c:f>Лист1!$B$4:$B$14</c:f>
              <c:numCache>
                <c:formatCode>#,##0.0</c:formatCode>
                <c:ptCount val="11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1.4</c:v>
                </c:pt>
                <c:pt idx="7">
                  <c:v>1.6</c:v>
                </c:pt>
                <c:pt idx="8">
                  <c:v>1.8</c:v>
                </c:pt>
                <c:pt idx="9">
                  <c:v>2</c:v>
                </c:pt>
                <c:pt idx="10">
                  <c:v>2.2000000000000002</c:v>
                </c:pt>
              </c:numCache>
            </c:numRef>
          </c:cat>
          <c:val>
            <c:numRef>
              <c:f>Лист1!$D$4:$D$14</c:f>
              <c:numCache>
                <c:formatCode>#,##0.000000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9.2602040816328553E-6</c:v>
                </c:pt>
                <c:pt idx="8">
                  <c:v>3.407219387755104E-3</c:v>
                </c:pt>
                <c:pt idx="9">
                  <c:v>1.2927627551020407E-2</c:v>
                </c:pt>
                <c:pt idx="10">
                  <c:v>2.8570484693877563E-2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519-474D-A37D-EC088DA53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306496"/>
        <c:axId val="640613696"/>
      </c:lineChart>
      <c:catAx>
        <c:axId val="187306496"/>
        <c:scaling>
          <c:orientation val="minMax"/>
        </c:scaling>
        <c:delete val="0"/>
        <c:axPos val="b"/>
        <c:numFmt formatCode="#,##0.0" sourceLinked="1"/>
        <c:majorTickMark val="out"/>
        <c:minorTickMark val="none"/>
        <c:tickLblPos val="nextTo"/>
        <c:crossAx val="640613696"/>
        <c:crosses val="autoZero"/>
        <c:auto val="1"/>
        <c:lblAlgn val="ctr"/>
        <c:lblOffset val="100"/>
        <c:noMultiLvlLbl val="0"/>
      </c:catAx>
      <c:valAx>
        <c:axId val="640613696"/>
        <c:scaling>
          <c:orientation val="minMax"/>
        </c:scaling>
        <c:delete val="0"/>
        <c:axPos val="l"/>
        <c:majorGridlines/>
        <c:numFmt formatCode="#,##0.000000" sourceLinked="1"/>
        <c:majorTickMark val="out"/>
        <c:minorTickMark val="none"/>
        <c:tickLblPos val="nextTo"/>
        <c:crossAx val="1873064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НОВЫЕ_ИЗМЕРЕНИЯ!$G$4</c:f>
              <c:strCache>
                <c:ptCount val="1"/>
                <c:pt idx="0">
                  <c:v>I, A</c:v>
                </c:pt>
              </c:strCache>
            </c:strRef>
          </c:tx>
          <c:xVal>
            <c:numRef>
              <c:f>НОВЫЕ_ИЗМЕРЕНИЯ!$B$5:$B$14</c:f>
              <c:numCache>
                <c:formatCode>0.00</c:formatCode>
                <c:ptCount val="10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1.4</c:v>
                </c:pt>
                <c:pt idx="7">
                  <c:v>1.6</c:v>
                </c:pt>
                <c:pt idx="8">
                  <c:v>1.8</c:v>
                </c:pt>
                <c:pt idx="9">
                  <c:v>2</c:v>
                </c:pt>
              </c:numCache>
            </c:numRef>
          </c:xVal>
          <c:yVal>
            <c:numRef>
              <c:f>НОВЫЕ_ИЗМЕРЕНИЯ!$G$5:$G$14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0.000000">
                  <c:v>1.8E-7</c:v>
                </c:pt>
                <c:pt idx="4" formatCode="0.000000">
                  <c:v>3.6099999999999997E-6</c:v>
                </c:pt>
                <c:pt idx="5" formatCode="0.000000">
                  <c:v>1.5529999999999999E-5</c:v>
                </c:pt>
                <c:pt idx="6" formatCode="0.000000">
                  <c:v>9.5500000000000001E-4</c:v>
                </c:pt>
                <c:pt idx="7" formatCode="0.000000">
                  <c:v>1.29E-2</c:v>
                </c:pt>
                <c:pt idx="8" formatCode="0.000000">
                  <c:v>3.1800000000000002E-2</c:v>
                </c:pt>
                <c:pt idx="9" formatCode="0.000000">
                  <c:v>5.9500000000000004E-2</c:v>
                </c:pt>
              </c:numCache>
            </c:numRef>
          </c:yVal>
          <c:smooth val="1"/>
        </c:ser>
        <c:ser>
          <c:idx val="1"/>
          <c:order val="1"/>
          <c:tx>
            <c:v>I,A(Перевірка)</c:v>
          </c:tx>
          <c:xVal>
            <c:numRef>
              <c:f>НОВЫЕ_ИЗМЕРЕНИЯ!$B$5:$B$14</c:f>
              <c:numCache>
                <c:formatCode>0.00</c:formatCode>
                <c:ptCount val="10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1.4</c:v>
                </c:pt>
                <c:pt idx="7">
                  <c:v>1.6</c:v>
                </c:pt>
                <c:pt idx="8">
                  <c:v>1.8</c:v>
                </c:pt>
                <c:pt idx="9">
                  <c:v>2</c:v>
                </c:pt>
              </c:numCache>
            </c:numRef>
          </c:xVal>
          <c:yVal>
            <c:numRef>
              <c:f>НОВЫЕ_ИЗМЕРЕНИЯ!$H$5:$H$14</c:f>
              <c:numCache>
                <c:formatCode>0.000000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3.1111111111111092E-3</c:v>
                </c:pt>
                <c:pt idx="7">
                  <c:v>1.2444444444444451E-2</c:v>
                </c:pt>
                <c:pt idx="8">
                  <c:v>2.8000000000000004E-2</c:v>
                </c:pt>
                <c:pt idx="9">
                  <c:v>4.9777777777777782E-2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38080"/>
        <c:axId val="187238656"/>
      </c:scatterChart>
      <c:valAx>
        <c:axId val="187238080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87238656"/>
        <c:crosses val="autoZero"/>
        <c:crossBetween val="midCat"/>
      </c:valAx>
      <c:valAx>
        <c:axId val="18723865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872380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1.jpeg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7.xml"/><Relationship Id="rId7" Type="http://schemas.openxmlformats.org/officeDocument/2006/relationships/image" Target="../media/image4.png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image" Target="../media/image3.png"/><Relationship Id="rId5" Type="http://schemas.openxmlformats.org/officeDocument/2006/relationships/image" Target="../media/image2.png"/><Relationship Id="rId4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7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380999</xdr:colOff>
      <xdr:row>16</xdr:row>
      <xdr:rowOff>42862</xdr:rowOff>
    </xdr:from>
    <xdr:to>
      <xdr:col>22</xdr:col>
      <xdr:colOff>333374</xdr:colOff>
      <xdr:row>30</xdr:row>
      <xdr:rowOff>161926</xdr:rowOff>
    </xdr:to>
    <xdr:graphicFrame macro="">
      <xdr:nvGraphicFramePr>
        <xdr:cNvPr id="2" name="Диаграмма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394921</xdr:colOff>
      <xdr:row>1</xdr:row>
      <xdr:rowOff>9891</xdr:rowOff>
    </xdr:from>
    <xdr:to>
      <xdr:col>22</xdr:col>
      <xdr:colOff>342900</xdr:colOff>
      <xdr:row>15</xdr:row>
      <xdr:rowOff>86091</xdr:rowOff>
    </xdr:to>
    <xdr:graphicFrame macro="">
      <xdr:nvGraphicFramePr>
        <xdr:cNvPr id="3" name="Диаграмма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739588</xdr:colOff>
      <xdr:row>40</xdr:row>
      <xdr:rowOff>51266</xdr:rowOff>
    </xdr:from>
    <xdr:to>
      <xdr:col>21</xdr:col>
      <xdr:colOff>33617</xdr:colOff>
      <xdr:row>63</xdr:row>
      <xdr:rowOff>179294</xdr:rowOff>
    </xdr:to>
    <xdr:graphicFrame macro="">
      <xdr:nvGraphicFramePr>
        <xdr:cNvPr id="4" name="Диаграмма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78442</xdr:colOff>
      <xdr:row>39</xdr:row>
      <xdr:rowOff>180415</xdr:rowOff>
    </xdr:from>
    <xdr:to>
      <xdr:col>9</xdr:col>
      <xdr:colOff>302559</xdr:colOff>
      <xdr:row>64</xdr:row>
      <xdr:rowOff>11207</xdr:rowOff>
    </xdr:to>
    <xdr:graphicFrame macro="">
      <xdr:nvGraphicFramePr>
        <xdr:cNvPr id="5" name="Диаграмма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23</xdr:col>
      <xdr:colOff>329046</xdr:colOff>
      <xdr:row>1</xdr:row>
      <xdr:rowOff>69273</xdr:rowOff>
    </xdr:from>
    <xdr:to>
      <xdr:col>31</xdr:col>
      <xdr:colOff>220807</xdr:colOff>
      <xdr:row>17</xdr:row>
      <xdr:rowOff>135948</xdr:rowOff>
    </xdr:to>
    <xdr:pic>
      <xdr:nvPicPr>
        <xdr:cNvPr id="6" name="Рисунок 5" descr="Результат пошуку зображень за запитом &quot;hfcgbyjdrf 2N7000&quot;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36637" y="259773"/>
          <a:ext cx="4740852" cy="311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380999</xdr:colOff>
      <xdr:row>22</xdr:row>
      <xdr:rowOff>42862</xdr:rowOff>
    </xdr:from>
    <xdr:to>
      <xdr:col>23</xdr:col>
      <xdr:colOff>333374</xdr:colOff>
      <xdr:row>41</xdr:row>
      <xdr:rowOff>161926</xdr:rowOff>
    </xdr:to>
    <xdr:graphicFrame macro="">
      <xdr:nvGraphicFramePr>
        <xdr:cNvPr id="2" name="Диаграмма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739588</xdr:colOff>
      <xdr:row>51</xdr:row>
      <xdr:rowOff>51266</xdr:rowOff>
    </xdr:from>
    <xdr:to>
      <xdr:col>22</xdr:col>
      <xdr:colOff>33617</xdr:colOff>
      <xdr:row>74</xdr:row>
      <xdr:rowOff>179294</xdr:rowOff>
    </xdr:to>
    <xdr:graphicFrame macro="">
      <xdr:nvGraphicFramePr>
        <xdr:cNvPr id="4" name="Диаграмма 3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78442</xdr:colOff>
      <xdr:row>50</xdr:row>
      <xdr:rowOff>180415</xdr:rowOff>
    </xdr:from>
    <xdr:to>
      <xdr:col>10</xdr:col>
      <xdr:colOff>302559</xdr:colOff>
      <xdr:row>75</xdr:row>
      <xdr:rowOff>11207</xdr:rowOff>
    </xdr:to>
    <xdr:graphicFrame macro="">
      <xdr:nvGraphicFramePr>
        <xdr:cNvPr id="5" name="Диаграмма 4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24</xdr:col>
      <xdr:colOff>329046</xdr:colOff>
      <xdr:row>3</xdr:row>
      <xdr:rowOff>0</xdr:rowOff>
    </xdr:from>
    <xdr:to>
      <xdr:col>32</xdr:col>
      <xdr:colOff>220807</xdr:colOff>
      <xdr:row>19</xdr:row>
      <xdr:rowOff>66675</xdr:rowOff>
    </xdr:to>
    <xdr:pic>
      <xdr:nvPicPr>
        <xdr:cNvPr id="6" name="Рисунок 5" descr="Результат пошуку зображень за запитом &quot;hfcgbyjdrf 2N7000&quot;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6721" y="259773"/>
          <a:ext cx="4768561" cy="311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89646</xdr:colOff>
      <xdr:row>36</xdr:row>
      <xdr:rowOff>4021</xdr:rowOff>
    </xdr:from>
    <xdr:to>
      <xdr:col>11</xdr:col>
      <xdr:colOff>14473</xdr:colOff>
      <xdr:row>39</xdr:row>
      <xdr:rowOff>28522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149852" y="6884433"/>
          <a:ext cx="1101445" cy="607207"/>
        </a:xfrm>
        <a:prstGeom prst="rect">
          <a:avLst/>
        </a:prstGeom>
      </xdr:spPr>
    </xdr:pic>
    <xdr:clientData/>
  </xdr:twoCellAnchor>
  <xdr:twoCellAnchor editAs="oneCell">
    <xdr:from>
      <xdr:col>11</xdr:col>
      <xdr:colOff>280147</xdr:colOff>
      <xdr:row>37</xdr:row>
      <xdr:rowOff>24532</xdr:rowOff>
    </xdr:from>
    <xdr:to>
      <xdr:col>12</xdr:col>
      <xdr:colOff>358590</xdr:colOff>
      <xdr:row>38</xdr:row>
      <xdr:rowOff>168088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516971" y="7095444"/>
          <a:ext cx="1703295" cy="345262"/>
        </a:xfrm>
        <a:prstGeom prst="rect">
          <a:avLst/>
        </a:prstGeom>
      </xdr:spPr>
    </xdr:pic>
    <xdr:clientData/>
  </xdr:twoCellAnchor>
  <xdr:twoCellAnchor editAs="oneCell">
    <xdr:from>
      <xdr:col>8</xdr:col>
      <xdr:colOff>643503</xdr:colOff>
      <xdr:row>44</xdr:row>
      <xdr:rowOff>156882</xdr:rowOff>
    </xdr:from>
    <xdr:to>
      <xdr:col>10</xdr:col>
      <xdr:colOff>73774</xdr:colOff>
      <xdr:row>47</xdr:row>
      <xdr:rowOff>134471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879827" y="8606117"/>
          <a:ext cx="2254153" cy="549089"/>
        </a:xfrm>
        <a:prstGeom prst="rect">
          <a:avLst/>
        </a:prstGeom>
      </xdr:spPr>
    </xdr:pic>
    <xdr:clientData/>
  </xdr:twoCellAnchor>
  <xdr:twoCellAnchor>
    <xdr:from>
      <xdr:col>14</xdr:col>
      <xdr:colOff>392206</xdr:colOff>
      <xdr:row>6</xdr:row>
      <xdr:rowOff>34737</xdr:rowOff>
    </xdr:from>
    <xdr:to>
      <xdr:col>22</xdr:col>
      <xdr:colOff>459442</xdr:colOff>
      <xdr:row>20</xdr:row>
      <xdr:rowOff>110937</xdr:rowOff>
    </xdr:to>
    <xdr:graphicFrame macro="">
      <xdr:nvGraphicFramePr>
        <xdr:cNvPr id="10" name="Диаграмма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739588</xdr:colOff>
      <xdr:row>51</xdr:row>
      <xdr:rowOff>51266</xdr:rowOff>
    </xdr:from>
    <xdr:to>
      <xdr:col>22</xdr:col>
      <xdr:colOff>33617</xdr:colOff>
      <xdr:row>74</xdr:row>
      <xdr:rowOff>179294</xdr:rowOff>
    </xdr:to>
    <xdr:graphicFrame macro="">
      <xdr:nvGraphicFramePr>
        <xdr:cNvPr id="4" name="Диаграмма 3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78442</xdr:colOff>
      <xdr:row>50</xdr:row>
      <xdr:rowOff>180415</xdr:rowOff>
    </xdr:from>
    <xdr:to>
      <xdr:col>10</xdr:col>
      <xdr:colOff>302559</xdr:colOff>
      <xdr:row>75</xdr:row>
      <xdr:rowOff>11207</xdr:rowOff>
    </xdr:to>
    <xdr:graphicFrame macro="">
      <xdr:nvGraphicFramePr>
        <xdr:cNvPr id="5" name="Диаграмма 4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24</xdr:col>
      <xdr:colOff>329046</xdr:colOff>
      <xdr:row>3</xdr:row>
      <xdr:rowOff>0</xdr:rowOff>
    </xdr:from>
    <xdr:to>
      <xdr:col>32</xdr:col>
      <xdr:colOff>220807</xdr:colOff>
      <xdr:row>19</xdr:row>
      <xdr:rowOff>66675</xdr:rowOff>
    </xdr:to>
    <xdr:pic>
      <xdr:nvPicPr>
        <xdr:cNvPr id="6" name="Рисунок 5" descr="Результат пошуку зображень за запитом &quot;hfcgbyjdrf 2N7000&quot;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50696" y="571500"/>
          <a:ext cx="4768561" cy="311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76039</xdr:colOff>
      <xdr:row>34</xdr:row>
      <xdr:rowOff>4021</xdr:rowOff>
    </xdr:from>
    <xdr:to>
      <xdr:col>10</xdr:col>
      <xdr:colOff>610466</xdr:colOff>
      <xdr:row>37</xdr:row>
      <xdr:rowOff>42129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125039" y="6508235"/>
          <a:ext cx="534427" cy="609608"/>
        </a:xfrm>
        <a:prstGeom prst="rect">
          <a:avLst/>
        </a:prstGeom>
      </xdr:spPr>
    </xdr:pic>
    <xdr:clientData/>
  </xdr:twoCellAnchor>
  <xdr:twoCellAnchor editAs="oneCell">
    <xdr:from>
      <xdr:col>11</xdr:col>
      <xdr:colOff>184897</xdr:colOff>
      <xdr:row>35</xdr:row>
      <xdr:rowOff>51746</xdr:rowOff>
    </xdr:from>
    <xdr:to>
      <xdr:col>11</xdr:col>
      <xdr:colOff>872940</xdr:colOff>
      <xdr:row>37</xdr:row>
      <xdr:rowOff>18409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417718" y="6746460"/>
          <a:ext cx="688043" cy="347663"/>
        </a:xfrm>
        <a:prstGeom prst="rect">
          <a:avLst/>
        </a:prstGeom>
      </xdr:spPr>
    </xdr:pic>
    <xdr:clientData/>
  </xdr:twoCellAnchor>
  <xdr:twoCellAnchor editAs="oneCell">
    <xdr:from>
      <xdr:col>8</xdr:col>
      <xdr:colOff>302560</xdr:colOff>
      <xdr:row>44</xdr:row>
      <xdr:rowOff>67126</xdr:rowOff>
    </xdr:from>
    <xdr:to>
      <xdr:col>9</xdr:col>
      <xdr:colOff>784413</xdr:colOff>
      <xdr:row>50</xdr:row>
      <xdr:rowOff>18574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38884" y="8449126"/>
          <a:ext cx="2162735" cy="1094448"/>
        </a:xfrm>
        <a:prstGeom prst="rect">
          <a:avLst/>
        </a:prstGeom>
      </xdr:spPr>
    </xdr:pic>
    <xdr:clientData/>
  </xdr:twoCellAnchor>
  <xdr:twoCellAnchor>
    <xdr:from>
      <xdr:col>12</xdr:col>
      <xdr:colOff>622725</xdr:colOff>
      <xdr:row>11</xdr:row>
      <xdr:rowOff>183297</xdr:rowOff>
    </xdr:from>
    <xdr:to>
      <xdr:col>23</xdr:col>
      <xdr:colOff>127267</xdr:colOff>
      <xdr:row>29</xdr:row>
      <xdr:rowOff>149679</xdr:rowOff>
    </xdr:to>
    <xdr:graphicFrame macro="">
      <xdr:nvGraphicFramePr>
        <xdr:cNvPr id="10" name="Диаграмма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2"/>
  <sheetViews>
    <sheetView topLeftCell="A57" zoomScale="70" zoomScaleNormal="70" workbookViewId="0">
      <selection activeCell="J23" sqref="J23"/>
    </sheetView>
  </sheetViews>
  <sheetFormatPr defaultRowHeight="15" x14ac:dyDescent="0.25"/>
  <cols>
    <col min="1" max="1" width="3.140625" style="1" bestFit="1" customWidth="1"/>
    <col min="2" max="2" width="6.5703125" style="1" bestFit="1" customWidth="1"/>
    <col min="3" max="3" width="10.28515625" style="1" bestFit="1" customWidth="1"/>
    <col min="4" max="4" width="16.42578125" style="1" customWidth="1"/>
    <col min="5" max="5" width="20.7109375" style="1" bestFit="1" customWidth="1"/>
    <col min="6" max="6" width="8.7109375" style="1" bestFit="1" customWidth="1"/>
    <col min="7" max="7" width="10.5703125" style="1" bestFit="1" customWidth="1"/>
    <col min="8" max="8" width="11.42578125" style="1" bestFit="1" customWidth="1"/>
    <col min="9" max="9" width="10.85546875" style="1" customWidth="1"/>
    <col min="10" max="10" width="14.7109375" style="1" bestFit="1" customWidth="1"/>
    <col min="11" max="11" width="24.28515625" style="13" bestFit="1" customWidth="1"/>
    <col min="12" max="12" width="7.42578125" style="13" bestFit="1" customWidth="1"/>
    <col min="13" max="13" width="4.140625" style="13" bestFit="1" customWidth="1"/>
    <col min="14" max="14" width="10.28515625" style="13" bestFit="1" customWidth="1"/>
    <col min="15" max="15" width="6.5703125" style="13" bestFit="1" customWidth="1"/>
    <col min="16" max="16" width="10.28515625" style="13" bestFit="1" customWidth="1"/>
    <col min="17" max="17" width="6.5703125" style="13" bestFit="1" customWidth="1"/>
    <col min="18" max="18" width="11.7109375" style="13" bestFit="1" customWidth="1"/>
    <col min="19" max="19" width="4" style="13" bestFit="1" customWidth="1"/>
    <col min="20" max="21" width="9.140625" style="13"/>
    <col min="22" max="16384" width="9.140625" style="1"/>
  </cols>
  <sheetData>
    <row r="1" spans="1:13" s="1" customFormat="1" x14ac:dyDescent="0.25">
      <c r="A1" s="2"/>
      <c r="B1" s="2"/>
      <c r="C1" s="2"/>
      <c r="D1" s="12" t="s">
        <v>5</v>
      </c>
      <c r="E1" s="2" t="s">
        <v>23</v>
      </c>
      <c r="F1" s="12"/>
      <c r="G1" s="12" t="s">
        <v>5</v>
      </c>
      <c r="H1" s="2" t="s">
        <v>23</v>
      </c>
      <c r="K1" s="13"/>
      <c r="L1" s="13"/>
      <c r="M1" s="13"/>
    </row>
    <row r="2" spans="1:13" s="1" customFormat="1" x14ac:dyDescent="0.25">
      <c r="A2" s="2"/>
      <c r="B2" s="2"/>
      <c r="C2" s="52" t="s">
        <v>0</v>
      </c>
      <c r="D2" s="53"/>
      <c r="E2" s="2"/>
      <c r="F2" s="50" t="s">
        <v>1</v>
      </c>
      <c r="G2" s="51"/>
      <c r="H2" s="2"/>
      <c r="K2" s="13" t="s">
        <v>15</v>
      </c>
      <c r="L2" s="13"/>
      <c r="M2" s="13"/>
    </row>
    <row r="3" spans="1:13" s="1" customFormat="1" x14ac:dyDescent="0.25">
      <c r="A3" s="2" t="s">
        <v>3</v>
      </c>
      <c r="B3" s="2" t="s">
        <v>6</v>
      </c>
      <c r="C3" s="50" t="s">
        <v>2</v>
      </c>
      <c r="D3" s="51"/>
      <c r="E3" s="2"/>
      <c r="F3" s="50" t="s">
        <v>2</v>
      </c>
      <c r="G3" s="51"/>
      <c r="H3" s="2"/>
      <c r="K3" s="13" t="s">
        <v>16</v>
      </c>
      <c r="L3" s="13">
        <v>100000</v>
      </c>
      <c r="M3" s="1" t="s">
        <v>14</v>
      </c>
    </row>
    <row r="4" spans="1:13" s="1" customFormat="1" x14ac:dyDescent="0.25">
      <c r="A4" s="8">
        <v>1</v>
      </c>
      <c r="B4" s="6">
        <v>0.2</v>
      </c>
      <c r="C4" s="14">
        <f>241*10^-15</f>
        <v>2.4100000000000003E-13</v>
      </c>
      <c r="D4" s="14">
        <v>0</v>
      </c>
      <c r="E4" s="15">
        <f>ABS((D4-C4)/C4*100)</f>
        <v>100</v>
      </c>
      <c r="F4" s="7">
        <v>0</v>
      </c>
      <c r="G4" s="7">
        <v>0</v>
      </c>
      <c r="H4" s="15" t="e">
        <f>ABS((G4-F4)/F4*100)</f>
        <v>#DIV/0!</v>
      </c>
      <c r="K4" s="13" t="s">
        <v>17</v>
      </c>
      <c r="L4" s="13">
        <v>25000</v>
      </c>
      <c r="M4" s="13"/>
    </row>
    <row r="5" spans="1:13" s="1" customFormat="1" x14ac:dyDescent="0.25">
      <c r="A5" s="8">
        <v>2</v>
      </c>
      <c r="B5" s="6">
        <v>0.4</v>
      </c>
      <c r="C5" s="14">
        <f>440*10^-15</f>
        <v>4.4000000000000004E-13</v>
      </c>
      <c r="D5" s="14">
        <v>0</v>
      </c>
      <c r="E5" s="15">
        <f t="shared" ref="E5:E14" si="0">ABS((D5-C5)/C5*100)</f>
        <v>100</v>
      </c>
      <c r="F5" s="7">
        <v>0</v>
      </c>
      <c r="G5" s="7">
        <v>0</v>
      </c>
      <c r="H5" s="15" t="e">
        <f t="shared" ref="H5:H13" si="1">ABS((G5-F5)/F5*100)</f>
        <v>#DIV/0!</v>
      </c>
      <c r="K5" s="13" t="s">
        <v>18</v>
      </c>
      <c r="L5" s="13">
        <v>900</v>
      </c>
      <c r="M5" s="13"/>
    </row>
    <row r="6" spans="1:13" s="1" customFormat="1" x14ac:dyDescent="0.25">
      <c r="A6" s="8">
        <v>3</v>
      </c>
      <c r="B6" s="6">
        <v>0.6</v>
      </c>
      <c r="C6" s="14">
        <f xml:space="preserve"> 639*10^-15</f>
        <v>6.39E-13</v>
      </c>
      <c r="D6" s="14">
        <v>0</v>
      </c>
      <c r="E6" s="15">
        <f t="shared" si="0"/>
        <v>100</v>
      </c>
      <c r="F6" s="7">
        <v>0</v>
      </c>
      <c r="G6" s="7">
        <v>0</v>
      </c>
      <c r="H6" s="15" t="e">
        <f t="shared" si="1"/>
        <v>#DIV/0!</v>
      </c>
      <c r="K6" s="13" t="s">
        <v>19</v>
      </c>
      <c r="L6" s="13">
        <v>10</v>
      </c>
      <c r="M6" s="13" t="s">
        <v>21</v>
      </c>
    </row>
    <row r="7" spans="1:13" s="1" customFormat="1" x14ac:dyDescent="0.25">
      <c r="A7" s="8">
        <v>4</v>
      </c>
      <c r="B7" s="6">
        <v>0.8</v>
      </c>
      <c r="C7" s="14">
        <f xml:space="preserve"> 839*10^-15</f>
        <v>8.3900000000000006E-13</v>
      </c>
      <c r="D7" s="14">
        <v>0</v>
      </c>
      <c r="E7" s="15">
        <f t="shared" si="0"/>
        <v>100</v>
      </c>
      <c r="F7" s="7">
        <f>0.24*10^-6</f>
        <v>2.3999999999999998E-7</v>
      </c>
      <c r="G7" s="7">
        <v>0</v>
      </c>
      <c r="H7" s="15">
        <f t="shared" si="1"/>
        <v>100</v>
      </c>
      <c r="K7" s="13" t="s">
        <v>20</v>
      </c>
      <c r="L7" s="13">
        <v>10</v>
      </c>
      <c r="M7" s="13"/>
    </row>
    <row r="8" spans="1:13" s="1" customFormat="1" x14ac:dyDescent="0.25">
      <c r="A8" s="8">
        <v>5</v>
      </c>
      <c r="B8" s="6">
        <v>1</v>
      </c>
      <c r="C8" s="14">
        <f>1.04*10^-12</f>
        <v>1.04E-12</v>
      </c>
      <c r="D8" s="14">
        <v>0</v>
      </c>
      <c r="E8" s="15">
        <f t="shared" si="0"/>
        <v>100</v>
      </c>
      <c r="F8" s="7">
        <f>4.29*10^-6</f>
        <v>4.2899999999999996E-6</v>
      </c>
      <c r="G8" s="7">
        <v>0</v>
      </c>
      <c r="H8" s="15">
        <f t="shared" si="1"/>
        <v>100</v>
      </c>
      <c r="K8" s="13" t="s">
        <v>22</v>
      </c>
      <c r="L8" s="13"/>
      <c r="M8" s="13"/>
    </row>
    <row r="9" spans="1:13" s="1" customFormat="1" x14ac:dyDescent="0.25">
      <c r="A9" s="8">
        <v>6</v>
      </c>
      <c r="B9" s="6">
        <v>1.2</v>
      </c>
      <c r="C9" s="14">
        <f>1.242*10^-12</f>
        <v>1.242E-12</v>
      </c>
      <c r="D9" s="14">
        <v>0</v>
      </c>
      <c r="E9" s="15">
        <f t="shared" si="0"/>
        <v>100</v>
      </c>
      <c r="F9" s="7">
        <f>16.79*10^-6</f>
        <v>1.6789999999999997E-5</v>
      </c>
      <c r="G9" s="7">
        <f>$J$26/2*(B9-$I$26)^2</f>
        <v>7.7899259765832855E-6</v>
      </c>
      <c r="H9" s="15">
        <f t="shared" si="1"/>
        <v>53.6037761966451</v>
      </c>
      <c r="K9" s="13"/>
      <c r="L9" s="13"/>
      <c r="M9" s="13"/>
    </row>
    <row r="10" spans="1:13" s="1" customFormat="1" x14ac:dyDescent="0.25">
      <c r="A10" s="8">
        <v>7</v>
      </c>
      <c r="B10" s="6">
        <v>1.4</v>
      </c>
      <c r="C10" s="14">
        <f>1.439*10^-12</f>
        <v>1.439E-12</v>
      </c>
      <c r="D10" s="14">
        <v>0</v>
      </c>
      <c r="E10" s="15">
        <f t="shared" si="0"/>
        <v>100</v>
      </c>
      <c r="F10" s="7">
        <f xml:space="preserve"> 1.058*10^-3</f>
        <v>1.0580000000000001E-3</v>
      </c>
      <c r="G10" s="7">
        <f>$J$26/2*(B10-$I$26)^2</f>
        <v>3.937439776398417E-3</v>
      </c>
      <c r="H10" s="15">
        <f t="shared" si="1"/>
        <v>272.15876903576719</v>
      </c>
      <c r="K10" s="13"/>
      <c r="L10" s="13"/>
      <c r="M10" s="13"/>
    </row>
    <row r="11" spans="1:13" s="1" customFormat="1" x14ac:dyDescent="0.25">
      <c r="A11" s="8">
        <v>8</v>
      </c>
      <c r="B11" s="6">
        <v>1.6</v>
      </c>
      <c r="C11" s="14">
        <f>5.193*10^-6</f>
        <v>5.1929999999999992E-6</v>
      </c>
      <c r="D11" s="14">
        <f>$E$26/2 * (B11 - $D$26)^2</f>
        <v>9.2602040816328553E-6</v>
      </c>
      <c r="E11" s="6">
        <f t="shared" si="0"/>
        <v>78.320895082473655</v>
      </c>
      <c r="F11" s="7">
        <f xml:space="preserve"> 14.3*10^-3</f>
        <v>1.43E-2</v>
      </c>
      <c r="G11" s="7">
        <f>$J$26/2*(B11-$I$26)^2</f>
        <v>1.5057007933328077E-2</v>
      </c>
      <c r="H11" s="6">
        <f t="shared" si="1"/>
        <v>5.2937617715250118</v>
      </c>
      <c r="K11" s="13"/>
      <c r="L11" s="13"/>
      <c r="M11" s="13"/>
    </row>
    <row r="12" spans="1:13" s="1" customFormat="1" x14ac:dyDescent="0.25">
      <c r="A12" s="8">
        <v>9</v>
      </c>
      <c r="B12" s="6">
        <v>1.8</v>
      </c>
      <c r="C12" s="14">
        <f xml:space="preserve"> 3.309*10^-3</f>
        <v>3.3090000000000003E-3</v>
      </c>
      <c r="D12" s="14">
        <f>$E$26/2 * (B12 - $D$26)^2</f>
        <v>3.407219387755104E-3</v>
      </c>
      <c r="E12" s="6">
        <f t="shared" si="0"/>
        <v>2.9682498566063376</v>
      </c>
      <c r="F12" s="7">
        <f xml:space="preserve"> 35.5*10^-3</f>
        <v>3.5500000000000004E-2</v>
      </c>
      <c r="G12" s="7">
        <f>$J$26/2*(B12-$I$26)^2</f>
        <v>3.3366494396765541E-2</v>
      </c>
      <c r="H12" s="6">
        <f t="shared" si="1"/>
        <v>6.0098749386886281</v>
      </c>
      <c r="K12" s="13"/>
      <c r="L12" s="13"/>
      <c r="M12" s="13"/>
    </row>
    <row r="13" spans="1:13" s="1" customFormat="1" x14ac:dyDescent="0.25">
      <c r="A13" s="8">
        <v>10</v>
      </c>
      <c r="B13" s="6">
        <v>2</v>
      </c>
      <c r="C13" s="14">
        <f xml:space="preserve"> 13.05*10^-3</f>
        <v>1.3050000000000001E-2</v>
      </c>
      <c r="D13" s="14">
        <f>$E$26/2 * (B13 - $D$26)^2</f>
        <v>1.2927627551020407E-2</v>
      </c>
      <c r="E13" s="6">
        <f t="shared" si="0"/>
        <v>0.93771991555244349</v>
      </c>
      <c r="F13" s="7">
        <f xml:space="preserve"> 62*10^-3</f>
        <v>6.2E-2</v>
      </c>
      <c r="G13" s="7">
        <f>$J$26/2*(B13-$I$26)^2</f>
        <v>5.8865899166710818E-2</v>
      </c>
      <c r="H13" s="6">
        <f t="shared" si="1"/>
        <v>5.0550013440148085</v>
      </c>
      <c r="K13" s="13"/>
      <c r="L13" s="13"/>
      <c r="M13" s="13"/>
    </row>
    <row r="14" spans="1:13" s="1" customFormat="1" x14ac:dyDescent="0.25">
      <c r="A14" s="8">
        <v>11</v>
      </c>
      <c r="B14" s="6">
        <v>2.2000000000000002</v>
      </c>
      <c r="C14" s="14">
        <f xml:space="preserve"> 28.461*10^-3</f>
        <v>2.8461E-2</v>
      </c>
      <c r="D14" s="14">
        <f>$E$26/2 * (B14 - $D$26)^2</f>
        <v>2.8570484693877563E-2</v>
      </c>
      <c r="E14" s="6">
        <f t="shared" si="0"/>
        <v>0.38468322925253157</v>
      </c>
      <c r="F14" s="7"/>
      <c r="G14" s="7"/>
      <c r="H14" s="6"/>
      <c r="K14" s="13"/>
      <c r="L14" s="13"/>
      <c r="M14" s="13"/>
    </row>
    <row r="16" spans="1:13" s="1" customFormat="1" x14ac:dyDescent="0.25">
      <c r="C16" s="9" t="s">
        <v>0</v>
      </c>
      <c r="D16" s="10"/>
      <c r="E16" s="11"/>
      <c r="H16" s="9" t="s">
        <v>1</v>
      </c>
      <c r="I16" s="10"/>
      <c r="J16" s="11"/>
      <c r="L16" s="13"/>
      <c r="M16" s="13"/>
    </row>
    <row r="17" spans="2:12" s="1" customFormat="1" x14ac:dyDescent="0.25">
      <c r="C17" s="2" t="s">
        <v>7</v>
      </c>
      <c r="D17" s="2"/>
      <c r="E17" s="8"/>
      <c r="H17" s="2" t="s">
        <v>7</v>
      </c>
      <c r="I17" s="2"/>
      <c r="J17" s="8">
        <v>900</v>
      </c>
      <c r="K17" s="1" t="s">
        <v>14</v>
      </c>
      <c r="L17" s="13"/>
    </row>
    <row r="18" spans="2:12" s="1" customFormat="1" x14ac:dyDescent="0.25">
      <c r="C18" s="2" t="s">
        <v>36</v>
      </c>
      <c r="D18" s="2" t="s">
        <v>8</v>
      </c>
      <c r="E18" s="2" t="s">
        <v>25</v>
      </c>
      <c r="H18" s="2" t="s">
        <v>36</v>
      </c>
      <c r="I18" s="2" t="s">
        <v>8</v>
      </c>
      <c r="J18" s="2" t="s">
        <v>25</v>
      </c>
      <c r="L18" s="13"/>
    </row>
    <row r="19" spans="2:12" s="1" customFormat="1" x14ac:dyDescent="0.25">
      <c r="C19" s="2">
        <v>0.83340000000000003</v>
      </c>
      <c r="D19" s="2">
        <v>5</v>
      </c>
      <c r="E19" s="16">
        <f>2.25*10^-9</f>
        <v>2.2500000000000003E-9</v>
      </c>
      <c r="H19" s="2">
        <f xml:space="preserve"> 1.282</f>
        <v>1.282</v>
      </c>
      <c r="I19" s="2">
        <v>4.18</v>
      </c>
      <c r="J19" s="2">
        <f>0.805/J17</f>
        <v>8.9444444444444445E-4</v>
      </c>
      <c r="L19" s="13"/>
    </row>
    <row r="20" spans="2:12" s="1" customFormat="1" x14ac:dyDescent="0.25">
      <c r="C20" s="3"/>
      <c r="L20" s="13"/>
    </row>
    <row r="21" spans="2:12" s="1" customFormat="1" x14ac:dyDescent="0.25">
      <c r="C21" s="2" t="s">
        <v>11</v>
      </c>
      <c r="D21" s="2"/>
      <c r="E21" s="2"/>
      <c r="H21" s="2" t="s">
        <v>11</v>
      </c>
      <c r="I21" s="2"/>
      <c r="J21" s="2"/>
      <c r="L21" s="13"/>
    </row>
    <row r="22" spans="2:12" s="1" customFormat="1" x14ac:dyDescent="0.25">
      <c r="C22" s="2" t="s">
        <v>9</v>
      </c>
      <c r="D22" s="2" t="s">
        <v>10</v>
      </c>
      <c r="E22" s="2" t="s">
        <v>42</v>
      </c>
      <c r="H22" s="2" t="s">
        <v>9</v>
      </c>
      <c r="I22" s="2" t="s">
        <v>10</v>
      </c>
      <c r="J22" s="2" t="s">
        <v>42</v>
      </c>
      <c r="L22" s="13"/>
    </row>
    <row r="23" spans="2:12" s="1" customFormat="1" x14ac:dyDescent="0.25">
      <c r="B23" s="1" t="s">
        <v>26</v>
      </c>
      <c r="C23" s="17">
        <f>50*10^-6</f>
        <v>4.9999999999999996E-5</v>
      </c>
      <c r="D23" s="17">
        <f>20*10^-3</f>
        <v>0.02</v>
      </c>
      <c r="E23" s="2">
        <f>C23/D23</f>
        <v>2.4999999999999996E-3</v>
      </c>
      <c r="H23" s="2">
        <f>0.284-0.185</f>
        <v>9.8999999999999977E-2</v>
      </c>
      <c r="I23" s="2">
        <f>23*10^-3</f>
        <v>2.3E-2</v>
      </c>
      <c r="J23" s="2">
        <f>H23/I23</f>
        <v>4.3043478260869552</v>
      </c>
      <c r="L23" s="13"/>
    </row>
    <row r="24" spans="2:12" s="1" customFormat="1" x14ac:dyDescent="0.25">
      <c r="L24" s="13"/>
    </row>
    <row r="25" spans="2:12" s="1" customFormat="1" x14ac:dyDescent="0.25">
      <c r="B25" s="2" t="s">
        <v>6</v>
      </c>
      <c r="C25" s="2" t="s">
        <v>4</v>
      </c>
      <c r="D25" s="2" t="s">
        <v>12</v>
      </c>
      <c r="E25" s="2" t="s">
        <v>13</v>
      </c>
      <c r="G25" s="2" t="s">
        <v>6</v>
      </c>
      <c r="H25" s="2" t="s">
        <v>4</v>
      </c>
      <c r="I25" s="2" t="s">
        <v>12</v>
      </c>
      <c r="J25" s="2" t="s">
        <v>13</v>
      </c>
      <c r="L25" s="13"/>
    </row>
    <row r="26" spans="2:12" s="1" customFormat="1" x14ac:dyDescent="0.25">
      <c r="B26" s="4">
        <v>1.869</v>
      </c>
      <c r="C26" s="5">
        <f xml:space="preserve"> 6*10^-3</f>
        <v>6.0000000000000001E-3</v>
      </c>
      <c r="D26" s="2">
        <f>2*B26-B27</f>
        <v>1.589</v>
      </c>
      <c r="E26" s="2">
        <f>(2 * C26) / (B26-D26)^2</f>
        <v>0.15306122448979589</v>
      </c>
      <c r="G26" s="2">
        <v>1.4490700000000001</v>
      </c>
      <c r="H26" s="5">
        <f>0.0382*G26^3-0.0858*G26^2+0.0544*G26-0.0089</f>
        <v>5.9997748362865585E-3</v>
      </c>
      <c r="I26" s="2">
        <f>2*G26-G27</f>
        <v>1.1906900000000002</v>
      </c>
      <c r="J26" s="2">
        <f>(2*H27) / (G27-I26)^2</f>
        <v>0.17974795766269536</v>
      </c>
      <c r="L26" s="13"/>
    </row>
    <row r="27" spans="2:12" s="1" customFormat="1" x14ac:dyDescent="0.25">
      <c r="B27" s="4">
        <v>2.149</v>
      </c>
      <c r="C27" s="5">
        <f xml:space="preserve"> 24*10^-3</f>
        <v>2.4E-2</v>
      </c>
      <c r="D27" s="2"/>
      <c r="E27" s="2">
        <f>(2 * C27) / (B27-D26)^2</f>
        <v>0.15306122448979589</v>
      </c>
      <c r="G27" s="2">
        <v>1.7074499999999999</v>
      </c>
      <c r="H27" s="5">
        <f>0.0382*G27^3-0.0858*G27^2+0.0544*G27-0.0089</f>
        <v>2.4000027978006454E-2</v>
      </c>
      <c r="I27" s="2"/>
      <c r="J27" s="2">
        <f>(2*H27) / (G27-I26)^2</f>
        <v>0.17974795766269536</v>
      </c>
      <c r="L27" s="13"/>
    </row>
    <row r="28" spans="2:12" s="1" customFormat="1" ht="15.75" x14ac:dyDescent="0.25">
      <c r="B28" s="1" t="s">
        <v>28</v>
      </c>
      <c r="C28" s="18" t="s">
        <v>27</v>
      </c>
      <c r="F28" s="3"/>
      <c r="G28" s="3"/>
      <c r="H28" s="3"/>
      <c r="I28" s="3"/>
      <c r="K28" s="13"/>
      <c r="L28" s="13"/>
    </row>
    <row r="29" spans="2:12" s="1" customFormat="1" ht="15.75" x14ac:dyDescent="0.25">
      <c r="B29" s="18" t="s">
        <v>29</v>
      </c>
      <c r="K29" s="13"/>
      <c r="L29" s="13"/>
    </row>
    <row r="31" spans="2:12" s="1" customFormat="1" ht="15.75" x14ac:dyDescent="0.25">
      <c r="B31" s="2"/>
      <c r="C31" s="2"/>
      <c r="D31" s="2"/>
      <c r="E31" s="2"/>
      <c r="F31" s="2"/>
      <c r="G31" s="2" t="s">
        <v>24</v>
      </c>
      <c r="H31" s="2"/>
      <c r="I31" s="2"/>
      <c r="J31" s="2"/>
      <c r="K31" s="49" t="s">
        <v>37</v>
      </c>
      <c r="L31" s="49"/>
    </row>
    <row r="32" spans="2:12" s="1" customFormat="1" x14ac:dyDescent="0.25">
      <c r="B32" s="2"/>
      <c r="C32" s="2"/>
      <c r="D32" s="2"/>
      <c r="E32" s="8" t="s">
        <v>33</v>
      </c>
      <c r="F32" s="8" t="s">
        <v>34</v>
      </c>
      <c r="G32" s="2"/>
      <c r="H32" s="2"/>
      <c r="I32" s="2"/>
      <c r="J32" s="2"/>
      <c r="K32" s="8" t="s">
        <v>33</v>
      </c>
      <c r="L32" s="8" t="s">
        <v>34</v>
      </c>
    </row>
    <row r="33" spans="2:19" s="1" customFormat="1" ht="18" x14ac:dyDescent="0.25">
      <c r="B33" s="19" t="s">
        <v>32</v>
      </c>
      <c r="C33" s="19" t="s">
        <v>31</v>
      </c>
      <c r="D33" s="2" t="s">
        <v>30</v>
      </c>
      <c r="E33" s="8" t="s">
        <v>35</v>
      </c>
      <c r="F33" s="8" t="s">
        <v>35</v>
      </c>
      <c r="G33" s="2"/>
      <c r="H33" s="19" t="s">
        <v>32</v>
      </c>
      <c r="I33" s="19" t="s">
        <v>31</v>
      </c>
      <c r="J33" s="2" t="s">
        <v>30</v>
      </c>
      <c r="K33" s="8" t="s">
        <v>35</v>
      </c>
      <c r="L33" s="8" t="s">
        <v>35</v>
      </c>
      <c r="M33" s="13"/>
      <c r="N33" s="13"/>
      <c r="O33" s="13"/>
      <c r="P33" s="13"/>
      <c r="Q33" s="13"/>
      <c r="R33" s="13"/>
      <c r="S33" s="13"/>
    </row>
    <row r="34" spans="2:19" s="1" customFormat="1" x14ac:dyDescent="0.25">
      <c r="B34" s="6">
        <v>0.2</v>
      </c>
      <c r="C34" s="2">
        <f>D34-E19</f>
        <v>-2.2500000000000003E-9</v>
      </c>
      <c r="D34" s="2"/>
      <c r="E34" s="7">
        <f>C34/B34</f>
        <v>-1.1250000000000001E-8</v>
      </c>
      <c r="F34" s="2">
        <f>E26*(C19-D26)</f>
        <v>-0.11565306122448976</v>
      </c>
      <c r="G34" s="2"/>
      <c r="H34" s="6">
        <v>0.2</v>
      </c>
      <c r="I34" s="2">
        <f>J34-J19</f>
        <v>-8.9444444444444445E-4</v>
      </c>
      <c r="J34" s="2"/>
      <c r="K34" s="7">
        <f>I34/H34</f>
        <v>-4.4722222222222221E-3</v>
      </c>
      <c r="L34" s="2">
        <f>J26*(H19-I26)</f>
        <v>1.6412786014180673E-2</v>
      </c>
      <c r="M34" s="13"/>
      <c r="N34" s="13"/>
      <c r="O34" s="13"/>
      <c r="P34" s="13"/>
      <c r="Q34" s="13"/>
      <c r="R34" s="13"/>
      <c r="S34"/>
    </row>
    <row r="36" spans="2:19" s="1" customFormat="1" x14ac:dyDescent="0.25">
      <c r="D36" s="2"/>
      <c r="E36" s="2" t="s">
        <v>39</v>
      </c>
      <c r="F36" s="20" t="s">
        <v>40</v>
      </c>
      <c r="G36" s="2"/>
      <c r="H36" s="2"/>
      <c r="I36" s="2" t="s">
        <v>39</v>
      </c>
      <c r="J36" s="20" t="s">
        <v>40</v>
      </c>
      <c r="K36" s="13"/>
      <c r="L36" s="13"/>
      <c r="M36" s="13"/>
      <c r="N36" s="13"/>
      <c r="O36" s="13"/>
      <c r="P36" s="13"/>
      <c r="Q36" s="13"/>
      <c r="R36" s="13"/>
      <c r="S36" s="13"/>
    </row>
    <row r="37" spans="2:19" s="1" customFormat="1" x14ac:dyDescent="0.25">
      <c r="D37" s="2" t="s">
        <v>38</v>
      </c>
      <c r="E37" s="2"/>
      <c r="F37" s="2">
        <f>-L5*F34</f>
        <v>104.08775510204079</v>
      </c>
      <c r="G37" s="2"/>
      <c r="H37" s="2" t="s">
        <v>38</v>
      </c>
      <c r="I37" s="2"/>
      <c r="J37" s="2">
        <f>-L34</f>
        <v>-1.6412786014180673E-2</v>
      </c>
      <c r="K37" s="13"/>
      <c r="L37" s="13"/>
      <c r="M37" s="13"/>
      <c r="N37" s="13"/>
      <c r="O37" s="13"/>
      <c r="P37" s="13"/>
      <c r="Q37" s="13"/>
      <c r="R37" s="13"/>
      <c r="S37" s="13"/>
    </row>
    <row r="38" spans="2:19" s="1" customFormat="1" x14ac:dyDescent="0.25">
      <c r="F38" s="1" t="s">
        <v>26</v>
      </c>
      <c r="J38" s="1" t="s">
        <v>26</v>
      </c>
      <c r="K38" s="13"/>
      <c r="L38" s="13"/>
      <c r="M38" s="13"/>
      <c r="N38" s="13"/>
      <c r="O38" s="13"/>
      <c r="P38" s="13"/>
      <c r="Q38" s="13"/>
      <c r="R38" s="13"/>
      <c r="S38" s="13"/>
    </row>
    <row r="68" spans="9:9" s="1" customFormat="1" x14ac:dyDescent="0.25"/>
    <row r="69" spans="9:9" s="1" customFormat="1" x14ac:dyDescent="0.25"/>
    <row r="70" spans="9:9" s="1" customFormat="1" ht="28.5" x14ac:dyDescent="0.25">
      <c r="I70" s="21" t="s">
        <v>41</v>
      </c>
    </row>
    <row r="71" spans="9:9" s="1" customFormat="1" x14ac:dyDescent="0.25"/>
    <row r="72" spans="9:9" s="1" customFormat="1" x14ac:dyDescent="0.25"/>
  </sheetData>
  <mergeCells count="5">
    <mergeCell ref="K31:L31"/>
    <mergeCell ref="C3:D3"/>
    <mergeCell ref="F3:G3"/>
    <mergeCell ref="C2:D2"/>
    <mergeCell ref="F2:G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topLeftCell="I22" zoomScale="85" zoomScaleNormal="85" workbookViewId="0">
      <selection activeCell="G5" sqref="G5:G15"/>
    </sheetView>
  </sheetViews>
  <sheetFormatPr defaultRowHeight="15" x14ac:dyDescent="0.25"/>
  <cols>
    <col min="1" max="1" width="5.7109375" style="22" bestFit="1" customWidth="1"/>
    <col min="2" max="2" width="14.140625" style="22" customWidth="1"/>
    <col min="3" max="3" width="10.42578125" style="22" bestFit="1" customWidth="1"/>
    <col min="4" max="4" width="16.42578125" style="22" customWidth="1"/>
    <col min="5" max="5" width="20.85546875" style="22" bestFit="1" customWidth="1"/>
    <col min="6" max="6" width="20.7109375" style="22" customWidth="1"/>
    <col min="7" max="7" width="20.42578125" style="22" customWidth="1"/>
    <col min="8" max="8" width="14.7109375" style="22" customWidth="1"/>
    <col min="9" max="9" width="25.140625" style="22" bestFit="1" customWidth="1"/>
    <col min="10" max="10" width="17.140625" style="22" customWidth="1"/>
    <col min="11" max="11" width="17.7109375" style="22" customWidth="1"/>
    <col min="12" max="12" width="24.42578125" style="22" bestFit="1" customWidth="1"/>
    <col min="13" max="13" width="9.7109375" style="22" bestFit="1" customWidth="1"/>
    <col min="14" max="14" width="8.7109375" style="22" bestFit="1" customWidth="1"/>
    <col min="15" max="15" width="10.28515625" style="22" bestFit="1" customWidth="1"/>
    <col min="16" max="16" width="6.5703125" style="22" bestFit="1" customWidth="1"/>
    <col min="17" max="17" width="10.28515625" style="22" bestFit="1" customWidth="1"/>
    <col min="18" max="18" width="6.5703125" style="22" bestFit="1" customWidth="1"/>
    <col min="19" max="19" width="11.7109375" style="22" bestFit="1" customWidth="1"/>
    <col min="20" max="20" width="4" style="22" bestFit="1" customWidth="1"/>
    <col min="21" max="16384" width="9.140625" style="22"/>
  </cols>
  <sheetData>
    <row r="1" spans="1:14" s="43" customFormat="1" x14ac:dyDescent="0.25">
      <c r="B1" s="43" t="s">
        <v>70</v>
      </c>
    </row>
    <row r="2" spans="1:14" x14ac:dyDescent="0.25">
      <c r="A2" s="59" t="s">
        <v>0</v>
      </c>
      <c r="B2" s="60"/>
      <c r="C2" s="60"/>
      <c r="D2" s="60"/>
      <c r="E2" s="61"/>
      <c r="F2" s="23"/>
      <c r="G2" s="62" t="s">
        <v>1</v>
      </c>
      <c r="H2" s="62"/>
      <c r="I2" s="62"/>
      <c r="J2" s="62"/>
      <c r="K2" s="63"/>
    </row>
    <row r="3" spans="1:14" x14ac:dyDescent="0.25">
      <c r="A3" s="24"/>
      <c r="B3" s="24"/>
      <c r="C3" s="24" t="s">
        <v>45</v>
      </c>
      <c r="D3" s="24" t="s">
        <v>5</v>
      </c>
      <c r="E3" s="24" t="s">
        <v>23</v>
      </c>
      <c r="F3" s="25"/>
      <c r="G3" s="25" t="s">
        <v>45</v>
      </c>
      <c r="H3" s="25" t="s">
        <v>5</v>
      </c>
      <c r="I3" s="25" t="s">
        <v>23</v>
      </c>
      <c r="L3" s="54" t="s">
        <v>60</v>
      </c>
      <c r="M3" s="54"/>
      <c r="N3" s="54"/>
    </row>
    <row r="4" spans="1:14" x14ac:dyDescent="0.25">
      <c r="A4" s="24" t="s">
        <v>3</v>
      </c>
      <c r="B4" s="24" t="s">
        <v>6</v>
      </c>
      <c r="C4" s="57" t="s">
        <v>2</v>
      </c>
      <c r="D4" s="58"/>
      <c r="E4" s="24"/>
      <c r="F4" s="23"/>
      <c r="G4" s="57" t="s">
        <v>2</v>
      </c>
      <c r="H4" s="58"/>
      <c r="I4" s="24"/>
      <c r="L4" s="24" t="s">
        <v>16</v>
      </c>
      <c r="M4" s="24">
        <v>121500</v>
      </c>
      <c r="N4" s="24" t="s">
        <v>14</v>
      </c>
    </row>
    <row r="5" spans="1:14" x14ac:dyDescent="0.25">
      <c r="A5" s="24">
        <v>1</v>
      </c>
      <c r="B5" s="24">
        <v>0.2</v>
      </c>
      <c r="C5" s="36">
        <f>241*10^-15</f>
        <v>2.4100000000000003E-13</v>
      </c>
      <c r="D5" s="36">
        <v>0</v>
      </c>
      <c r="E5" s="24">
        <f>ABS((D5-C5)/C5*100)</f>
        <v>100</v>
      </c>
      <c r="F5" s="24"/>
      <c r="G5" s="36">
        <v>0</v>
      </c>
      <c r="H5" s="36">
        <v>0</v>
      </c>
      <c r="I5" s="24" t="e">
        <f>ABS((H5-G5)/G5*100)</f>
        <v>#DIV/0!</v>
      </c>
      <c r="L5" s="24" t="s">
        <v>17</v>
      </c>
      <c r="M5" s="24">
        <v>50600</v>
      </c>
      <c r="N5" s="24">
        <f>M5+12000</f>
        <v>62600</v>
      </c>
    </row>
    <row r="6" spans="1:14" x14ac:dyDescent="0.25">
      <c r="A6" s="24">
        <v>2</v>
      </c>
      <c r="B6" s="24">
        <v>0.4</v>
      </c>
      <c r="C6" s="36">
        <f>440*10^-15</f>
        <v>4.4000000000000004E-13</v>
      </c>
      <c r="D6" s="36">
        <v>0</v>
      </c>
      <c r="E6" s="24">
        <f t="shared" ref="E6:E15" si="0">ABS((D6-C6)/C6*100)</f>
        <v>100</v>
      </c>
      <c r="F6" s="24"/>
      <c r="G6" s="36">
        <f>0.24*10^-6</f>
        <v>2.3999999999999998E-7</v>
      </c>
      <c r="H6" s="36">
        <v>0</v>
      </c>
      <c r="I6" s="24">
        <f t="shared" ref="I6:I14" si="1">ABS((H6-G6)/G6*100)</f>
        <v>100</v>
      </c>
      <c r="L6" s="24" t="s">
        <v>18</v>
      </c>
      <c r="M6" s="24">
        <v>235</v>
      </c>
      <c r="N6" s="24"/>
    </row>
    <row r="7" spans="1:14" x14ac:dyDescent="0.25">
      <c r="A7" s="24">
        <v>3</v>
      </c>
      <c r="B7" s="24">
        <v>0.6</v>
      </c>
      <c r="C7" s="36">
        <f xml:space="preserve"> 639*10^-15</f>
        <v>6.39E-13</v>
      </c>
      <c r="D7" s="36">
        <v>0</v>
      </c>
      <c r="E7" s="24">
        <f t="shared" si="0"/>
        <v>100</v>
      </c>
      <c r="F7" s="24"/>
      <c r="G7" s="36">
        <f>4.36*10^-6</f>
        <v>4.3599999999999998E-6</v>
      </c>
      <c r="H7" s="36">
        <v>0</v>
      </c>
      <c r="I7" s="24">
        <f t="shared" si="1"/>
        <v>100</v>
      </c>
      <c r="L7" s="24" t="s">
        <v>19</v>
      </c>
      <c r="M7" s="24">
        <v>10</v>
      </c>
      <c r="N7" s="24" t="s">
        <v>21</v>
      </c>
    </row>
    <row r="8" spans="1:14" x14ac:dyDescent="0.25">
      <c r="A8" s="24">
        <v>4</v>
      </c>
      <c r="B8" s="24">
        <v>0.8</v>
      </c>
      <c r="C8" s="36">
        <f xml:space="preserve"> 839*10^-15</f>
        <v>8.3900000000000006E-13</v>
      </c>
      <c r="D8" s="36">
        <v>0</v>
      </c>
      <c r="E8" s="24">
        <f t="shared" si="0"/>
        <v>100</v>
      </c>
      <c r="F8" s="24"/>
      <c r="G8" s="36">
        <f>16.8*10^-6</f>
        <v>1.6799999999999998E-5</v>
      </c>
      <c r="H8" s="36">
        <v>0</v>
      </c>
      <c r="I8" s="24">
        <f t="shared" si="1"/>
        <v>100</v>
      </c>
      <c r="L8" s="24" t="s">
        <v>20</v>
      </c>
      <c r="M8" s="24">
        <v>10</v>
      </c>
      <c r="N8" s="24"/>
    </row>
    <row r="9" spans="1:14" x14ac:dyDescent="0.25">
      <c r="A9" s="24">
        <v>5</v>
      </c>
      <c r="B9" s="24">
        <v>1</v>
      </c>
      <c r="C9" s="36">
        <f>1.04*10^-12</f>
        <v>1.04E-12</v>
      </c>
      <c r="D9" s="36">
        <v>0</v>
      </c>
      <c r="E9" s="24">
        <f t="shared" si="0"/>
        <v>100</v>
      </c>
      <c r="F9" s="24"/>
      <c r="G9" s="36">
        <f>995*10^-6</f>
        <v>9.9500000000000001E-4</v>
      </c>
      <c r="H9" s="36">
        <v>0</v>
      </c>
      <c r="I9" s="24">
        <f t="shared" si="1"/>
        <v>100</v>
      </c>
      <c r="L9" s="24" t="s">
        <v>22</v>
      </c>
      <c r="M9" s="24"/>
      <c r="N9" s="24"/>
    </row>
    <row r="10" spans="1:14" x14ac:dyDescent="0.25">
      <c r="A10" s="24">
        <v>6</v>
      </c>
      <c r="B10" s="24">
        <v>1.2</v>
      </c>
      <c r="C10" s="36">
        <f>1.242*10^-12</f>
        <v>1.242E-12</v>
      </c>
      <c r="D10" s="36">
        <v>0</v>
      </c>
      <c r="E10" s="24">
        <f t="shared" si="0"/>
        <v>100</v>
      </c>
      <c r="F10" s="24"/>
      <c r="G10" s="36">
        <f>12*10^-3</f>
        <v>1.2E-2</v>
      </c>
      <c r="H10" s="36">
        <f>$K$19/2*(B10-$J$19)^2</f>
        <v>7.7899259765832855E-6</v>
      </c>
      <c r="I10" s="24">
        <f t="shared" si="1"/>
        <v>99.93508395019515</v>
      </c>
    </row>
    <row r="11" spans="1:14" x14ac:dyDescent="0.25">
      <c r="A11" s="24">
        <v>7</v>
      </c>
      <c r="B11" s="24">
        <v>1.4</v>
      </c>
      <c r="C11" s="36">
        <f>1.439*10^-12</f>
        <v>1.439E-12</v>
      </c>
      <c r="D11" s="36">
        <v>0</v>
      </c>
      <c r="E11" s="24">
        <f t="shared" si="0"/>
        <v>100</v>
      </c>
      <c r="F11" s="24"/>
      <c r="G11" s="36">
        <f xml:space="preserve"> 30.5*10^-3</f>
        <v>3.0499999999999999E-2</v>
      </c>
      <c r="H11" s="36">
        <f>$K$19/2*(B11-$J$19)^2</f>
        <v>3.937439776398417E-3</v>
      </c>
      <c r="I11" s="24">
        <f t="shared" si="1"/>
        <v>87.090361388857644</v>
      </c>
    </row>
    <row r="12" spans="1:14" x14ac:dyDescent="0.25">
      <c r="A12" s="24">
        <v>8</v>
      </c>
      <c r="B12" s="24">
        <v>1.6</v>
      </c>
      <c r="C12" s="36">
        <f>5.193*10^-6</f>
        <v>5.1929999999999992E-6</v>
      </c>
      <c r="D12" s="36">
        <f>$E$19/2 * (B12 - $D$19)^2</f>
        <v>9.2602040816328553E-6</v>
      </c>
      <c r="E12" s="24">
        <f t="shared" si="0"/>
        <v>78.320895082473655</v>
      </c>
      <c r="F12" s="24"/>
      <c r="G12" s="36">
        <f xml:space="preserve"> 48.8*10^-3</f>
        <v>4.8799999999999996E-2</v>
      </c>
      <c r="H12" s="36">
        <f>$K$19/2*(B12-$J$19)^2</f>
        <v>1.5057007933328077E-2</v>
      </c>
      <c r="I12" s="24">
        <f t="shared" si="1"/>
        <v>69.145475546458854</v>
      </c>
    </row>
    <row r="13" spans="1:14" x14ac:dyDescent="0.25">
      <c r="A13" s="24">
        <v>9</v>
      </c>
      <c r="B13" s="24">
        <v>1.8</v>
      </c>
      <c r="C13" s="36">
        <f xml:space="preserve"> 3.309*10^-3</f>
        <v>3.3090000000000003E-3</v>
      </c>
      <c r="D13" s="36">
        <f>$E$19/2 * (B13 - $D$19)^2</f>
        <v>3.407219387755104E-3</v>
      </c>
      <c r="E13" s="24">
        <f t="shared" si="0"/>
        <v>2.9682498566063376</v>
      </c>
      <c r="F13" s="24"/>
      <c r="G13" s="36">
        <f xml:space="preserve"> 48.8*10^-3</f>
        <v>4.8799999999999996E-2</v>
      </c>
      <c r="H13" s="36">
        <f>$K$19/2*(B13-$J$19)^2</f>
        <v>3.3366494396765541E-2</v>
      </c>
      <c r="I13" s="24">
        <f t="shared" si="1"/>
        <v>31.626036072201757</v>
      </c>
    </row>
    <row r="14" spans="1:14" x14ac:dyDescent="0.25">
      <c r="A14" s="24">
        <v>10</v>
      </c>
      <c r="B14" s="24">
        <v>2</v>
      </c>
      <c r="C14" s="36">
        <f xml:space="preserve"> 13.05*10^-3</f>
        <v>1.3050000000000001E-2</v>
      </c>
      <c r="D14" s="36">
        <f>$E$19/2 * (B14 - $D$19)^2</f>
        <v>1.2927627551020407E-2</v>
      </c>
      <c r="E14" s="24">
        <f t="shared" si="0"/>
        <v>0.93771991555244349</v>
      </c>
      <c r="F14" s="24"/>
      <c r="G14" s="36">
        <f xml:space="preserve"> 49*10^-3</f>
        <v>4.9000000000000002E-2</v>
      </c>
      <c r="H14" s="36">
        <f>$K$19/2*(B14-$J$19)^2</f>
        <v>5.8865899166710818E-2</v>
      </c>
      <c r="I14" s="24">
        <f t="shared" si="1"/>
        <v>20.134488095328194</v>
      </c>
    </row>
    <row r="15" spans="1:14" x14ac:dyDescent="0.25">
      <c r="A15" s="24">
        <v>11</v>
      </c>
      <c r="B15" s="24">
        <v>2.2000000000000002</v>
      </c>
      <c r="C15" s="36">
        <f xml:space="preserve"> 28.461*10^-3</f>
        <v>2.8461E-2</v>
      </c>
      <c r="D15" s="36">
        <f>$E$19/2 * (B15 - $D$19)^2</f>
        <v>2.8570484693877563E-2</v>
      </c>
      <c r="E15" s="24">
        <f t="shared" si="0"/>
        <v>0.38468322925253157</v>
      </c>
      <c r="F15" s="24"/>
      <c r="G15" s="36"/>
      <c r="H15" s="36"/>
      <c r="I15" s="24"/>
    </row>
    <row r="16" spans="1:14" x14ac:dyDescent="0.25">
      <c r="A16" s="27"/>
      <c r="B16" s="27"/>
      <c r="C16" s="27"/>
      <c r="D16" s="27"/>
      <c r="E16" s="27"/>
      <c r="F16" s="27"/>
      <c r="G16" s="27"/>
      <c r="H16" s="27"/>
      <c r="I16" s="27"/>
    </row>
    <row r="17" spans="1:12" x14ac:dyDescent="0.25">
      <c r="A17" s="27"/>
      <c r="B17" s="27" t="s">
        <v>57</v>
      </c>
      <c r="C17" s="27" t="s">
        <v>58</v>
      </c>
      <c r="D17" s="22" t="s">
        <v>56</v>
      </c>
      <c r="E17" s="22" t="s">
        <v>59</v>
      </c>
      <c r="F17" s="27"/>
      <c r="G17" s="27"/>
      <c r="H17" s="27" t="s">
        <v>57</v>
      </c>
      <c r="I17" s="27" t="s">
        <v>58</v>
      </c>
      <c r="J17" s="22" t="s">
        <v>56</v>
      </c>
      <c r="K17" s="22" t="s">
        <v>59</v>
      </c>
    </row>
    <row r="18" spans="1:12" x14ac:dyDescent="0.25">
      <c r="A18" s="27"/>
      <c r="B18" s="24" t="s">
        <v>6</v>
      </c>
      <c r="C18" s="24" t="s">
        <v>4</v>
      </c>
      <c r="D18" s="24" t="s">
        <v>12</v>
      </c>
      <c r="E18" s="24" t="s">
        <v>13</v>
      </c>
      <c r="F18" s="27"/>
      <c r="H18" s="24" t="s">
        <v>6</v>
      </c>
      <c r="I18" s="24" t="s">
        <v>4</v>
      </c>
      <c r="J18" s="24" t="s">
        <v>12</v>
      </c>
      <c r="K18" s="24" t="s">
        <v>13</v>
      </c>
    </row>
    <row r="19" spans="1:12" x14ac:dyDescent="0.25">
      <c r="A19" s="27"/>
      <c r="B19" s="24">
        <v>1.869</v>
      </c>
      <c r="C19" s="33">
        <f xml:space="preserve"> 6*10^-3</f>
        <v>6.0000000000000001E-3</v>
      </c>
      <c r="D19" s="24">
        <f>2*B19-B20</f>
        <v>1.589</v>
      </c>
      <c r="E19" s="35">
        <f>(2 * C19) / (B19-D19)^2</f>
        <v>0.15306122448979589</v>
      </c>
      <c r="F19" s="27"/>
      <c r="H19" s="35">
        <v>1.4490700000000001</v>
      </c>
      <c r="I19" s="33">
        <f>0.0382*H19^3-0.0858*H19^2+0.0544*H19-0.0089</f>
        <v>5.9997748362865585E-3</v>
      </c>
      <c r="J19" s="24">
        <f>2*H19-H20</f>
        <v>1.1906900000000002</v>
      </c>
      <c r="K19" s="35">
        <f>(2*I20) / (H20-J19)^2</f>
        <v>0.17974795766269536</v>
      </c>
    </row>
    <row r="20" spans="1:12" x14ac:dyDescent="0.25">
      <c r="A20" s="27"/>
      <c r="B20" s="24">
        <v>2.149</v>
      </c>
      <c r="C20" s="33">
        <f xml:space="preserve"> 24*10^-3</f>
        <v>2.4E-2</v>
      </c>
      <c r="D20" s="24"/>
      <c r="E20" s="35">
        <f>(2 * C20) / (B20-D19)^2</f>
        <v>0.15306122448979589</v>
      </c>
      <c r="F20" s="27"/>
      <c r="H20" s="35">
        <v>1.7074499999999999</v>
      </c>
      <c r="I20" s="33">
        <f>0.0382*H20^3-0.0858*H20^2+0.0544*H20-0.0089</f>
        <v>2.4000027978006454E-2</v>
      </c>
      <c r="J20" s="24"/>
      <c r="K20" s="35">
        <f>(2*I20) / (H20-J19)^2</f>
        <v>0.17974795766269536</v>
      </c>
    </row>
    <row r="22" spans="1:12" s="32" customFormat="1" x14ac:dyDescent="0.25">
      <c r="B22" s="32" t="s">
        <v>52</v>
      </c>
      <c r="F22" s="39" t="s">
        <v>46</v>
      </c>
      <c r="G22" s="32" t="s">
        <v>47</v>
      </c>
      <c r="I22" s="32" t="s">
        <v>48</v>
      </c>
    </row>
    <row r="23" spans="1:12" x14ac:dyDescent="0.25">
      <c r="C23" s="24"/>
      <c r="D23" s="24"/>
      <c r="E23" s="24"/>
      <c r="F23" s="27"/>
      <c r="I23" s="24"/>
      <c r="J23" s="24" t="s">
        <v>43</v>
      </c>
      <c r="K23" s="24" t="s">
        <v>44</v>
      </c>
    </row>
    <row r="24" spans="1:12" x14ac:dyDescent="0.25">
      <c r="C24" s="24" t="s">
        <v>36</v>
      </c>
      <c r="D24" s="24" t="s">
        <v>8</v>
      </c>
      <c r="E24" s="24" t="s">
        <v>25</v>
      </c>
      <c r="F24" s="27"/>
      <c r="I24" s="24" t="s">
        <v>36</v>
      </c>
      <c r="J24" s="24" t="s">
        <v>8</v>
      </c>
      <c r="K24" s="24" t="s">
        <v>25</v>
      </c>
    </row>
    <row r="25" spans="1:12" x14ac:dyDescent="0.25">
      <c r="C25" s="24">
        <v>0.83340000000000003</v>
      </c>
      <c r="D25" s="24">
        <v>5</v>
      </c>
      <c r="E25" s="24">
        <f>2.25*10^-9</f>
        <v>2.2500000000000003E-9</v>
      </c>
      <c r="F25" s="27"/>
      <c r="I25" s="24">
        <f xml:space="preserve"> 1.3</f>
        <v>1.3</v>
      </c>
      <c r="J25" s="24">
        <v>4.46</v>
      </c>
      <c r="K25" s="24">
        <f xml:space="preserve"> 18*10^-3</f>
        <v>1.8000000000000002E-2</v>
      </c>
    </row>
    <row r="26" spans="1:12" x14ac:dyDescent="0.25">
      <c r="C26" s="27"/>
    </row>
    <row r="27" spans="1:12" s="32" customFormat="1" x14ac:dyDescent="0.25">
      <c r="B27" s="32" t="s">
        <v>53</v>
      </c>
      <c r="C27" s="55" t="s">
        <v>61</v>
      </c>
      <c r="D27" s="56"/>
      <c r="E27" s="40"/>
      <c r="F27" s="39" t="s">
        <v>49</v>
      </c>
      <c r="G27" s="32" t="s">
        <v>47</v>
      </c>
      <c r="I27" s="55" t="s">
        <v>61</v>
      </c>
      <c r="J27" s="56"/>
      <c r="K27" s="40"/>
    </row>
    <row r="28" spans="1:12" x14ac:dyDescent="0.25">
      <c r="C28" s="24" t="s">
        <v>9</v>
      </c>
      <c r="D28" s="24" t="s">
        <v>10</v>
      </c>
      <c r="E28" s="24" t="s">
        <v>42</v>
      </c>
      <c r="F28" s="27" t="s">
        <v>50</v>
      </c>
      <c r="I28" s="24" t="s">
        <v>9</v>
      </c>
      <c r="J28" s="24" t="s">
        <v>10</v>
      </c>
      <c r="K28" s="24" t="s">
        <v>67</v>
      </c>
      <c r="L28" s="22" t="s">
        <v>51</v>
      </c>
    </row>
    <row r="29" spans="1:12" x14ac:dyDescent="0.25">
      <c r="C29" s="24">
        <f>50*10^-6</f>
        <v>4.9999999999999996E-5</v>
      </c>
      <c r="D29" s="24">
        <f>20*10^-3</f>
        <v>0.02</v>
      </c>
      <c r="E29" s="24">
        <f>C29/D29</f>
        <v>2.4999999999999996E-3</v>
      </c>
      <c r="F29" s="27"/>
      <c r="I29" s="24">
        <f>287*10^-3</f>
        <v>0.28700000000000003</v>
      </c>
      <c r="J29" s="24">
        <f>21*10^-3</f>
        <v>2.1000000000000001E-2</v>
      </c>
      <c r="K29" s="42">
        <f>I29/J29</f>
        <v>13.666666666666668</v>
      </c>
    </row>
    <row r="30" spans="1:12" x14ac:dyDescent="0.25">
      <c r="C30" s="27"/>
      <c r="D30" s="27"/>
      <c r="E30" s="27"/>
      <c r="F30" s="27"/>
      <c r="I30" s="27"/>
      <c r="J30" s="27"/>
      <c r="K30" s="27"/>
    </row>
    <row r="31" spans="1:12" s="32" customFormat="1" x14ac:dyDescent="0.25">
      <c r="B31" s="32" t="s">
        <v>55</v>
      </c>
      <c r="C31" s="39"/>
      <c r="D31" s="39"/>
      <c r="E31" s="39"/>
      <c r="F31" s="39"/>
      <c r="I31" s="39"/>
      <c r="J31" s="39"/>
      <c r="K31" s="39"/>
    </row>
    <row r="32" spans="1:12" ht="15.75" x14ac:dyDescent="0.25">
      <c r="B32" s="22" t="s">
        <v>28</v>
      </c>
      <c r="C32" s="28" t="s">
        <v>27</v>
      </c>
      <c r="G32" s="27"/>
      <c r="H32" s="41">
        <v>0.1</v>
      </c>
      <c r="I32" s="22" t="s">
        <v>43</v>
      </c>
      <c r="J32" s="27"/>
    </row>
    <row r="33" spans="2:12" ht="15.75" x14ac:dyDescent="0.25">
      <c r="F33" s="28" t="s">
        <v>29</v>
      </c>
    </row>
    <row r="35" spans="2:12" s="32" customFormat="1" x14ac:dyDescent="0.25">
      <c r="B35" s="32" t="s">
        <v>64</v>
      </c>
      <c r="L35" s="32" t="s">
        <v>54</v>
      </c>
    </row>
    <row r="36" spans="2:12" x14ac:dyDescent="0.25">
      <c r="F36" s="27" t="s">
        <v>24</v>
      </c>
    </row>
    <row r="38" spans="2:12" ht="15.75" x14ac:dyDescent="0.25">
      <c r="F38" s="64"/>
      <c r="G38" s="64"/>
    </row>
    <row r="39" spans="2:12" x14ac:dyDescent="0.25">
      <c r="B39" s="54" t="s">
        <v>63</v>
      </c>
      <c r="C39" s="54"/>
      <c r="D39" s="24" t="s">
        <v>62</v>
      </c>
      <c r="E39" s="24" t="s">
        <v>68</v>
      </c>
      <c r="F39" s="24" t="s">
        <v>69</v>
      </c>
      <c r="H39" s="57" t="s">
        <v>63</v>
      </c>
      <c r="I39" s="58"/>
      <c r="J39" s="24" t="s">
        <v>62</v>
      </c>
      <c r="K39" s="24" t="s">
        <v>68</v>
      </c>
      <c r="L39" s="24" t="s">
        <v>69</v>
      </c>
    </row>
    <row r="40" spans="2:12" ht="18" x14ac:dyDescent="0.25">
      <c r="B40" s="29" t="s">
        <v>32</v>
      </c>
      <c r="C40" s="29" t="s">
        <v>31</v>
      </c>
      <c r="D40" s="24" t="s">
        <v>30</v>
      </c>
      <c r="E40" s="24" t="s">
        <v>35</v>
      </c>
      <c r="F40" s="24" t="s">
        <v>35</v>
      </c>
      <c r="H40" s="29" t="s">
        <v>32</v>
      </c>
      <c r="I40" s="29" t="s">
        <v>31</v>
      </c>
      <c r="J40" s="24" t="s">
        <v>30</v>
      </c>
      <c r="K40" s="24" t="s">
        <v>35</v>
      </c>
      <c r="L40" s="24" t="s">
        <v>35</v>
      </c>
    </row>
    <row r="41" spans="2:12" x14ac:dyDescent="0.25">
      <c r="B41" s="24">
        <v>0.28000000000000003</v>
      </c>
      <c r="C41" s="34">
        <f>F25-D41</f>
        <v>-1.4400000000000001E-2</v>
      </c>
      <c r="D41" s="34">
        <f>14.4*10^-3</f>
        <v>1.4400000000000001E-2</v>
      </c>
      <c r="E41" s="35">
        <f>C41/B41</f>
        <v>-5.1428571428571428E-2</v>
      </c>
      <c r="F41" s="35">
        <f>F19*(D25-E19)</f>
        <v>0</v>
      </c>
      <c r="H41" s="24">
        <v>0.28000000000000003</v>
      </c>
      <c r="I41" s="34">
        <f>K25-J41</f>
        <v>3.6000000000000008E-3</v>
      </c>
      <c r="J41" s="34">
        <f>14.4*10^-3</f>
        <v>1.4400000000000001E-2</v>
      </c>
      <c r="K41" s="35">
        <f>I41/H41</f>
        <v>1.2857142857142859E-2</v>
      </c>
      <c r="L41" s="35">
        <f>K19*(I25-J19)</f>
        <v>1.9648249252109194E-2</v>
      </c>
    </row>
    <row r="42" spans="2:12" x14ac:dyDescent="0.25"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</row>
    <row r="43" spans="2:12" s="32" customFormat="1" x14ac:dyDescent="0.25">
      <c r="B43" s="32" t="s">
        <v>65</v>
      </c>
      <c r="C43" s="39"/>
      <c r="D43" s="39"/>
      <c r="E43" s="39"/>
      <c r="F43" s="39"/>
      <c r="G43" s="39"/>
      <c r="H43" s="39"/>
      <c r="I43" s="40" t="s">
        <v>66</v>
      </c>
      <c r="J43" s="42">
        <f>-$M$6*K41</f>
        <v>-3.0214285714285718</v>
      </c>
      <c r="K43" s="42">
        <f>-$M$6*L41</f>
        <v>-4.617338574245661</v>
      </c>
      <c r="L43" s="39"/>
    </row>
    <row r="44" spans="2:12" x14ac:dyDescent="0.25">
      <c r="B44" s="37"/>
      <c r="C44" s="37"/>
      <c r="D44" s="27"/>
      <c r="E44" s="27"/>
      <c r="F44" s="27"/>
      <c r="G44" s="27"/>
      <c r="H44" s="27"/>
      <c r="I44" s="27" t="s">
        <v>23</v>
      </c>
      <c r="J44" s="27">
        <f>(ABS($K$29+J$43))/J43 *100</f>
        <v>-352.32466509062255</v>
      </c>
      <c r="K44" s="27">
        <f>(ABS($K$29+K$43))/K43 *100</f>
        <v>-195.98580322647024</v>
      </c>
      <c r="L44" s="27"/>
    </row>
    <row r="45" spans="2:12" x14ac:dyDescent="0.25">
      <c r="B45" s="27"/>
      <c r="C45" s="27"/>
      <c r="D45" s="27"/>
      <c r="E45" s="27"/>
      <c r="F45" s="27"/>
      <c r="G45" s="38"/>
      <c r="H45" s="27"/>
      <c r="I45" s="27"/>
      <c r="J45" s="27"/>
      <c r="K45" s="27"/>
      <c r="L45" s="27"/>
    </row>
    <row r="46" spans="2:12" x14ac:dyDescent="0.25"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</row>
    <row r="47" spans="2:12" x14ac:dyDescent="0.25"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</row>
    <row r="48" spans="2:12" x14ac:dyDescent="0.25"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</row>
    <row r="81" spans="10:10" ht="28.5" x14ac:dyDescent="0.25">
      <c r="J81" s="30" t="s">
        <v>71</v>
      </c>
    </row>
  </sheetData>
  <mergeCells count="10">
    <mergeCell ref="A2:E2"/>
    <mergeCell ref="G2:K2"/>
    <mergeCell ref="C4:D4"/>
    <mergeCell ref="G4:H4"/>
    <mergeCell ref="F38:G38"/>
    <mergeCell ref="L3:N3"/>
    <mergeCell ref="I27:J27"/>
    <mergeCell ref="C27:D27"/>
    <mergeCell ref="B39:C39"/>
    <mergeCell ref="H39:I3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tabSelected="1" topLeftCell="E1" zoomScale="70" zoomScaleNormal="70" workbookViewId="0">
      <selection activeCell="K29" sqref="K29"/>
    </sheetView>
  </sheetViews>
  <sheetFormatPr defaultRowHeight="15" x14ac:dyDescent="0.25"/>
  <cols>
    <col min="1" max="1" width="5.7109375" style="22" bestFit="1" customWidth="1"/>
    <col min="2" max="2" width="14.140625" style="22" customWidth="1"/>
    <col min="3" max="3" width="10.42578125" style="22" bestFit="1" customWidth="1"/>
    <col min="4" max="4" width="16.42578125" style="22" customWidth="1"/>
    <col min="5" max="5" width="20.85546875" style="22" bestFit="1" customWidth="1"/>
    <col min="6" max="6" width="20.7109375" style="22" customWidth="1"/>
    <col min="7" max="7" width="20.42578125" style="22" customWidth="1"/>
    <col min="8" max="8" width="14.7109375" style="22" customWidth="1"/>
    <col min="9" max="9" width="25.140625" style="22" bestFit="1" customWidth="1"/>
    <col min="10" max="10" width="17.140625" style="22" customWidth="1"/>
    <col min="11" max="11" width="17.7109375" style="22" customWidth="1"/>
    <col min="12" max="12" width="24.42578125" style="22" bestFit="1" customWidth="1"/>
    <col min="13" max="13" width="9.7109375" style="22" bestFit="1" customWidth="1"/>
    <col min="14" max="14" width="8.7109375" style="22" bestFit="1" customWidth="1"/>
    <col min="15" max="15" width="10.28515625" style="22" bestFit="1" customWidth="1"/>
    <col min="16" max="16" width="6.5703125" style="22" bestFit="1" customWidth="1"/>
    <col min="17" max="17" width="10.28515625" style="22" bestFit="1" customWidth="1"/>
    <col min="18" max="18" width="6.5703125" style="22" bestFit="1" customWidth="1"/>
    <col min="19" max="19" width="11.7109375" style="22" bestFit="1" customWidth="1"/>
    <col min="20" max="20" width="4" style="22" bestFit="1" customWidth="1"/>
    <col min="21" max="16384" width="9.140625" style="22"/>
  </cols>
  <sheetData>
    <row r="1" spans="1:15" s="43" customFormat="1" x14ac:dyDescent="0.25">
      <c r="B1" s="43" t="s">
        <v>70</v>
      </c>
    </row>
    <row r="2" spans="1:15" x14ac:dyDescent="0.25">
      <c r="A2" s="59" t="s">
        <v>0</v>
      </c>
      <c r="B2" s="60"/>
      <c r="C2" s="60"/>
      <c r="D2" s="60"/>
      <c r="E2" s="61"/>
      <c r="F2" s="26"/>
      <c r="G2" s="62" t="s">
        <v>1</v>
      </c>
      <c r="H2" s="62"/>
      <c r="I2" s="62"/>
      <c r="J2" s="62"/>
      <c r="K2" s="63"/>
    </row>
    <row r="3" spans="1:15" x14ac:dyDescent="0.25">
      <c r="A3" s="31"/>
      <c r="B3" s="31"/>
      <c r="C3" s="31" t="s">
        <v>45</v>
      </c>
      <c r="D3" s="31" t="s">
        <v>5</v>
      </c>
      <c r="E3" s="31" t="s">
        <v>23</v>
      </c>
      <c r="F3" s="25"/>
      <c r="G3" s="25" t="s">
        <v>45</v>
      </c>
      <c r="H3" s="25" t="s">
        <v>5</v>
      </c>
      <c r="I3" s="25" t="s">
        <v>23</v>
      </c>
      <c r="J3" s="22" t="s">
        <v>74</v>
      </c>
      <c r="K3" s="22" t="s">
        <v>77</v>
      </c>
      <c r="L3" s="54" t="s">
        <v>60</v>
      </c>
      <c r="M3" s="54"/>
      <c r="N3" s="54"/>
    </row>
    <row r="4" spans="1:15" x14ac:dyDescent="0.25">
      <c r="A4" s="31" t="s">
        <v>3</v>
      </c>
      <c r="B4" s="31" t="s">
        <v>6</v>
      </c>
      <c r="C4" s="57" t="s">
        <v>2</v>
      </c>
      <c r="D4" s="58"/>
      <c r="E4" s="31"/>
      <c r="F4" s="48" t="s">
        <v>6</v>
      </c>
      <c r="G4" s="57" t="s">
        <v>2</v>
      </c>
      <c r="H4" s="58"/>
      <c r="I4" s="31"/>
      <c r="J4" s="22" t="s">
        <v>75</v>
      </c>
      <c r="K4" s="22" t="s">
        <v>76</v>
      </c>
      <c r="L4" s="31" t="s">
        <v>16</v>
      </c>
      <c r="M4" s="31">
        <v>121500</v>
      </c>
      <c r="N4" s="31" t="s">
        <v>14</v>
      </c>
      <c r="O4" s="22">
        <v>4650</v>
      </c>
    </row>
    <row r="5" spans="1:15" x14ac:dyDescent="0.25">
      <c r="A5" s="31">
        <v>1</v>
      </c>
      <c r="B5" s="31">
        <v>0.2</v>
      </c>
      <c r="C5" s="36">
        <f>241*10^-15</f>
        <v>2.4100000000000003E-13</v>
      </c>
      <c r="D5" s="36">
        <v>0</v>
      </c>
      <c r="E5" s="31">
        <f>ABS((D5-C5)/C5*100)</f>
        <v>100</v>
      </c>
      <c r="F5" s="48">
        <v>0.2</v>
      </c>
      <c r="G5" s="31">
        <v>0</v>
      </c>
      <c r="H5" s="36">
        <v>0</v>
      </c>
      <c r="I5" s="31" t="e">
        <f>ABS((H5-G5)/G5*100)</f>
        <v>#DIV/0!</v>
      </c>
      <c r="J5" s="22">
        <f>(H13-H12)/(B13-B12)</f>
        <v>7.7777777777777779E-2</v>
      </c>
      <c r="K5" s="22">
        <f>(G13-G12)/(B13-B12)</f>
        <v>9.4500000000000028E-2</v>
      </c>
      <c r="L5" s="31" t="s">
        <v>17</v>
      </c>
      <c r="M5" s="31">
        <v>50600</v>
      </c>
      <c r="N5" s="31">
        <f>M5+O4</f>
        <v>55250</v>
      </c>
    </row>
    <row r="6" spans="1:15" x14ac:dyDescent="0.25">
      <c r="A6" s="31">
        <v>2</v>
      </c>
      <c r="B6" s="31">
        <v>0.4</v>
      </c>
      <c r="C6" s="36">
        <f>440*10^-15</f>
        <v>4.4000000000000004E-13</v>
      </c>
      <c r="D6" s="36">
        <v>0</v>
      </c>
      <c r="E6" s="31">
        <f t="shared" ref="E6:E15" si="0">ABS((D6-C6)/C6*100)</f>
        <v>100</v>
      </c>
      <c r="F6" s="48">
        <v>0.4</v>
      </c>
      <c r="G6" s="31">
        <v>0</v>
      </c>
      <c r="H6" s="36">
        <v>0</v>
      </c>
      <c r="I6" s="46" t="e">
        <f t="shared" ref="I6:I14" si="1">ABS((H6-G6)/G6*100)</f>
        <v>#DIV/0!</v>
      </c>
      <c r="L6" s="31" t="s">
        <v>18</v>
      </c>
      <c r="M6" s="31">
        <v>235</v>
      </c>
      <c r="N6" s="31"/>
    </row>
    <row r="7" spans="1:15" x14ac:dyDescent="0.25">
      <c r="A7" s="31">
        <v>3</v>
      </c>
      <c r="B7" s="31">
        <v>0.6</v>
      </c>
      <c r="C7" s="36">
        <f xml:space="preserve"> 639*10^-15</f>
        <v>6.39E-13</v>
      </c>
      <c r="D7" s="36">
        <v>0</v>
      </c>
      <c r="E7" s="31">
        <f t="shared" si="0"/>
        <v>100</v>
      </c>
      <c r="F7" s="48">
        <v>0.6</v>
      </c>
      <c r="G7" s="31">
        <v>0</v>
      </c>
      <c r="H7" s="36">
        <v>0</v>
      </c>
      <c r="I7" s="46" t="e">
        <f t="shared" si="1"/>
        <v>#DIV/0!</v>
      </c>
      <c r="L7" s="31" t="s">
        <v>19</v>
      </c>
      <c r="M7" s="31">
        <v>10</v>
      </c>
      <c r="N7" s="31" t="s">
        <v>21</v>
      </c>
    </row>
    <row r="8" spans="1:15" x14ac:dyDescent="0.25">
      <c r="A8" s="31">
        <v>4</v>
      </c>
      <c r="B8" s="31">
        <v>0.8</v>
      </c>
      <c r="C8" s="36">
        <f xml:space="preserve"> 839*10^-15</f>
        <v>8.3900000000000006E-13</v>
      </c>
      <c r="D8" s="36">
        <v>0</v>
      </c>
      <c r="E8" s="31">
        <f t="shared" si="0"/>
        <v>100</v>
      </c>
      <c r="F8" s="48">
        <v>0.8</v>
      </c>
      <c r="G8" s="36">
        <f>0.18*10^-6</f>
        <v>1.8E-7</v>
      </c>
      <c r="H8" s="36">
        <v>0</v>
      </c>
      <c r="I8" s="46">
        <f t="shared" si="1"/>
        <v>100</v>
      </c>
      <c r="L8" s="31" t="s">
        <v>20</v>
      </c>
      <c r="M8" s="31">
        <v>10</v>
      </c>
      <c r="N8" s="31"/>
    </row>
    <row r="9" spans="1:15" x14ac:dyDescent="0.25">
      <c r="A9" s="31">
        <v>5</v>
      </c>
      <c r="B9" s="31">
        <v>1</v>
      </c>
      <c r="C9" s="36">
        <f>1.04*10^-12</f>
        <v>1.04E-12</v>
      </c>
      <c r="D9" s="36">
        <v>0</v>
      </c>
      <c r="E9" s="31">
        <f t="shared" si="0"/>
        <v>100</v>
      </c>
      <c r="F9" s="48">
        <v>1</v>
      </c>
      <c r="G9" s="36">
        <f>3.61*10^-6</f>
        <v>3.6099999999999997E-6</v>
      </c>
      <c r="H9" s="36">
        <v>0</v>
      </c>
      <c r="I9" s="46">
        <f t="shared" si="1"/>
        <v>100</v>
      </c>
      <c r="L9" s="31" t="s">
        <v>22</v>
      </c>
      <c r="M9" s="31"/>
      <c r="N9" s="31"/>
    </row>
    <row r="10" spans="1:15" x14ac:dyDescent="0.25">
      <c r="A10" s="31">
        <v>6</v>
      </c>
      <c r="B10" s="31">
        <v>1.2</v>
      </c>
      <c r="C10" s="36">
        <f>1.242*10^-12</f>
        <v>1.242E-12</v>
      </c>
      <c r="D10" s="36">
        <v>0</v>
      </c>
      <c r="E10" s="31">
        <f t="shared" si="0"/>
        <v>100</v>
      </c>
      <c r="F10" s="48">
        <v>1.2</v>
      </c>
      <c r="G10" s="36">
        <f>15.53*10^-6</f>
        <v>1.5529999999999999E-5</v>
      </c>
      <c r="H10" s="36">
        <f>$K$19/2*(B10-$J$19)^2</f>
        <v>0</v>
      </c>
      <c r="I10" s="46">
        <f t="shared" si="1"/>
        <v>100</v>
      </c>
    </row>
    <row r="11" spans="1:15" x14ac:dyDescent="0.25">
      <c r="A11" s="31">
        <v>7</v>
      </c>
      <c r="B11" s="31">
        <v>1.4</v>
      </c>
      <c r="C11" s="36">
        <f>1.439*10^-12</f>
        <v>1.439E-12</v>
      </c>
      <c r="D11" s="36">
        <v>0</v>
      </c>
      <c r="E11" s="31">
        <f t="shared" si="0"/>
        <v>100</v>
      </c>
      <c r="F11" s="48">
        <v>1.4</v>
      </c>
      <c r="G11" s="36">
        <f>0.955*10^-3</f>
        <v>9.5500000000000001E-4</v>
      </c>
      <c r="H11" s="36">
        <f>$K$19/2*(B11-$J$19)^2</f>
        <v>3.1111111111111092E-3</v>
      </c>
      <c r="I11" s="46">
        <f t="shared" si="1"/>
        <v>225.77079697498525</v>
      </c>
      <c r="M11" s="45">
        <f>2.7/M6</f>
        <v>1.148936170212766E-2</v>
      </c>
      <c r="N11" s="22" t="s">
        <v>72</v>
      </c>
    </row>
    <row r="12" spans="1:15" x14ac:dyDescent="0.25">
      <c r="A12" s="31">
        <v>8</v>
      </c>
      <c r="B12" s="31">
        <v>1.6</v>
      </c>
      <c r="C12" s="36">
        <f>5.193*10^-6</f>
        <v>5.1929999999999992E-6</v>
      </c>
      <c r="D12" s="36">
        <f>$E$19/2 * (B12 - $D$19)^2</f>
        <v>9.2602040816328553E-6</v>
      </c>
      <c r="E12" s="31">
        <f t="shared" si="0"/>
        <v>78.320895082473655</v>
      </c>
      <c r="F12" s="48">
        <v>1.6</v>
      </c>
      <c r="G12" s="36">
        <f>12.9*10^-3</f>
        <v>1.29E-2</v>
      </c>
      <c r="H12" s="36">
        <f>$K$19/2*(B12-$J$19)^2</f>
        <v>1.2444444444444451E-2</v>
      </c>
      <c r="I12" s="46">
        <f t="shared" si="1"/>
        <v>3.5314384151592972</v>
      </c>
    </row>
    <row r="13" spans="1:15" x14ac:dyDescent="0.25">
      <c r="A13" s="31">
        <v>9</v>
      </c>
      <c r="B13" s="31">
        <v>1.8</v>
      </c>
      <c r="C13" s="36">
        <f xml:space="preserve"> 3.309*10^-3</f>
        <v>3.3090000000000003E-3</v>
      </c>
      <c r="D13" s="36">
        <f>$E$19/2 * (B13 - $D$19)^2</f>
        <v>3.407219387755104E-3</v>
      </c>
      <c r="E13" s="31">
        <f t="shared" si="0"/>
        <v>2.9682498566063376</v>
      </c>
      <c r="F13" s="48">
        <v>1.8</v>
      </c>
      <c r="G13" s="36">
        <f>31.8*10^-3</f>
        <v>3.1800000000000002E-2</v>
      </c>
      <c r="H13" s="36">
        <f>$K$19/2*(B13-$J$19)^2</f>
        <v>2.8000000000000004E-2</v>
      </c>
      <c r="I13" s="46">
        <f t="shared" si="1"/>
        <v>11.949685534591186</v>
      </c>
    </row>
    <row r="14" spans="1:15" x14ac:dyDescent="0.25">
      <c r="A14" s="31">
        <v>10</v>
      </c>
      <c r="B14" s="31">
        <v>2</v>
      </c>
      <c r="C14" s="36">
        <f xml:space="preserve"> 13.05*10^-3</f>
        <v>1.3050000000000001E-2</v>
      </c>
      <c r="D14" s="36">
        <f>$E$19/2 * (B14 - $D$19)^2</f>
        <v>1.2927627551020407E-2</v>
      </c>
      <c r="E14" s="31">
        <f t="shared" si="0"/>
        <v>0.93771991555244349</v>
      </c>
      <c r="F14" s="48">
        <v>2</v>
      </c>
      <c r="G14" s="36">
        <f>59.5*10^-3</f>
        <v>5.9500000000000004E-2</v>
      </c>
      <c r="H14" s="36">
        <f>$K$19/2*(B14-$J$19)^2</f>
        <v>4.9777777777777782E-2</v>
      </c>
      <c r="I14" s="46">
        <f t="shared" si="1"/>
        <v>16.33986928104575</v>
      </c>
    </row>
    <row r="15" spans="1:15" x14ac:dyDescent="0.25">
      <c r="A15" s="31">
        <v>11</v>
      </c>
      <c r="B15" s="31">
        <v>2.2000000000000002</v>
      </c>
      <c r="C15" s="36">
        <f xml:space="preserve"> 28.461*10^-3</f>
        <v>2.8461E-2</v>
      </c>
      <c r="D15" s="36">
        <f>$E$19/2 * (B15 - $D$19)^2</f>
        <v>2.8570484693877563E-2</v>
      </c>
      <c r="E15" s="31">
        <f t="shared" si="0"/>
        <v>0.38468322925253157</v>
      </c>
      <c r="F15" s="48"/>
      <c r="G15" s="36"/>
      <c r="H15" s="36"/>
      <c r="I15" s="31"/>
    </row>
    <row r="16" spans="1:15" x14ac:dyDescent="0.25">
      <c r="A16" s="27"/>
      <c r="B16" s="27"/>
      <c r="C16" s="27"/>
      <c r="D16" s="27"/>
      <c r="E16" s="27"/>
      <c r="F16" s="27"/>
      <c r="G16" s="27"/>
      <c r="H16" s="27"/>
      <c r="I16" s="27"/>
    </row>
    <row r="17" spans="1:12" x14ac:dyDescent="0.25">
      <c r="A17" s="27"/>
      <c r="B17" s="27" t="s">
        <v>57</v>
      </c>
      <c r="C17" s="27" t="s">
        <v>58</v>
      </c>
      <c r="D17" s="22" t="s">
        <v>56</v>
      </c>
      <c r="E17" s="22" t="s">
        <v>59</v>
      </c>
      <c r="F17" s="27"/>
      <c r="G17" s="27"/>
      <c r="H17" s="27" t="s">
        <v>57</v>
      </c>
      <c r="I17" s="27" t="s">
        <v>58</v>
      </c>
      <c r="J17" s="22" t="s">
        <v>56</v>
      </c>
      <c r="K17" s="22" t="s">
        <v>59</v>
      </c>
    </row>
    <row r="18" spans="1:12" x14ac:dyDescent="0.25">
      <c r="A18" s="27"/>
      <c r="B18" s="31" t="s">
        <v>6</v>
      </c>
      <c r="C18" s="31" t="s">
        <v>4</v>
      </c>
      <c r="D18" s="31" t="s">
        <v>12</v>
      </c>
      <c r="E18" s="31" t="s">
        <v>13</v>
      </c>
      <c r="F18" s="27"/>
      <c r="H18" s="31" t="s">
        <v>6</v>
      </c>
      <c r="I18" s="31" t="s">
        <v>4</v>
      </c>
      <c r="J18" s="31" t="s">
        <v>12</v>
      </c>
      <c r="K18" s="31" t="s">
        <v>13</v>
      </c>
    </row>
    <row r="19" spans="1:12" x14ac:dyDescent="0.25">
      <c r="A19" s="27"/>
      <c r="B19" s="31">
        <v>1.869</v>
      </c>
      <c r="C19" s="33">
        <f xml:space="preserve"> 6*10^-3</f>
        <v>6.0000000000000001E-3</v>
      </c>
      <c r="D19" s="31">
        <f>2*B19-B20</f>
        <v>1.589</v>
      </c>
      <c r="E19" s="35">
        <f>(2 * C19) / (B19-D19)^2</f>
        <v>0.15306122448979589</v>
      </c>
      <c r="F19" s="27"/>
      <c r="G19" s="47" t="s">
        <v>73</v>
      </c>
      <c r="H19" s="46">
        <v>1.5</v>
      </c>
      <c r="I19" s="36">
        <f>7*10^-3</f>
        <v>7.0000000000000001E-3</v>
      </c>
      <c r="J19" s="31">
        <f>2*H19-H20</f>
        <v>1.2</v>
      </c>
      <c r="K19" s="35">
        <f>(2*I19)/(H19-J19)^2</f>
        <v>0.15555555555555553</v>
      </c>
    </row>
    <row r="20" spans="1:12" x14ac:dyDescent="0.25">
      <c r="A20" s="27"/>
      <c r="B20" s="31">
        <v>2.149</v>
      </c>
      <c r="C20" s="33">
        <f xml:space="preserve"> 24*10^-3</f>
        <v>2.4E-2</v>
      </c>
      <c r="D20" s="31"/>
      <c r="E20" s="35">
        <f>(2 * C20) / (B20-D19)^2</f>
        <v>0.15306122448979589</v>
      </c>
      <c r="F20" s="27"/>
      <c r="H20" s="46">
        <v>1.8</v>
      </c>
      <c r="I20" s="33">
        <v>2.8000000000000001E-2</v>
      </c>
      <c r="J20" s="31"/>
      <c r="K20" s="35">
        <f>(2*I20)/(H20-J19)^2</f>
        <v>0.15555555555555553</v>
      </c>
    </row>
    <row r="22" spans="1:12" s="32" customFormat="1" x14ac:dyDescent="0.25">
      <c r="B22" s="32" t="s">
        <v>52</v>
      </c>
      <c r="F22" s="39" t="s">
        <v>46</v>
      </c>
      <c r="G22" s="32" t="s">
        <v>47</v>
      </c>
      <c r="I22" s="32" t="s">
        <v>48</v>
      </c>
    </row>
    <row r="23" spans="1:12" x14ac:dyDescent="0.25">
      <c r="C23" s="31"/>
      <c r="D23" s="31"/>
      <c r="E23" s="31"/>
      <c r="F23" s="27"/>
      <c r="I23" s="31"/>
      <c r="J23" s="31" t="s">
        <v>43</v>
      </c>
      <c r="K23" s="31" t="s">
        <v>44</v>
      </c>
    </row>
    <row r="24" spans="1:12" x14ac:dyDescent="0.25">
      <c r="C24" s="31" t="s">
        <v>36</v>
      </c>
      <c r="D24" s="31" t="s">
        <v>8</v>
      </c>
      <c r="E24" s="31" t="s">
        <v>25</v>
      </c>
      <c r="F24" s="27"/>
      <c r="I24" s="31" t="s">
        <v>36</v>
      </c>
      <c r="J24" s="31" t="s">
        <v>8</v>
      </c>
      <c r="K24" s="31" t="s">
        <v>25</v>
      </c>
    </row>
    <row r="25" spans="1:12" x14ac:dyDescent="0.25">
      <c r="C25" s="31">
        <v>0.83340000000000003</v>
      </c>
      <c r="D25" s="31">
        <v>5</v>
      </c>
      <c r="E25" s="31">
        <f>2.25*10^-9</f>
        <v>2.2500000000000003E-9</v>
      </c>
      <c r="F25" s="27"/>
      <c r="I25" s="31">
        <v>1.4630000000000001</v>
      </c>
      <c r="J25" s="31">
        <v>3.67</v>
      </c>
      <c r="K25" s="35">
        <f>5.67*10^-3</f>
        <v>5.6699999999999997E-3</v>
      </c>
    </row>
    <row r="26" spans="1:12" x14ac:dyDescent="0.25">
      <c r="C26" s="27"/>
    </row>
    <row r="27" spans="1:12" s="32" customFormat="1" x14ac:dyDescent="0.25">
      <c r="B27" s="32" t="s">
        <v>53</v>
      </c>
      <c r="C27" s="55" t="s">
        <v>61</v>
      </c>
      <c r="D27" s="56"/>
      <c r="E27" s="40"/>
      <c r="F27" s="39" t="s">
        <v>49</v>
      </c>
      <c r="G27" s="32" t="s">
        <v>47</v>
      </c>
      <c r="I27" s="55" t="s">
        <v>61</v>
      </c>
      <c r="J27" s="56"/>
      <c r="K27" s="40"/>
    </row>
    <row r="28" spans="1:12" x14ac:dyDescent="0.25">
      <c r="C28" s="31" t="s">
        <v>9</v>
      </c>
      <c r="D28" s="31" t="s">
        <v>10</v>
      </c>
      <c r="E28" s="31" t="s">
        <v>42</v>
      </c>
      <c r="F28" s="27" t="s">
        <v>50</v>
      </c>
      <c r="I28" s="31" t="s">
        <v>9</v>
      </c>
      <c r="J28" s="31" t="s">
        <v>10</v>
      </c>
      <c r="K28" s="31" t="s">
        <v>67</v>
      </c>
      <c r="L28" s="22" t="s">
        <v>51</v>
      </c>
    </row>
    <row r="29" spans="1:12" x14ac:dyDescent="0.25">
      <c r="C29" s="31">
        <f>50*10^-6</f>
        <v>4.9999999999999996E-5</v>
      </c>
      <c r="D29" s="31">
        <f>20*10^-3</f>
        <v>0.02</v>
      </c>
      <c r="E29" s="31">
        <f>C29/D29</f>
        <v>2.4999999999999996E-3</v>
      </c>
      <c r="F29" s="27"/>
      <c r="I29" s="31">
        <f>362*10^-3</f>
        <v>0.36199999999999999</v>
      </c>
      <c r="J29" s="31">
        <f>21.53*10^-3</f>
        <v>2.1530000000000001E-2</v>
      </c>
      <c r="K29" s="42">
        <f>I29/J29</f>
        <v>16.81374825824431</v>
      </c>
    </row>
    <row r="30" spans="1:12" x14ac:dyDescent="0.25">
      <c r="C30" s="27"/>
      <c r="D30" s="27"/>
      <c r="E30" s="27"/>
      <c r="F30" s="27"/>
      <c r="I30" s="27"/>
      <c r="J30" s="27"/>
      <c r="K30" s="27"/>
    </row>
    <row r="31" spans="1:12" s="32" customFormat="1" x14ac:dyDescent="0.25">
      <c r="B31" s="32" t="s">
        <v>55</v>
      </c>
      <c r="C31" s="39"/>
      <c r="D31" s="39"/>
      <c r="E31" s="39"/>
      <c r="F31" s="39"/>
      <c r="I31" s="39"/>
      <c r="J31" s="39"/>
      <c r="K31" s="39"/>
    </row>
    <row r="32" spans="1:12" ht="15.75" x14ac:dyDescent="0.25">
      <c r="B32" s="22" t="s">
        <v>28</v>
      </c>
      <c r="C32" s="28" t="s">
        <v>27</v>
      </c>
      <c r="G32" s="27"/>
      <c r="H32" s="41">
        <v>0.1</v>
      </c>
      <c r="I32" s="22" t="s">
        <v>43</v>
      </c>
      <c r="J32" s="27"/>
    </row>
    <row r="33" spans="2:12" ht="15.75" x14ac:dyDescent="0.25">
      <c r="F33" s="28" t="s">
        <v>29</v>
      </c>
    </row>
    <row r="35" spans="2:12" s="32" customFormat="1" x14ac:dyDescent="0.25">
      <c r="B35" s="32" t="s">
        <v>64</v>
      </c>
      <c r="L35" s="32" t="s">
        <v>54</v>
      </c>
    </row>
    <row r="36" spans="2:12" x14ac:dyDescent="0.25">
      <c r="F36" s="27" t="s">
        <v>24</v>
      </c>
    </row>
    <row r="38" spans="2:12" ht="15.75" x14ac:dyDescent="0.25">
      <c r="F38" s="64"/>
      <c r="G38" s="64"/>
      <c r="H38" s="22">
        <v>1.556</v>
      </c>
      <c r="I38" s="44">
        <f>11.51*10^-3</f>
        <v>1.1509999999999999E-2</v>
      </c>
    </row>
    <row r="39" spans="2:12" x14ac:dyDescent="0.25">
      <c r="B39" s="65"/>
      <c r="C39" s="65"/>
      <c r="D39" s="27"/>
      <c r="E39" s="27"/>
      <c r="F39" s="27"/>
      <c r="H39" s="57" t="s">
        <v>63</v>
      </c>
      <c r="I39" s="58"/>
      <c r="J39" s="31" t="s">
        <v>62</v>
      </c>
      <c r="K39" s="31" t="s">
        <v>68</v>
      </c>
      <c r="L39" s="31" t="s">
        <v>69</v>
      </c>
    </row>
    <row r="40" spans="2:12" ht="18" x14ac:dyDescent="0.25">
      <c r="B40" s="37"/>
      <c r="C40" s="37"/>
      <c r="D40" s="27"/>
      <c r="E40" s="27"/>
      <c r="F40" s="27"/>
      <c r="H40" s="29" t="s">
        <v>32</v>
      </c>
      <c r="I40" s="29" t="s">
        <v>31</v>
      </c>
      <c r="J40" s="31" t="s">
        <v>30</v>
      </c>
      <c r="K40" s="31" t="s">
        <v>35</v>
      </c>
      <c r="L40" s="31" t="s">
        <v>35</v>
      </c>
    </row>
    <row r="41" spans="2:12" x14ac:dyDescent="0.25">
      <c r="B41" s="27"/>
      <c r="C41" s="66"/>
      <c r="D41" s="66"/>
      <c r="E41" s="67"/>
      <c r="F41" s="67"/>
      <c r="H41" s="31">
        <f>H38-I25</f>
        <v>9.2999999999999972E-2</v>
      </c>
      <c r="I41" s="34">
        <f>I38-K25</f>
        <v>5.8399999999999997E-3</v>
      </c>
      <c r="J41" s="34">
        <f>14.4*10^-3</f>
        <v>1.4400000000000001E-2</v>
      </c>
      <c r="K41" s="35">
        <f>I41/H41</f>
        <v>6.2795698924731205E-2</v>
      </c>
      <c r="L41" s="35">
        <f>K19*(I25-J19)</f>
        <v>4.091111111111112E-2</v>
      </c>
    </row>
    <row r="42" spans="2:12" x14ac:dyDescent="0.25"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</row>
    <row r="43" spans="2:12" s="32" customFormat="1" x14ac:dyDescent="0.25">
      <c r="B43" s="32" t="s">
        <v>65</v>
      </c>
      <c r="C43" s="39"/>
      <c r="D43" s="39"/>
      <c r="E43" s="39"/>
      <c r="F43" s="39"/>
      <c r="G43" s="39"/>
      <c r="H43" s="39"/>
      <c r="I43" s="40" t="s">
        <v>66</v>
      </c>
      <c r="J43" s="42">
        <f>-$M$6*K41</f>
        <v>-14.756989247311834</v>
      </c>
      <c r="K43" s="42">
        <f>-$M$6*L41</f>
        <v>-9.6141111111111126</v>
      </c>
      <c r="L43" s="39"/>
    </row>
    <row r="44" spans="2:12" x14ac:dyDescent="0.25">
      <c r="B44" s="37"/>
      <c r="C44" s="37"/>
      <c r="D44" s="27"/>
      <c r="E44" s="27"/>
      <c r="F44" s="27"/>
      <c r="G44" s="27"/>
      <c r="H44" s="27"/>
      <c r="I44" s="27" t="s">
        <v>23</v>
      </c>
      <c r="J44" s="27"/>
      <c r="K44" s="27"/>
      <c r="L44" s="27"/>
    </row>
    <row r="45" spans="2:12" x14ac:dyDescent="0.25">
      <c r="B45" s="27"/>
      <c r="C45" s="27"/>
      <c r="D45" s="27"/>
      <c r="E45" s="27"/>
      <c r="F45" s="27"/>
      <c r="G45" s="38"/>
      <c r="H45" s="27"/>
      <c r="I45" s="27"/>
      <c r="J45" s="27"/>
      <c r="K45" s="27"/>
      <c r="L45" s="27"/>
    </row>
    <row r="46" spans="2:12" x14ac:dyDescent="0.25"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</row>
    <row r="47" spans="2:12" x14ac:dyDescent="0.25"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</row>
    <row r="48" spans="2:12" x14ac:dyDescent="0.25"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</row>
    <row r="81" spans="10:10" ht="28.5" x14ac:dyDescent="0.25">
      <c r="J81" s="30" t="s">
        <v>71</v>
      </c>
    </row>
  </sheetData>
  <mergeCells count="10">
    <mergeCell ref="F38:G38"/>
    <mergeCell ref="B39:C39"/>
    <mergeCell ref="H39:I39"/>
    <mergeCell ref="A2:E2"/>
    <mergeCell ref="G2:K2"/>
    <mergeCell ref="L3:N3"/>
    <mergeCell ref="C4:D4"/>
    <mergeCell ref="G4:H4"/>
    <mergeCell ref="C27:D27"/>
    <mergeCell ref="I27:J2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Измерения</vt:lpstr>
      <vt:lpstr>НОВЫЕ_ИЗМЕРЕНИЯ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Bramory</dc:creator>
  <cp:lastModifiedBy>Arthur Serhienko</cp:lastModifiedBy>
  <dcterms:created xsi:type="dcterms:W3CDTF">2018-03-21T08:36:58Z</dcterms:created>
  <dcterms:modified xsi:type="dcterms:W3CDTF">2018-05-03T21:46:29Z</dcterms:modified>
</cp:coreProperties>
</file>