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7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8" sheetId="8" r:id="rId7"/>
    <sheet name="Sheet7" sheetId="9" r:id="rId8"/>
    <sheet name="Sheet3 (2)" sheetId="11" r:id="rId9"/>
    <sheet name="Sheet9" sheetId="10" r:id="rId10"/>
    <sheet name="Sheet4 (2)" sheetId="12" r:id="rId11"/>
    <sheet name="CANDLE STICK TRADING CHART" sheetId="13" r:id="rId12"/>
    <sheet name="PRACTICE QUESTIONS" sheetId="14" r:id="rId13"/>
    <sheet name="Sheet10" sheetId="15" r:id="rId14"/>
    <sheet name="Sheet11" sheetId="16" r:id="rId15"/>
    <sheet name="Sheet12" sheetId="17" r:id="rId16"/>
    <sheet name="Sheet13" sheetId="18" r:id="rId17"/>
    <sheet name="Sheet17" sheetId="21" r:id="rId18"/>
    <sheet name="Sheet18" sheetId="22" r:id="rId19"/>
    <sheet name="interview cracker1" sheetId="23" r:id="rId20"/>
    <sheet name="interview cracker2" sheetId="24" r:id="rId21"/>
    <sheet name="cinema_hall_ticket_booking" sheetId="25" r:id="rId22"/>
  </sheets>
  <externalReferences>
    <externalReference r:id="rId24"/>
  </externalReferences>
  <definedNames>
    <definedName name="_xlnm._FilterDatabase" localSheetId="0" hidden="1">Sheet1!$A$2:$N$7</definedName>
    <definedName name="_xlnm.Print_Area" localSheetId="0">Sheet1!$A$1:$N$58</definedName>
    <definedName name="datelist">[1]FoodSales!$A$2:$A$245</definedName>
    <definedName name="list">[1]FoodSales!$A$1:$H$245</definedName>
    <definedName name="_xlnm._FilterDatabase" localSheetId="1" hidden="1">Sheet2!$A$1:$D$9</definedName>
  </definedNames>
  <calcPr calcId="144525"/>
  <pivotCaches>
    <pivotCache cacheId="0" r:id="rId23"/>
  </pivotCaches>
</workbook>
</file>

<file path=xl/sharedStrings.xml><?xml version="1.0" encoding="utf-8"?>
<sst xmlns="http://schemas.openxmlformats.org/spreadsheetml/2006/main" count="712" uniqueCount="360">
  <si>
    <t>STUDENT EXAM RECORDS</t>
  </si>
  <si>
    <t>SR NO</t>
  </si>
  <si>
    <t>NAME OF STUDENT</t>
  </si>
  <si>
    <t>MATHS</t>
  </si>
  <si>
    <t>SCI</t>
  </si>
  <si>
    <t>IT</t>
  </si>
  <si>
    <t>TOTAL</t>
  </si>
  <si>
    <t>MAX</t>
  </si>
  <si>
    <t>MIN</t>
  </si>
  <si>
    <t>COUNT</t>
  </si>
  <si>
    <t>AVG</t>
  </si>
  <si>
    <t>PERCENTAGE</t>
  </si>
  <si>
    <t>RESULT/IF AND</t>
  </si>
  <si>
    <t>RESULT2/IF OR</t>
  </si>
  <si>
    <t>GRADE/IF IF</t>
  </si>
  <si>
    <t>BAHUBALI</t>
  </si>
  <si>
    <t>BHALLALDEV</t>
  </si>
  <si>
    <t>DEVSENA</t>
  </si>
  <si>
    <t>KATTAPPA</t>
  </si>
  <si>
    <t>SHIVGAMI DEVI</t>
  </si>
  <si>
    <t>NAME OF EMPLOYE</t>
  </si>
  <si>
    <t>DEPARTMENT</t>
  </si>
  <si>
    <t>LOCATION</t>
  </si>
  <si>
    <t>days</t>
  </si>
  <si>
    <t>(ALL)</t>
  </si>
  <si>
    <t>NAAGIN DASE</t>
  </si>
  <si>
    <t>purchase</t>
  </si>
  <si>
    <t>Gaama</t>
  </si>
  <si>
    <t>this is a BOOK</t>
  </si>
  <si>
    <t>GULGULE PARSAD</t>
  </si>
  <si>
    <t>sales</t>
  </si>
  <si>
    <t>Rampur</t>
  </si>
  <si>
    <t>Count of days</t>
  </si>
  <si>
    <t>KUTKUTIYA TIWARI</t>
  </si>
  <si>
    <t>Kuntal</t>
  </si>
  <si>
    <t>SHIV</t>
  </si>
  <si>
    <t>GULLAK PHODE</t>
  </si>
  <si>
    <t>Lakhedgarh</t>
  </si>
  <si>
    <t>SHANKAR</t>
  </si>
  <si>
    <t>RAMNIWAS JHALLA</t>
  </si>
  <si>
    <t>Mahismati</t>
  </si>
  <si>
    <t>Incorrect</t>
  </si>
  <si>
    <t>CTRL+5</t>
  </si>
  <si>
    <t>AMY</t>
  </si>
  <si>
    <t>JACK</t>
  </si>
  <si>
    <t>ROCKY</t>
  </si>
  <si>
    <t>JENNY</t>
  </si>
  <si>
    <t>JAYDEN</t>
  </si>
  <si>
    <t>COUNT A</t>
  </si>
  <si>
    <t>COUNT BLANK</t>
  </si>
  <si>
    <t>WON</t>
  </si>
  <si>
    <t>PHONE</t>
  </si>
  <si>
    <t>MODEL NO</t>
  </si>
  <si>
    <t>STORAGE</t>
  </si>
  <si>
    <t>COLOUR</t>
  </si>
  <si>
    <t>CODE</t>
  </si>
  <si>
    <t xml:space="preserve">subsitute </t>
  </si>
  <si>
    <t>CANCELED</t>
  </si>
  <si>
    <t>IPHONE 7 32GB YELLOW GOLD WHITE A1660</t>
  </si>
  <si>
    <t>IPHONE 7</t>
  </si>
  <si>
    <t>A1660</t>
  </si>
  <si>
    <t>IN PROGRESS</t>
  </si>
  <si>
    <t>IPHONE 7 32GB BLACK A1660</t>
  </si>
  <si>
    <t>TEXTJOIN FORMULA</t>
  </si>
  <si>
    <t>IPHONE 7 128GB ROSE GOLD A1660</t>
  </si>
  <si>
    <t>IPHONE 7 32GB ROSE GOLD A1660</t>
  </si>
  <si>
    <t>IPHONE 7 128GB JET BLACK A1660</t>
  </si>
  <si>
    <t>IPHONE 7 64GB GOLD A1660</t>
  </si>
  <si>
    <t>IPHONE 7 32GB JET BLACK A1660</t>
  </si>
  <si>
    <t>IPHONE 7 800GB BLACK A1660</t>
  </si>
  <si>
    <t>IPHONE 7 32GB GOLD A1660</t>
  </si>
  <si>
    <t>IPHONE 7 64GB ROSE GOLD A1660</t>
  </si>
  <si>
    <t>total even numbers</t>
  </si>
  <si>
    <t>MONTHLY PRODUCTION REPORT</t>
  </si>
  <si>
    <t>Summry</t>
  </si>
  <si>
    <t>sr</t>
  </si>
  <si>
    <t>model</t>
  </si>
  <si>
    <t>color</t>
  </si>
  <si>
    <t>unit</t>
  </si>
  <si>
    <t>opening balance</t>
  </si>
  <si>
    <t>today production</t>
  </si>
  <si>
    <t>162L</t>
  </si>
  <si>
    <t>A</t>
  </si>
  <si>
    <t>Pcs</t>
  </si>
  <si>
    <t>178L</t>
  </si>
  <si>
    <t>B</t>
  </si>
  <si>
    <t>C</t>
  </si>
  <si>
    <t>D</t>
  </si>
  <si>
    <t>E</t>
  </si>
  <si>
    <t>F</t>
  </si>
  <si>
    <t>G</t>
  </si>
  <si>
    <t>I</t>
  </si>
  <si>
    <t>J</t>
  </si>
  <si>
    <t>K</t>
  </si>
  <si>
    <t>production</t>
  </si>
  <si>
    <t>total</t>
  </si>
  <si>
    <t>AVERAGE MONTHLY TEMPRATURE OF DELHI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</si>
  <si>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</si>
  <si>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</si>
  <si>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</si>
  <si>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</si>
  <si>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</si>
  <si>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</si>
  <si>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</si>
  <si>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</si>
  <si>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</si>
  <si>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</si>
  <si>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</si>
  <si>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</si>
  <si>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OVERS T20I</t>
  </si>
  <si>
    <t>RUNS IND</t>
  </si>
  <si>
    <t>RUNS SL</t>
  </si>
  <si>
    <t>TOTAL RUNS IND</t>
  </si>
  <si>
    <t>TOTAL RUNS SL</t>
  </si>
  <si>
    <t>overs/balls</t>
  </si>
  <si>
    <t>1st</t>
  </si>
  <si>
    <t>2nd</t>
  </si>
  <si>
    <t>3rd</t>
  </si>
  <si>
    <t>4th</t>
  </si>
  <si>
    <t>5th</t>
  </si>
  <si>
    <t>6th</t>
  </si>
  <si>
    <t>w</t>
  </si>
  <si>
    <t xml:space="preserve">IND VS SL 1st T20I Colombo 25-jul-21 </t>
  </si>
  <si>
    <t>Score</t>
  </si>
  <si>
    <t>icon</t>
  </si>
  <si>
    <t>1 6</t>
  </si>
  <si>
    <t>7 15</t>
  </si>
  <si>
    <t>16 20</t>
  </si>
  <si>
    <t>MONTLY AVERAGE STOCK PRICE OF BSE 2020</t>
  </si>
  <si>
    <t>TATA MOTORS</t>
  </si>
  <si>
    <t>INFOSYS</t>
  </si>
  <si>
    <t>AMAZONE</t>
  </si>
  <si>
    <t>TCS</t>
  </si>
  <si>
    <t>OPEN</t>
  </si>
  <si>
    <t>HIGH</t>
  </si>
  <si>
    <t>LOW</t>
  </si>
  <si>
    <t>CLOSE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</si>
  <si>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</si>
  <si>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</si>
  <si>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</si>
  <si>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</si>
  <si>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</si>
  <si>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</si>
  <si>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</si>
  <si>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</si>
  <si>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</si>
  <si>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</si>
  <si>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</si>
  <si>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</si>
  <si>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</si>
  <si>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DOB</t>
  </si>
  <si>
    <t>MONTH</t>
  </si>
  <si>
    <t>name</t>
  </si>
  <si>
    <t>no</t>
  </si>
  <si>
    <t>dadar</t>
  </si>
  <si>
    <t>CITY</t>
  </si>
  <si>
    <t>SALES</t>
  </si>
  <si>
    <t>highlight of lowest sale of city</t>
  </si>
  <si>
    <t>kohli</t>
  </si>
  <si>
    <t>bandra</t>
  </si>
  <si>
    <t>MAX SALE</t>
  </si>
  <si>
    <t>anushka</t>
  </si>
  <si>
    <t>kurla</t>
  </si>
  <si>
    <t>sri devi</t>
  </si>
  <si>
    <t>cst</t>
  </si>
  <si>
    <t>roshni</t>
  </si>
  <si>
    <t>ajay</t>
  </si>
  <si>
    <t>nilesh</t>
  </si>
  <si>
    <t xml:space="preserve">kanika </t>
  </si>
  <si>
    <t>ramesh</t>
  </si>
  <si>
    <t>thanos</t>
  </si>
  <si>
    <t>dilip</t>
  </si>
  <si>
    <t>minakshi</t>
  </si>
  <si>
    <t>kareena</t>
  </si>
  <si>
    <t>raj</t>
  </si>
  <si>
    <t>roja</t>
  </si>
  <si>
    <t>rakib</t>
  </si>
  <si>
    <t>fatima</t>
  </si>
  <si>
    <t>sana</t>
  </si>
  <si>
    <t>sikander</t>
  </si>
  <si>
    <t>iron man</t>
  </si>
  <si>
    <t>kishor</t>
  </si>
  <si>
    <t>kumar</t>
  </si>
  <si>
    <t>kajal</t>
  </si>
  <si>
    <t>pooja</t>
  </si>
  <si>
    <t>janvi</t>
  </si>
  <si>
    <t>rukhmani</t>
  </si>
  <si>
    <t>dee9898ksha989898</t>
  </si>
  <si>
    <t>is</t>
  </si>
  <si>
    <t>the</t>
  </si>
  <si>
    <t>india is the best</t>
  </si>
  <si>
    <t xml:space="preserve">name </t>
  </si>
  <si>
    <t>repeation</t>
  </si>
  <si>
    <t>we can create a history</t>
  </si>
  <si>
    <t>we are the creater of invention</t>
  </si>
  <si>
    <t>neccesity is the invention</t>
  </si>
  <si>
    <t>honesty is the best policy</t>
  </si>
  <si>
    <t>product oriented approach</t>
  </si>
  <si>
    <t>country</t>
  </si>
  <si>
    <t>company</t>
  </si>
  <si>
    <t>dues</t>
  </si>
  <si>
    <t>dues in local currency</t>
  </si>
  <si>
    <t>exchange rate</t>
  </si>
  <si>
    <t>empname</t>
  </si>
  <si>
    <t>salary</t>
  </si>
  <si>
    <t>#ironman</t>
  </si>
  <si>
    <t>india</t>
  </si>
  <si>
    <t>company-1</t>
  </si>
  <si>
    <t>1 us dollar</t>
  </si>
  <si>
    <t>0.63  british pound</t>
  </si>
  <si>
    <t>gopala k krishna</t>
  </si>
  <si>
    <t>gopala</t>
  </si>
  <si>
    <t>*thor</t>
  </si>
  <si>
    <t>uk</t>
  </si>
  <si>
    <t>company-2</t>
  </si>
  <si>
    <t>53.55 inr</t>
  </si>
  <si>
    <t>puran</t>
  </si>
  <si>
    <t>k</t>
  </si>
  <si>
    <t>^loki</t>
  </si>
  <si>
    <t>japan</t>
  </si>
  <si>
    <t>company-3</t>
  </si>
  <si>
    <t>99.50 japnese yen</t>
  </si>
  <si>
    <t>satish kumar ojha</t>
  </si>
  <si>
    <t>krishna</t>
  </si>
  <si>
    <t>raka</t>
  </si>
  <si>
    <t>company-4</t>
  </si>
  <si>
    <t>ayan bode</t>
  </si>
  <si>
    <t>company-5</t>
  </si>
  <si>
    <t>pramod g bhavsar</t>
  </si>
  <si>
    <t>company-6</t>
  </si>
  <si>
    <t>lokesh singh bisht</t>
  </si>
  <si>
    <t>company-7</t>
  </si>
  <si>
    <t>srathak kumar baghu</t>
  </si>
  <si>
    <t>company-8</t>
  </si>
  <si>
    <t>company-9</t>
  </si>
  <si>
    <t>company-10</t>
  </si>
  <si>
    <t>cc code</t>
  </si>
  <si>
    <t>₤</t>
  </si>
  <si>
    <t>₹</t>
  </si>
  <si>
    <t>¥</t>
  </si>
  <si>
    <t>original text</t>
  </si>
  <si>
    <t>insert hypen in between each three of nine by &amp;</t>
  </si>
  <si>
    <t>insert hypen in between each three of nine by replace</t>
  </si>
  <si>
    <t>text in full formate by replace</t>
  </si>
  <si>
    <t>text in full formate by subsitute</t>
  </si>
  <si>
    <t>PR1, ML1, T1</t>
  </si>
  <si>
    <t>PR1, ML2, T2</t>
  </si>
  <si>
    <t>PR2, ML1, T3</t>
  </si>
  <si>
    <t>PR3, ML3, T1</t>
  </si>
  <si>
    <t>PR1, ML1, T4</t>
  </si>
  <si>
    <t>data1</t>
  </si>
  <si>
    <t>data2</t>
  </si>
  <si>
    <t>PR2, ML2, T3</t>
  </si>
  <si>
    <t>date</t>
  </si>
  <si>
    <t>test case done</t>
  </si>
  <si>
    <t>start date</t>
  </si>
  <si>
    <t>end date</t>
  </si>
  <si>
    <t>cases done</t>
  </si>
  <si>
    <t>running total</t>
  </si>
  <si>
    <t>ishu</t>
  </si>
  <si>
    <t>kartik</t>
  </si>
  <si>
    <t>sonal</t>
  </si>
  <si>
    <t>narmad</t>
  </si>
  <si>
    <t>Full Name</t>
  </si>
  <si>
    <t>math</t>
  </si>
  <si>
    <t>sst</t>
  </si>
  <si>
    <t>sci</t>
  </si>
  <si>
    <t>fatima SANA saikh</t>
  </si>
  <si>
    <t>P</t>
  </si>
  <si>
    <t>P - PRESENT</t>
  </si>
  <si>
    <t>miraj BHANU singh</t>
  </si>
  <si>
    <t>-</t>
  </si>
  <si>
    <t>A- ABSENT</t>
  </si>
  <si>
    <t>devdutt LAL sharma</t>
  </si>
  <si>
    <t>BLANK - NEITHER</t>
  </si>
  <si>
    <t>pratik K nandi</t>
  </si>
  <si>
    <t>bhagvan DAS kulkarni</t>
  </si>
  <si>
    <t>solution #1</t>
  </si>
  <si>
    <t>solution #2</t>
  </si>
  <si>
    <t>ravi RAM sharma</t>
  </si>
  <si>
    <t>count of  "P"</t>
  </si>
  <si>
    <t>neel JYOT kothari</t>
  </si>
  <si>
    <t>count of  "A"</t>
  </si>
  <si>
    <t>reshma M singh</t>
  </si>
  <si>
    <t>shivani D patil</t>
  </si>
  <si>
    <t>ranjit GOL bali</t>
  </si>
  <si>
    <t>vijay VELU iyer</t>
  </si>
  <si>
    <t>ramanand P pandey</t>
  </si>
  <si>
    <t>mohanlal H tripathi</t>
  </si>
  <si>
    <t>aakansha L shrivastav</t>
  </si>
  <si>
    <t>anil RAO deshmukh</t>
  </si>
  <si>
    <t>ravi SHYAM narayan</t>
  </si>
  <si>
    <t>kesari lal YADAV</t>
  </si>
  <si>
    <t>chandan DEV gupta</t>
  </si>
  <si>
    <t>manvi DEVI chaurasia</t>
  </si>
  <si>
    <t>rajlaxmi V reddy</t>
  </si>
  <si>
    <t>WEEK</t>
  </si>
  <si>
    <t>DAY</t>
  </si>
  <si>
    <t>SALES QTY</t>
  </si>
  <si>
    <t>Q.1 find the total sales quantity (all the weeks) using formula</t>
  </si>
  <si>
    <t>Monday</t>
  </si>
  <si>
    <t>1st WEEK</t>
  </si>
  <si>
    <t>2nd WEEK</t>
  </si>
  <si>
    <t>3rd WEEK</t>
  </si>
  <si>
    <t>4th WEEK</t>
  </si>
  <si>
    <t>Tuesday</t>
  </si>
  <si>
    <t>Wednesday</t>
  </si>
  <si>
    <t>Thursday</t>
  </si>
  <si>
    <t>Q.2 find the total sales quantity on monday (all the weeks) using formula</t>
  </si>
  <si>
    <t>Friday</t>
  </si>
  <si>
    <t>1st WEEK monday</t>
  </si>
  <si>
    <t>2nd WEEK monday</t>
  </si>
  <si>
    <t>3rd WEEK monday</t>
  </si>
  <si>
    <t>4th WEEK monday</t>
  </si>
  <si>
    <t>Saturday</t>
  </si>
  <si>
    <t>Sunday</t>
  </si>
  <si>
    <t>employee</t>
  </si>
  <si>
    <t>grade</t>
  </si>
  <si>
    <t>bonus</t>
  </si>
  <si>
    <t>eficiancy</t>
  </si>
  <si>
    <t>result</t>
  </si>
  <si>
    <t>Column1</t>
  </si>
  <si>
    <t>suspension</t>
  </si>
  <si>
    <t>empID</t>
  </si>
  <si>
    <t>mohan das</t>
  </si>
  <si>
    <t>engine</t>
  </si>
  <si>
    <t>mohanlal(22330)</t>
  </si>
  <si>
    <t>charan das</t>
  </si>
  <si>
    <t>lalsingh(238900)</t>
  </si>
  <si>
    <t xml:space="preserve">rohan das </t>
  </si>
  <si>
    <t>gear</t>
  </si>
  <si>
    <t>devan das</t>
  </si>
  <si>
    <t>ram das</t>
  </si>
  <si>
    <t>ignition</t>
  </si>
  <si>
    <t>seva das</t>
  </si>
  <si>
    <t>krishna kumar</t>
  </si>
  <si>
    <t>dev lal</t>
  </si>
  <si>
    <t>lala amarnath</t>
  </si>
  <si>
    <t>NAME1</t>
  </si>
  <si>
    <t>NAME2</t>
  </si>
  <si>
    <t>MATCH</t>
  </si>
  <si>
    <t>COUNT NAME START WITH SH</t>
  </si>
  <si>
    <t>SACHIN</t>
  </si>
  <si>
    <t>DRAVID</t>
  </si>
  <si>
    <t>TENDULKAR</t>
  </si>
  <si>
    <t>COUNT NAME CONTAIN 5 CHARECTER</t>
  </si>
  <si>
    <t>RAHUL</t>
  </si>
  <si>
    <t>THAKUR</t>
  </si>
  <si>
    <t>BLUE</t>
  </si>
  <si>
    <t>SHARDUL</t>
  </si>
  <si>
    <t>VIJAY</t>
  </si>
  <si>
    <t>RED</t>
  </si>
  <si>
    <t>THALA</t>
  </si>
  <si>
    <t>GREEN</t>
  </si>
  <si>
    <t>RAM</t>
  </si>
  <si>
    <t>VASHI</t>
  </si>
  <si>
    <t>seat no</t>
  </si>
  <si>
    <t>SCREAN</t>
  </si>
  <si>
    <t>Exit</t>
  </si>
  <si>
    <t>Entry</t>
  </si>
</sst>
</file>

<file path=xl/styles.xml><?xml version="1.0" encoding="utf-8"?>
<styleSheet xmlns="http://schemas.openxmlformats.org/spreadsheetml/2006/main">
  <numFmts count="7">
    <numFmt numFmtId="8" formatCode="&quot;$&quot;#,##0.00_);[Red]\(&quot;$&quot;#,##0.00\)"/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  <numFmt numFmtId="179" formatCode="0.00_ "/>
  </numFmts>
  <fonts count="3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9" borderId="17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31" borderId="1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8" borderId="20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2" borderId="21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9" fillId="42" borderId="20" applyNumberFormat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6" borderId="7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4" fillId="0" borderId="0" xfId="0" applyFont="1">
      <alignment vertical="center"/>
    </xf>
    <xf numFmtId="15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1" fillId="2" borderId="5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0" xfId="0" applyNumberFormat="1">
      <alignment vertical="center"/>
    </xf>
    <xf numFmtId="0" fontId="6" fillId="8" borderId="5" xfId="0" applyFont="1" applyFill="1" applyBorder="1" applyAlignment="1">
      <alignment horizontal="center" vertical="center"/>
    </xf>
    <xf numFmtId="0" fontId="7" fillId="8" borderId="5" xfId="0" applyFont="1" applyFill="1" applyBorder="1">
      <alignment vertical="center"/>
    </xf>
    <xf numFmtId="0" fontId="6" fillId="8" borderId="5" xfId="0" applyFont="1" applyFill="1" applyBorder="1">
      <alignment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5" xfId="0" applyFont="1" applyFill="1" applyBorder="1">
      <alignment vertical="center"/>
    </xf>
    <xf numFmtId="0" fontId="7" fillId="7" borderId="5" xfId="0" applyFont="1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1" fillId="11" borderId="0" xfId="0" applyFont="1" applyFill="1">
      <alignment vertical="center"/>
    </xf>
    <xf numFmtId="0" fontId="7" fillId="12" borderId="5" xfId="0" applyFont="1" applyFill="1" applyBorder="1">
      <alignment vertical="center"/>
    </xf>
    <xf numFmtId="0" fontId="7" fillId="12" borderId="5" xfId="0" applyFont="1" applyFill="1" applyBorder="1" applyAlignment="1">
      <alignment vertical="center" wrapText="1"/>
    </xf>
    <xf numFmtId="15" fontId="0" fillId="0" borderId="5" xfId="0" applyNumberFormat="1" applyBorder="1">
      <alignment vertical="center"/>
    </xf>
    <xf numFmtId="15" fontId="7" fillId="12" borderId="5" xfId="0" applyNumberFormat="1" applyFont="1" applyFill="1" applyBorder="1">
      <alignment vertical="center"/>
    </xf>
    <xf numFmtId="0" fontId="0" fillId="0" borderId="5" xfId="0" applyNumberFormat="1" applyBorder="1">
      <alignment vertical="center"/>
    </xf>
    <xf numFmtId="178" fontId="0" fillId="0" borderId="0" xfId="0" applyNumberFormat="1">
      <alignment vertical="center"/>
    </xf>
    <xf numFmtId="0" fontId="6" fillId="13" borderId="5" xfId="0" applyFont="1" applyFill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8" fillId="0" borderId="5" xfId="0" applyFont="1" applyBorder="1">
      <alignment vertical="center"/>
    </xf>
    <xf numFmtId="8" fontId="0" fillId="0" borderId="0" xfId="0" applyNumberFormat="1">
      <alignment vertical="center"/>
    </xf>
    <xf numFmtId="0" fontId="6" fillId="13" borderId="10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179" fontId="0" fillId="0" borderId="5" xfId="0" applyNumberFormat="1" applyFont="1" applyBorder="1">
      <alignment vertical="center"/>
    </xf>
    <xf numFmtId="0" fontId="0" fillId="14" borderId="5" xfId="0" applyFill="1" applyBorder="1">
      <alignment vertical="center"/>
    </xf>
    <xf numFmtId="178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5" xfId="0" applyFill="1" applyBorder="1" applyAlignment="1"/>
    <xf numFmtId="0" fontId="0" fillId="0" borderId="5" xfId="0" applyFill="1" applyBorder="1" applyAlignment="1"/>
    <xf numFmtId="0" fontId="9" fillId="0" borderId="5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9" fillId="0" borderId="0" xfId="0" applyFont="1" applyFill="1" applyAlignment="1"/>
    <xf numFmtId="0" fontId="0" fillId="0" borderId="5" xfId="0" applyFill="1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NumberFormat="1" applyFill="1" applyBorder="1" applyAlignment="1"/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5" fillId="7" borderId="5" xfId="0" applyNumberFormat="1" applyFont="1" applyFill="1" applyBorder="1" applyAlignment="1">
      <alignment horizontal="center" vertical="center"/>
    </xf>
    <xf numFmtId="16" fontId="7" fillId="0" borderId="5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9" fontId="0" fillId="0" borderId="5" xfId="0" applyNumberFormat="1" applyBorder="1">
      <alignment vertical="center"/>
    </xf>
    <xf numFmtId="0" fontId="11" fillId="16" borderId="5" xfId="0" applyFont="1" applyFill="1" applyBorder="1">
      <alignment vertical="center"/>
    </xf>
    <xf numFmtId="0" fontId="1" fillId="11" borderId="5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17" borderId="5" xfId="0" applyFont="1" applyFill="1" applyBorder="1">
      <alignment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12" fillId="18" borderId="5" xfId="0" applyFont="1" applyFill="1" applyBorder="1">
      <alignment vertical="center"/>
    </xf>
    <xf numFmtId="0" fontId="0" fillId="18" borderId="5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0" xfId="6" applyNumberFormat="1">
      <alignment vertical="center"/>
    </xf>
    <xf numFmtId="179" fontId="0" fillId="0" borderId="5" xfId="0" applyNumberFormat="1" applyBorder="1" applyAlignment="1">
      <alignment horizontal="center" vertical="center"/>
    </xf>
    <xf numFmtId="179" fontId="0" fillId="19" borderId="5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ill>
        <patternFill patternType="solid">
          <bgColor theme="5" tint="0.6"/>
        </patternFill>
      </fill>
    </dxf>
    <dxf>
      <font>
        <b val="1"/>
        <i val="0"/>
        <color theme="0"/>
      </font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ont>
        <b val="1"/>
        <i val="0"/>
        <color rgb="FFFF0000"/>
      </font>
      <fill>
        <patternFill patternType="solid">
          <bgColor rgb="FFFFFF00"/>
        </patternFill>
      </fill>
    </dxf>
    <dxf>
      <fill>
        <patternFill patternType="solid">
          <bgColor theme="5" tint="0.6"/>
        </patternFill>
      </fill>
    </dxf>
    <dxf>
      <font>
        <b val="1"/>
        <i val="0"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pivotCacheDefinition" Target="pivotCache/pivotCacheDefinition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RESULT CHART</a:t>
            </a:r>
            <a:endParaRPr b="1"/>
          </a:p>
        </c:rich>
      </c:tx>
      <c:layout>
        <c:manualLayout>
          <c:xMode val="edge"/>
          <c:yMode val="edge"/>
          <c:x val="0.438994470992412"/>
          <c:y val="0.024935454339299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92270406570807"/>
          <c:y val="0.131620752329569"/>
          <c:w val="0.944737503139915"/>
          <c:h val="0.6818342845896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BAHUBALI</c:v>
                </c:pt>
                <c:pt idx="1">
                  <c:v>BHALLALDEV</c:v>
                </c:pt>
                <c:pt idx="2">
                  <c:v>DEVSENA</c:v>
                </c:pt>
                <c:pt idx="3">
                  <c:v>KATTAPPA</c:v>
                </c:pt>
                <c:pt idx="4">
                  <c:v>SHIVGAMI DEVI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39</c:v>
                </c:pt>
                <c:pt idx="1">
                  <c:v>57</c:v>
                </c:pt>
                <c:pt idx="2">
                  <c:v>32</c:v>
                </c:pt>
                <c:pt idx="3">
                  <c:v>77</c:v>
                </c:pt>
                <c:pt idx="4">
                  <c:v>77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SCI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BAHUBALI</c:v>
                </c:pt>
                <c:pt idx="1">
                  <c:v>BHALLALDEV</c:v>
                </c:pt>
                <c:pt idx="2">
                  <c:v>DEVSENA</c:v>
                </c:pt>
                <c:pt idx="3">
                  <c:v>KATTAPPA</c:v>
                </c:pt>
                <c:pt idx="4">
                  <c:v>SHIVGAMI DEVI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28</c:v>
                </c:pt>
                <c:pt idx="3">
                  <c:v>70</c:v>
                </c:pt>
                <c:pt idx="4">
                  <c:v>77</c:v>
                </c:pt>
              </c:numCache>
            </c:numRef>
          </c:val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BAHUBALI</c:v>
                </c:pt>
                <c:pt idx="1">
                  <c:v>BHALLALDEV</c:v>
                </c:pt>
                <c:pt idx="2">
                  <c:v>DEVSENA</c:v>
                </c:pt>
                <c:pt idx="3">
                  <c:v>KATTAPPA</c:v>
                </c:pt>
                <c:pt idx="4">
                  <c:v>SHIVGAMI DEVI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40</c:v>
                </c:pt>
                <c:pt idx="1">
                  <c:v>46</c:v>
                </c:pt>
                <c:pt idx="2">
                  <c:v>55</c:v>
                </c:pt>
                <c:pt idx="3">
                  <c:v>47</c:v>
                </c:pt>
                <c:pt idx="4">
                  <c:v>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297133"/>
        <c:axId val="42676530"/>
      </c:barChart>
      <c:catAx>
        <c:axId val="14629713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ysClr val="windowText" lastClr="000000"/>
                    </a:solidFill>
                  </a:rPr>
                  <a:t>STUDENT NAME</a:t>
                </a:r>
                <a:endParaRPr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29251788686693"/>
              <c:y val="0.90363283389089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676530"/>
        <c:crosses val="autoZero"/>
        <c:auto val="1"/>
        <c:lblAlgn val="ctr"/>
        <c:lblOffset val="100"/>
        <c:noMultiLvlLbl val="0"/>
      </c:catAx>
      <c:valAx>
        <c:axId val="426765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MARKS</a:t>
                </a:r>
                <a:endParaRPr b="1"/>
              </a:p>
            </c:rich>
          </c:tx>
          <c:layout>
            <c:manualLayout>
              <c:xMode val="edge"/>
              <c:yMode val="edge"/>
              <c:x val="0.00413757945218999"/>
              <c:y val="0.4373048188566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2971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2026847617643"/>
          <c:y val="0.13812785388127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3"/>
          <c:order val="3"/>
          <c:tx>
            <c:strRef>
              <c:f>Sheet1!$F$2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Sheet1!$B$3:$B$7</c:f>
              <c:strCache>
                <c:ptCount val="5"/>
                <c:pt idx="0">
                  <c:v>BAHUBALI</c:v>
                </c:pt>
                <c:pt idx="1">
                  <c:v>BHALLALDEV</c:v>
                </c:pt>
                <c:pt idx="2">
                  <c:v>DEVSENA</c:v>
                </c:pt>
                <c:pt idx="3">
                  <c:v>KATTAPPA</c:v>
                </c:pt>
                <c:pt idx="4">
                  <c:v>SHIVGAMI DEVI</c:v>
                </c:pt>
              </c:strCache>
            </c:strRef>
          </c:cat>
          <c:val>
            <c:numRef>
              <c:f>Sheet1!$F$3:$F$7</c:f>
              <c:numCache>
                <c:formatCode>General</c:formatCode>
                <c:ptCount val="5"/>
                <c:pt idx="0">
                  <c:v>109</c:v>
                </c:pt>
                <c:pt idx="1">
                  <c:v>138</c:v>
                </c:pt>
                <c:pt idx="2">
                  <c:v>115</c:v>
                </c:pt>
                <c:pt idx="3">
                  <c:v>194</c:v>
                </c:pt>
                <c:pt idx="4">
                  <c:v>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MATHS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Sheet1!$B$3:$B$7</c15:sqref>
                        </c15:formulaRef>
                      </c:ext>
                    </c:extLst>
                    <c:strCache>
                      <c:ptCount val="5"/>
                      <c:pt idx="0">
                        <c:v>BAHUBALI</c:v>
                      </c:pt>
                      <c:pt idx="1">
                        <c:v>BHALLALDEV</c:v>
                      </c:pt>
                      <c:pt idx="2">
                        <c:v>DEVSENA</c:v>
                      </c:pt>
                      <c:pt idx="3">
                        <c:v>KATTAPPA</c:v>
                      </c:pt>
                      <c:pt idx="4">
                        <c:v>SHIVGAMI DEVI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57</c:v>
                      </c:pt>
                      <c:pt idx="2">
                        <c:v>32</c:v>
                      </c:pt>
                      <c:pt idx="3">
                        <c:v>77</c:v>
                      </c:pt>
                      <c:pt idx="4">
                        <c:v>77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SCI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Sheet1!$B$3:$B$7</c15:sqref>
                        </c15:formulaRef>
                      </c:ext>
                    </c:extLst>
                    <c:strCache>
                      <c:ptCount val="5"/>
                      <c:pt idx="0">
                        <c:v>BAHUBALI</c:v>
                      </c:pt>
                      <c:pt idx="1">
                        <c:v>BHALLALDEV</c:v>
                      </c:pt>
                      <c:pt idx="2">
                        <c:v>DEVSENA</c:v>
                      </c:pt>
                      <c:pt idx="3">
                        <c:v>KATTAPPA</c:v>
                      </c:pt>
                      <c:pt idx="4">
                        <c:v>SHIVGAMI DEVI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28</c:v>
                      </c:pt>
                      <c:pt idx="3">
                        <c:v>70</c:v>
                      </c:pt>
                      <c:pt idx="4">
                        <c:v>77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Sheet1!$E$2</c15:sqref>
                        </c15:formulaRef>
                      </c:ext>
                    </c:extLst>
                    <c:strCache>
                      <c:ptCount val="1"/>
                      <c:pt idx="0">
                        <c:v>IT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Sheet1!$B$3:$B$7</c15:sqref>
                        </c15:formulaRef>
                      </c:ext>
                    </c:extLst>
                    <c:strCache>
                      <c:ptCount val="5"/>
                      <c:pt idx="0">
                        <c:v>BAHUBALI</c:v>
                      </c:pt>
                      <c:pt idx="1">
                        <c:v>BHALLALDEV</c:v>
                      </c:pt>
                      <c:pt idx="2">
                        <c:v>DEVSENA</c:v>
                      </c:pt>
                      <c:pt idx="3">
                        <c:v>KATTAPPA</c:v>
                      </c:pt>
                      <c:pt idx="4">
                        <c:v>SHIVGAMI DEVI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Sheet1!$E$3:$E$7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</c:v>
                      </c:pt>
                      <c:pt idx="1">
                        <c:v>46</c:v>
                      </c:pt>
                      <c:pt idx="2">
                        <c:v>55</c:v>
                      </c:pt>
                      <c:pt idx="3">
                        <c:v>47</c:v>
                      </c:pt>
                      <c:pt idx="4">
                        <c:v>78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Sheet5!$A$1:$A$34</c:f>
              <c:numCache>
                <c:formatCode>General</c:formatCode>
                <c:ptCount val="34"/>
                <c:pt idx="0">
                  <c:v>1</c:v>
                </c:pt>
                <c:pt idx="1">
                  <c:v>10</c:v>
                </c:pt>
                <c:pt idx="2">
                  <c:v>19</c:v>
                </c:pt>
                <c:pt idx="3">
                  <c:v>28</c:v>
                </c:pt>
                <c:pt idx="4">
                  <c:v>37</c:v>
                </c:pt>
                <c:pt idx="5">
                  <c:v>46</c:v>
                </c:pt>
                <c:pt idx="6">
                  <c:v>55</c:v>
                </c:pt>
                <c:pt idx="7">
                  <c:v>64</c:v>
                </c:pt>
                <c:pt idx="8">
                  <c:v>73</c:v>
                </c:pt>
                <c:pt idx="9">
                  <c:v>82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  <c:pt idx="16">
                  <c:v>145</c:v>
                </c:pt>
                <c:pt idx="17">
                  <c:v>154</c:v>
                </c:pt>
                <c:pt idx="18">
                  <c:v>163</c:v>
                </c:pt>
                <c:pt idx="19">
                  <c:v>172</c:v>
                </c:pt>
                <c:pt idx="20">
                  <c:v>181</c:v>
                </c:pt>
                <c:pt idx="21">
                  <c:v>190</c:v>
                </c:pt>
                <c:pt idx="22">
                  <c:v>199</c:v>
                </c:pt>
                <c:pt idx="23">
                  <c:v>208</c:v>
                </c:pt>
                <c:pt idx="24">
                  <c:v>217</c:v>
                </c:pt>
                <c:pt idx="25">
                  <c:v>226</c:v>
                </c:pt>
                <c:pt idx="26">
                  <c:v>235</c:v>
                </c:pt>
                <c:pt idx="27">
                  <c:v>244</c:v>
                </c:pt>
                <c:pt idx="28">
                  <c:v>253</c:v>
                </c:pt>
                <c:pt idx="29">
                  <c:v>262</c:v>
                </c:pt>
                <c:pt idx="30">
                  <c:v>271</c:v>
                </c:pt>
                <c:pt idx="31">
                  <c:v>280</c:v>
                </c:pt>
                <c:pt idx="32">
                  <c:v>289</c:v>
                </c:pt>
                <c:pt idx="33">
                  <c:v>298</c:v>
                </c:pt>
              </c:numCache>
            </c:numRef>
          </c:cat>
          <c:val>
            <c:numRef>
              <c:f>Sheet5!$B$1:$B$34</c:f>
              <c:numCache>
                <c:formatCode>General</c:formatCode>
                <c:ptCount val="34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39</c:v>
                </c:pt>
                <c:pt idx="5">
                  <c:v>42</c:v>
                </c:pt>
                <c:pt idx="6">
                  <c:v>47</c:v>
                </c:pt>
                <c:pt idx="7">
                  <c:v>50</c:v>
                </c:pt>
                <c:pt idx="8">
                  <c:v>57</c:v>
                </c:pt>
                <c:pt idx="9">
                  <c:v>64</c:v>
                </c:pt>
                <c:pt idx="10">
                  <c:v>71</c:v>
                </c:pt>
                <c:pt idx="11">
                  <c:v>78</c:v>
                </c:pt>
                <c:pt idx="12">
                  <c:v>85</c:v>
                </c:pt>
                <c:pt idx="13">
                  <c:v>92</c:v>
                </c:pt>
                <c:pt idx="14">
                  <c:v>99</c:v>
                </c:pt>
                <c:pt idx="15">
                  <c:v>106</c:v>
                </c:pt>
                <c:pt idx="16">
                  <c:v>113</c:v>
                </c:pt>
                <c:pt idx="17">
                  <c:v>120</c:v>
                </c:pt>
                <c:pt idx="18">
                  <c:v>127</c:v>
                </c:pt>
                <c:pt idx="19">
                  <c:v>134</c:v>
                </c:pt>
                <c:pt idx="20">
                  <c:v>141</c:v>
                </c:pt>
                <c:pt idx="21">
                  <c:v>148</c:v>
                </c:pt>
                <c:pt idx="22">
                  <c:v>155</c:v>
                </c:pt>
                <c:pt idx="23">
                  <c:v>162</c:v>
                </c:pt>
                <c:pt idx="24">
                  <c:v>169</c:v>
                </c:pt>
                <c:pt idx="25">
                  <c:v>150</c:v>
                </c:pt>
                <c:pt idx="26">
                  <c:v>142</c:v>
                </c:pt>
                <c:pt idx="27">
                  <c:v>135</c:v>
                </c:pt>
                <c:pt idx="28">
                  <c:v>130</c:v>
                </c:pt>
                <c:pt idx="29">
                  <c:v>127</c:v>
                </c:pt>
                <c:pt idx="30">
                  <c:v>122</c:v>
                </c:pt>
                <c:pt idx="31">
                  <c:v>120</c:v>
                </c:pt>
                <c:pt idx="32">
                  <c:v>109</c:v>
                </c:pt>
                <c:pt idx="33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963814000"/>
        <c:axId val="50240970"/>
      </c:lineChart>
      <c:catAx>
        <c:axId val="96381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50240970"/>
        <c:crosses val="autoZero"/>
        <c:auto val="1"/>
        <c:lblAlgn val="ctr"/>
        <c:lblOffset val="100"/>
        <c:noMultiLvlLbl val="0"/>
      </c:catAx>
      <c:valAx>
        <c:axId val="5024097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6381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40" b="1" i="0" u="none" strike="noStrike" kern="1200" cap="none" spc="0" normalizeH="0" baseline="0">
                <a:solidFill>
                  <a:schemeClr val="tx2"/>
                </a:solidFill>
                <a:uFill>
                  <a:solidFill>
                    <a:schemeClr val="tx2"/>
                  </a:solidFill>
                </a:uFill>
                <a:latin typeface="+mn-lt"/>
                <a:ea typeface="+mn-ea"/>
                <a:cs typeface="+mn-cs"/>
              </a:defRPr>
            </a:pPr>
            <a:r>
              <a:rPr sz="1440" b="1" u="none" strike="noStrike" cap="none" normalizeH="0">
                <a:solidFill>
                  <a:schemeClr val="tx2"/>
                </a:solidFill>
                <a:uFill>
                  <a:solidFill>
                    <a:schemeClr val="tx2"/>
                  </a:solidFill>
                </a:uFill>
              </a:rPr>
              <a:t>IND VS SL T20I</a:t>
            </a:r>
            <a:endParaRPr sz="1440" b="1" u="none" strike="noStrike" cap="none" normalizeH="0">
              <a:solidFill>
                <a:schemeClr val="tx2"/>
              </a:solidFill>
              <a:uFill>
                <a:solidFill>
                  <a:schemeClr val="tx2"/>
                </a:solidFill>
              </a:u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'Sheet3 (2)'!$D$1</c:f>
              <c:strCache>
                <c:ptCount val="1"/>
                <c:pt idx="0">
                  <c:v>TOTAL RUNS IND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'Sheet3 (2)'!$A$2:$A$21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'Sheet3 (2)'!$D$2:$D$21</c:f>
              <c:numCache>
                <c:formatCode>General</c:formatCode>
                <c:ptCount val="20"/>
                <c:pt idx="0">
                  <c:v>4</c:v>
                </c:pt>
                <c:pt idx="1">
                  <c:v>12</c:v>
                </c:pt>
                <c:pt idx="2">
                  <c:v>18</c:v>
                </c:pt>
                <c:pt idx="3">
                  <c:v>29</c:v>
                </c:pt>
                <c:pt idx="4">
                  <c:v>35</c:v>
                </c:pt>
                <c:pt idx="5">
                  <c:v>51</c:v>
                </c:pt>
                <c:pt idx="6">
                  <c:v>55</c:v>
                </c:pt>
                <c:pt idx="7">
                  <c:v>59</c:v>
                </c:pt>
                <c:pt idx="8">
                  <c:v>70</c:v>
                </c:pt>
                <c:pt idx="9">
                  <c:v>78</c:v>
                </c:pt>
                <c:pt idx="10">
                  <c:v>87</c:v>
                </c:pt>
                <c:pt idx="11">
                  <c:v>101</c:v>
                </c:pt>
                <c:pt idx="12">
                  <c:v>105</c:v>
                </c:pt>
                <c:pt idx="13">
                  <c:v>113</c:v>
                </c:pt>
                <c:pt idx="14">
                  <c:v>121</c:v>
                </c:pt>
                <c:pt idx="15">
                  <c:v>130</c:v>
                </c:pt>
                <c:pt idx="16">
                  <c:v>137</c:v>
                </c:pt>
                <c:pt idx="17">
                  <c:v>147</c:v>
                </c:pt>
                <c:pt idx="18">
                  <c:v>155</c:v>
                </c:pt>
                <c:pt idx="19">
                  <c:v>164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'Sheet3 (2)'!$E$1</c:f>
              <c:strCache>
                <c:ptCount val="1"/>
                <c:pt idx="0">
                  <c:v>TOTAL RUNS SL</c:v>
                </c:pt>
              </c:strCache>
            </c:strRef>
          </c:tx>
          <c:spPr>
            <a:ln w="34925" cap="rnd">
              <a:solidFill>
                <a:schemeClr val="accent5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'Sheet3 (2)'!$A$2:$A$21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'Sheet3 (2)'!$E$2:$E$21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33</c:v>
                </c:pt>
                <c:pt idx="4">
                  <c:v>44</c:v>
                </c:pt>
                <c:pt idx="5">
                  <c:v>46</c:v>
                </c:pt>
                <c:pt idx="6">
                  <c:v>50</c:v>
                </c:pt>
                <c:pt idx="7">
                  <c:v>52</c:v>
                </c:pt>
                <c:pt idx="8">
                  <c:v>55</c:v>
                </c:pt>
                <c:pt idx="9">
                  <c:v>64</c:v>
                </c:pt>
                <c:pt idx="10">
                  <c:v>73</c:v>
                </c:pt>
                <c:pt idx="11">
                  <c:v>82</c:v>
                </c:pt>
                <c:pt idx="12">
                  <c:v>90</c:v>
                </c:pt>
                <c:pt idx="13">
                  <c:v>104</c:v>
                </c:pt>
                <c:pt idx="14">
                  <c:v>107</c:v>
                </c:pt>
                <c:pt idx="15">
                  <c:v>113</c:v>
                </c:pt>
                <c:pt idx="16">
                  <c:v>122</c:v>
                </c:pt>
                <c:pt idx="17">
                  <c:v>125</c:v>
                </c:pt>
                <c:pt idx="18">
                  <c:v>126</c:v>
                </c:pt>
                <c:pt idx="19">
                  <c:v>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02975775"/>
        <c:axId val="723934457"/>
      </c:lineChart>
      <c:catAx>
        <c:axId val="802975775"/>
        <c:scaling>
          <c:orientation val="minMax"/>
        </c:scaling>
        <c:delete val="0"/>
        <c:axPos val="b"/>
        <c:numFmt formatCode="#,##0_);[Red]\(#,##0\)" sourceLinked="0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1" i="0" u="none" strike="noStrike" kern="1200" cap="none" spc="0" normalizeH="0" baseline="0">
                <a:solidFill>
                  <a:schemeClr val="tx2"/>
                </a:solidFill>
                <a:uFill>
                  <a:solidFill>
                    <a:schemeClr val="tx2"/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723934457"/>
        <c:crosses val="autoZero"/>
        <c:auto val="1"/>
        <c:lblAlgn val="ctr"/>
        <c:lblOffset val="100"/>
        <c:noMultiLvlLbl val="0"/>
      </c:catAx>
      <c:valAx>
        <c:axId val="723934457"/>
        <c:scaling>
          <c:orientation val="minMax"/>
          <c:max val="24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1" i="0" u="none" strike="noStrike" kern="1200" cap="none" spc="0" normalizeH="0" baseline="0">
                <a:solidFill>
                  <a:schemeClr val="tx2"/>
                </a:solidFill>
                <a:uFill>
                  <a:solidFill>
                    <a:schemeClr val="tx2"/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80297577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cap="none" spc="0" normalizeH="0" baseline="0">
                <a:solidFill>
                  <a:schemeClr val="tx2"/>
                </a:solidFill>
                <a:uFill>
                  <a:solidFill>
                    <a:schemeClr val="tx2"/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cap="none" spc="0" normalizeH="0" baseline="0">
                <a:solidFill>
                  <a:schemeClr val="tx2"/>
                </a:solidFill>
                <a:uFill>
                  <a:solidFill>
                    <a:schemeClr val="tx2"/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cap="none" spc="0" normalizeH="0" baseline="0">
              <a:solidFill>
                <a:schemeClr val="tx2"/>
              </a:solidFill>
              <a:uFill>
                <a:solidFill>
                  <a:schemeClr val="tx2"/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200" b="1" u="none" strike="noStrike" kern="1200" cap="none" spc="0" normalizeH="0">
          <a:solidFill>
            <a:schemeClr val="tx2"/>
          </a:solidFill>
          <a:uFill>
            <a:solidFill>
              <a:schemeClr val="tx2"/>
            </a:solidFill>
          </a:u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'Sheet4 (2)'!$C$2:$C$4</c:f>
              <c:strCache>
                <c:ptCount val="3"/>
                <c:pt idx="0">
                  <c:v>1 6</c:v>
                </c:pt>
                <c:pt idx="1">
                  <c:v>7 15</c:v>
                </c:pt>
                <c:pt idx="2">
                  <c:v>16 20</c:v>
                </c:pt>
              </c:strCache>
            </c:strRef>
          </c:cat>
          <c:val>
            <c:numRef>
              <c:f>'Sheet4 (2)'!$D$2:$D$4</c:f>
              <c:numCache>
                <c:formatCode>General</c:formatCode>
                <c:ptCount val="3"/>
                <c:pt idx="0">
                  <c:v>51</c:v>
                </c:pt>
                <c:pt idx="1">
                  <c:v>70</c:v>
                </c:pt>
                <c:pt idx="2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MONTLY AVERAGE STOCK PRICE OF BSE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68068856831131"/>
          <c:y val="0.130588756086764"/>
          <c:w val="0.908037337859134"/>
          <c:h val="0.748620333480891"/>
        </c:manualLayout>
      </c:layout>
      <c:stockChart>
        <c:ser>
          <c:idx val="0"/>
          <c:order val="0"/>
          <c:tx>
            <c:strRef>
              <c:f>'CANDLE STICK TRADING CHART'!$V$2:$V$3</c:f>
              <c:strCache>
                <c:ptCount val="1"/>
                <c:pt idx="0">
                  <c:v>TCS 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'CANDLE STICK TRADING CHART'!$U$4:$U$15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'CANDLE STICK TRADING CHART'!$V$4:$V$15</c:f>
              <c:numCache>
                <c:formatCode>General</c:formatCode>
                <c:ptCount val="12"/>
                <c:pt idx="0">
                  <c:v>253.11</c:v>
                </c:pt>
                <c:pt idx="1">
                  <c:v>85.05</c:v>
                </c:pt>
                <c:pt idx="2">
                  <c:v>235.41</c:v>
                </c:pt>
                <c:pt idx="3">
                  <c:v>239.8</c:v>
                </c:pt>
                <c:pt idx="4">
                  <c:v>121.55</c:v>
                </c:pt>
                <c:pt idx="5">
                  <c:v>61.71</c:v>
                </c:pt>
                <c:pt idx="6">
                  <c:v>176.58</c:v>
                </c:pt>
                <c:pt idx="7">
                  <c:v>136.29</c:v>
                </c:pt>
                <c:pt idx="8">
                  <c:v>132.62</c:v>
                </c:pt>
                <c:pt idx="9">
                  <c:v>70.8</c:v>
                </c:pt>
                <c:pt idx="10">
                  <c:v>191.52</c:v>
                </c:pt>
                <c:pt idx="11">
                  <c:v>488.32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'CANDLE STICK TRADING CHART'!$W$2:$W$3</c:f>
              <c:strCache>
                <c:ptCount val="1"/>
                <c:pt idx="0">
                  <c:v>TCS 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'CANDLE STICK TRADING CHART'!$U$4:$U$15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'CANDLE STICK TRADING CHART'!$W$4:$W$15</c:f>
              <c:numCache>
                <c:formatCode>General</c:formatCode>
                <c:ptCount val="12"/>
                <c:pt idx="0">
                  <c:v>249.57</c:v>
                </c:pt>
                <c:pt idx="1">
                  <c:v>111.68</c:v>
                </c:pt>
                <c:pt idx="2">
                  <c:v>35.4</c:v>
                </c:pt>
                <c:pt idx="3">
                  <c:v>87.2</c:v>
                </c:pt>
                <c:pt idx="4">
                  <c:v>91.63</c:v>
                </c:pt>
                <c:pt idx="5">
                  <c:v>160.54</c:v>
                </c:pt>
                <c:pt idx="6">
                  <c:v>69.03</c:v>
                </c:pt>
                <c:pt idx="7">
                  <c:v>104.16</c:v>
                </c:pt>
                <c:pt idx="8">
                  <c:v>159.3</c:v>
                </c:pt>
                <c:pt idx="9">
                  <c:v>224.54</c:v>
                </c:pt>
                <c:pt idx="10">
                  <c:v>90.88</c:v>
                </c:pt>
                <c:pt idx="11">
                  <c:v>123.42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'CANDLE STICK TRADING CHART'!$X$2:$X$3</c:f>
              <c:strCache>
                <c:ptCount val="1"/>
                <c:pt idx="0">
                  <c:v>TCS 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'CANDLE STICK TRADING CHART'!$U$4:$U$15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'CANDLE STICK TRADING CHART'!$X$4:$X$15</c:f>
              <c:numCache>
                <c:formatCode>General</c:formatCode>
                <c:ptCount val="12"/>
                <c:pt idx="0">
                  <c:v>90.88</c:v>
                </c:pt>
                <c:pt idx="1">
                  <c:v>123.42</c:v>
                </c:pt>
                <c:pt idx="2">
                  <c:v>275.48</c:v>
                </c:pt>
                <c:pt idx="3">
                  <c:v>53.1</c:v>
                </c:pt>
                <c:pt idx="4">
                  <c:v>48.72</c:v>
                </c:pt>
                <c:pt idx="5">
                  <c:v>162.84</c:v>
                </c:pt>
                <c:pt idx="6">
                  <c:v>303.02</c:v>
                </c:pt>
                <c:pt idx="7">
                  <c:v>82.36</c:v>
                </c:pt>
                <c:pt idx="8">
                  <c:v>68.1</c:v>
                </c:pt>
                <c:pt idx="9">
                  <c:v>67.32</c:v>
                </c:pt>
                <c:pt idx="10">
                  <c:v>143.09</c:v>
                </c:pt>
                <c:pt idx="11">
                  <c:v>77.88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'CANDLE STICK TRADING CHART'!$Y$2:$Y$3</c:f>
              <c:strCache>
                <c:ptCount val="1"/>
                <c:pt idx="0">
                  <c:v>TCS 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'CANDLE STICK TRADING CHART'!$U$4:$U$15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'CANDLE STICK TRADING CHART'!$Y$4:$Y$15</c:f>
              <c:numCache>
                <c:formatCode>General</c:formatCode>
                <c:ptCount val="12"/>
                <c:pt idx="0">
                  <c:v>225.12</c:v>
                </c:pt>
                <c:pt idx="1">
                  <c:v>35.4</c:v>
                </c:pt>
                <c:pt idx="2">
                  <c:v>93.81</c:v>
                </c:pt>
                <c:pt idx="3">
                  <c:v>107.52</c:v>
                </c:pt>
                <c:pt idx="4">
                  <c:v>117.81</c:v>
                </c:pt>
                <c:pt idx="5">
                  <c:v>196.35</c:v>
                </c:pt>
                <c:pt idx="6">
                  <c:v>391.92</c:v>
                </c:pt>
                <c:pt idx="7">
                  <c:v>44.25</c:v>
                </c:pt>
                <c:pt idx="8">
                  <c:v>73.29</c:v>
                </c:pt>
                <c:pt idx="9">
                  <c:v>107.97</c:v>
                </c:pt>
                <c:pt idx="10">
                  <c:v>82.32</c:v>
                </c:pt>
                <c:pt idx="11">
                  <c:v>102.85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968468923"/>
        <c:axId val="91335014"/>
      </c:stockChart>
      <c:catAx>
        <c:axId val="9684689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335014"/>
        <c:crosses val="autoZero"/>
        <c:auto val="1"/>
        <c:lblAlgn val="ctr"/>
        <c:lblOffset val="100"/>
        <c:noMultiLvlLbl val="0"/>
      </c:catAx>
      <c:valAx>
        <c:axId val="91335014"/>
        <c:scaling>
          <c:orientation val="minMax"/>
          <c:max val="85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8468923"/>
        <c:crosses val="autoZero"/>
        <c:crossBetween val="between"/>
        <c:majorUnit val="50"/>
        <c:min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847222222222"/>
          <c:y val="0.086578639478522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t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51435</xdr:colOff>
      <xdr:row>9</xdr:row>
      <xdr:rowOff>136525</xdr:rowOff>
    </xdr:from>
    <xdr:to>
      <xdr:col>14</xdr:col>
      <xdr:colOff>0</xdr:colOff>
      <xdr:row>30</xdr:row>
      <xdr:rowOff>162560</xdr:rowOff>
    </xdr:to>
    <xdr:graphicFrame>
      <xdr:nvGraphicFramePr>
        <xdr:cNvPr id="2" name="Chart 1"/>
        <xdr:cNvGraphicFramePr/>
      </xdr:nvGraphicFramePr>
      <xdr:xfrm>
        <a:off x="51435" y="4784725"/>
        <a:ext cx="8406765" cy="4026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86995</xdr:colOff>
      <xdr:row>32</xdr:row>
      <xdr:rowOff>184785</xdr:rowOff>
    </xdr:from>
    <xdr:to>
      <xdr:col>14</xdr:col>
      <xdr:colOff>8890</xdr:colOff>
      <xdr:row>55</xdr:row>
      <xdr:rowOff>154940</xdr:rowOff>
    </xdr:to>
    <xdr:graphicFrame>
      <xdr:nvGraphicFramePr>
        <xdr:cNvPr id="3" name="Chart 2"/>
        <xdr:cNvGraphicFramePr/>
      </xdr:nvGraphicFramePr>
      <xdr:xfrm>
        <a:off x="86995" y="9214485"/>
        <a:ext cx="8380095" cy="4351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581025</xdr:colOff>
      <xdr:row>1</xdr:row>
      <xdr:rowOff>182245</xdr:rowOff>
    </xdr:from>
    <xdr:to>
      <xdr:col>14</xdr:col>
      <xdr:colOff>38100</xdr:colOff>
      <xdr:row>20</xdr:row>
      <xdr:rowOff>76835</xdr:rowOff>
    </xdr:to>
    <xdr:graphicFrame>
      <xdr:nvGraphicFramePr>
        <xdr:cNvPr id="4" name="Chart 3"/>
        <xdr:cNvGraphicFramePr/>
      </xdr:nvGraphicFramePr>
      <xdr:xfrm>
        <a:off x="2609850" y="372745"/>
        <a:ext cx="6162675" cy="351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28575</xdr:colOff>
      <xdr:row>0</xdr:row>
      <xdr:rowOff>125095</xdr:rowOff>
    </xdr:from>
    <xdr:to>
      <xdr:col>22</xdr:col>
      <xdr:colOff>151765</xdr:colOff>
      <xdr:row>20</xdr:row>
      <xdr:rowOff>143510</xdr:rowOff>
    </xdr:to>
    <xdr:graphicFrame>
      <xdr:nvGraphicFramePr>
        <xdr:cNvPr id="2" name="Chart 1"/>
        <xdr:cNvGraphicFramePr/>
      </xdr:nvGraphicFramePr>
      <xdr:xfrm>
        <a:off x="6143625" y="125095"/>
        <a:ext cx="4999990" cy="4018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47625</xdr:colOff>
      <xdr:row>0</xdr:row>
      <xdr:rowOff>340360</xdr:rowOff>
    </xdr:from>
    <xdr:to>
      <xdr:col>12</xdr:col>
      <xdr:colOff>591185</xdr:colOff>
      <xdr:row>19</xdr:row>
      <xdr:rowOff>168275</xdr:rowOff>
    </xdr:to>
    <xdr:graphicFrame>
      <xdr:nvGraphicFramePr>
        <xdr:cNvPr id="2" name="Chart 1"/>
        <xdr:cNvGraphicFramePr/>
      </xdr:nvGraphicFramePr>
      <xdr:xfrm>
        <a:off x="3095625" y="340360"/>
        <a:ext cx="4810760" cy="3637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397510</xdr:colOff>
      <xdr:row>0</xdr:row>
      <xdr:rowOff>10795</xdr:rowOff>
    </xdr:from>
    <xdr:to>
      <xdr:col>18</xdr:col>
      <xdr:colOff>139700</xdr:colOff>
      <xdr:row>22</xdr:row>
      <xdr:rowOff>123825</xdr:rowOff>
    </xdr:to>
    <xdr:graphicFrame>
      <xdr:nvGraphicFramePr>
        <xdr:cNvPr id="2" name="Chart 1"/>
        <xdr:cNvGraphicFramePr/>
      </xdr:nvGraphicFramePr>
      <xdr:xfrm>
        <a:off x="4378960" y="10795"/>
        <a:ext cx="5238115" cy="4304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ampledatafoodsa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1"/>
      <sheetName val="FoodSales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396.7593402778" refreshedBy="RV" recordCount="8">
  <cacheSource type="worksheet">
    <worksheetSource ref="F1:F9" sheet="Sheet2"/>
  </cacheSource>
  <cacheFields count="1">
    <cacheField name="days" numFmtId="0">
      <sharedItems containsSemiMixedTypes="0" containsString="0" containsNumber="1" containsInteger="1" minValue="0" maxValue="8" count="4">
        <n v="5"/>
        <n v="6"/>
        <n v="7"/>
        <n v="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M3:M4" firstHeaderRow="1" firstDataRow="1" firstDataCol="0" rowPageCount="1" colPageCount="1"/>
  <pivotFields count="1">
    <pivotField axis="axisPage" dataField="1" compact="0" showAll="0">
      <items count="5">
        <item x="0"/>
        <item x="1"/>
        <item x="2"/>
        <item x="3"/>
        <item t="default"/>
      </items>
    </pivotField>
  </pivotFields>
  <pageFields count="1">
    <pageField fld="0"/>
  </pageFields>
  <dataFields count="1">
    <dataField name="Count of days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I1:I7" totalsRowShown="0">
  <autoFilter ref="I1:I7"/>
  <tableColumns count="1">
    <tableColumn id="1" name="Column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1"/>
  <sheetViews>
    <sheetView topLeftCell="A5" workbookViewId="0">
      <selection activeCell="N3" sqref="N3"/>
    </sheetView>
  </sheetViews>
  <sheetFormatPr defaultColWidth="9.14285714285714" defaultRowHeight="15"/>
  <cols>
    <col min="1" max="1" width="7" customWidth="1"/>
    <col min="2" max="2" width="15.7142857142857" customWidth="1"/>
    <col min="3" max="3" width="7.85714285714286" customWidth="1"/>
    <col min="4" max="4" width="4.28571428571429" customWidth="1"/>
    <col min="5" max="5" width="3.57142857142857" customWidth="1"/>
    <col min="6" max="6" width="7.14285714285714" customWidth="1"/>
    <col min="7" max="7" width="5.71428571428571" customWidth="1"/>
    <col min="8" max="8" width="5.28571428571429" customWidth="1"/>
    <col min="9" max="9" width="7.85714285714286" customWidth="1"/>
    <col min="10" max="10" width="6.57142857142857" customWidth="1"/>
    <col min="11" max="11" width="13.4285714285714" customWidth="1"/>
    <col min="12" max="12" width="15.2857142857143" customWidth="1"/>
    <col min="13" max="13" width="14.8571428571429" customWidth="1"/>
    <col min="14" max="14" width="12.2857142857143" customWidth="1"/>
  </cols>
  <sheetData>
    <row r="1" ht="48" customHeight="1" spans="1:14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</row>
    <row r="2" ht="48" customHeight="1" spans="1:14">
      <c r="A2" s="106" t="s">
        <v>1</v>
      </c>
      <c r="B2" s="107" t="s">
        <v>2</v>
      </c>
      <c r="C2" s="106" t="s">
        <v>3</v>
      </c>
      <c r="D2" s="106" t="s">
        <v>4</v>
      </c>
      <c r="E2" s="106" t="s">
        <v>5</v>
      </c>
      <c r="F2" s="106" t="s">
        <v>6</v>
      </c>
      <c r="G2" s="106" t="s">
        <v>7</v>
      </c>
      <c r="H2" s="106" t="s">
        <v>8</v>
      </c>
      <c r="I2" s="106" t="s">
        <v>9</v>
      </c>
      <c r="J2" s="106" t="s">
        <v>10</v>
      </c>
      <c r="K2" s="106" t="s">
        <v>11</v>
      </c>
      <c r="L2" s="106" t="s">
        <v>12</v>
      </c>
      <c r="M2" s="106" t="s">
        <v>13</v>
      </c>
      <c r="N2" s="106" t="s">
        <v>14</v>
      </c>
    </row>
    <row r="3" ht="48" customHeight="1" spans="1:14">
      <c r="A3" s="108">
        <v>1</v>
      </c>
      <c r="B3" s="109" t="s">
        <v>15</v>
      </c>
      <c r="C3" s="31">
        <v>39</v>
      </c>
      <c r="D3" s="31">
        <v>30</v>
      </c>
      <c r="E3" s="31">
        <v>40</v>
      </c>
      <c r="F3" s="94">
        <f>SUM(C3:E3)</f>
        <v>109</v>
      </c>
      <c r="G3" s="31">
        <f>MAX(C3:E3)</f>
        <v>40</v>
      </c>
      <c r="H3" s="31">
        <f>MIN(C3:E3)</f>
        <v>30</v>
      </c>
      <c r="I3" s="31">
        <f>COUNT(C3:E3)</f>
        <v>3</v>
      </c>
      <c r="J3" s="111">
        <f>AVERAGE(C3:E3)</f>
        <v>36.3333333333333</v>
      </c>
      <c r="K3" s="111">
        <f>F3/300*100</f>
        <v>36.3333333333333</v>
      </c>
      <c r="L3" s="31" t="str">
        <f>IF(AND(C3&gt;=35,D3&gt;=35,E3&gt;=35),"PASS","FAIL")</f>
        <v>FAIL</v>
      </c>
      <c r="M3" s="31" t="str">
        <f>IF(OR(C3&lt;35,D3&lt;35,E3&lt;35),"FAIL","PASS")</f>
        <v>FAIL</v>
      </c>
      <c r="N3" s="31" t="str">
        <f>IF(K3&gt;=75,"A+",IF(K3&gt;=60,"A",IF(K3&gt;=41,"B",IF(K3&lt;=40,"C"))))</f>
        <v>C</v>
      </c>
    </row>
    <row r="4" ht="48" customHeight="1" spans="1:14">
      <c r="A4" s="107">
        <v>2</v>
      </c>
      <c r="B4" s="107" t="s">
        <v>16</v>
      </c>
      <c r="C4" s="107">
        <v>57</v>
      </c>
      <c r="D4" s="107">
        <v>35</v>
      </c>
      <c r="E4" s="107">
        <v>46</v>
      </c>
      <c r="F4" s="107">
        <f>SUM(C4:E4)</f>
        <v>138</v>
      </c>
      <c r="G4" s="107">
        <f>MAX(C4:E4)</f>
        <v>57</v>
      </c>
      <c r="H4" s="107">
        <f>MIN(C4:E4)</f>
        <v>35</v>
      </c>
      <c r="I4" s="107">
        <f>COUNT(C4:E4)</f>
        <v>3</v>
      </c>
      <c r="J4" s="107">
        <f>AVERAGE(C4:E4)</f>
        <v>46</v>
      </c>
      <c r="K4" s="107">
        <f>F4/300*100</f>
        <v>46</v>
      </c>
      <c r="L4" s="107" t="str">
        <f>IF(AND(C4&gt;=35,D4&gt;=35,E4&gt;=35),"PASS","FAIL")</f>
        <v>PASS</v>
      </c>
      <c r="M4" s="107" t="str">
        <f>IF(OR(C4&lt;35,D4&lt;35,E4&lt;35),"FAIL","PASS")</f>
        <v>PASS</v>
      </c>
      <c r="N4" s="107" t="str">
        <f>IF(K4&gt;=75,"A+",IF(K4&gt;=60,"A",IF(K4&gt;=41,"B",IF(K4&lt;=40,"C"))))</f>
        <v>B</v>
      </c>
    </row>
    <row r="5" ht="48" customHeight="1" spans="1:14">
      <c r="A5" s="108">
        <v>3</v>
      </c>
      <c r="B5" s="109" t="s">
        <v>17</v>
      </c>
      <c r="C5" s="31">
        <v>32</v>
      </c>
      <c r="D5" s="31">
        <v>28</v>
      </c>
      <c r="E5" s="31">
        <v>55</v>
      </c>
      <c r="F5" s="94">
        <f>SUM(C5:E5)</f>
        <v>115</v>
      </c>
      <c r="G5" s="31">
        <f>MAX(C5:E5)</f>
        <v>55</v>
      </c>
      <c r="H5" s="31">
        <f>MIN(C5:E5)</f>
        <v>28</v>
      </c>
      <c r="I5" s="31">
        <f>COUNT(C5:E5)</f>
        <v>3</v>
      </c>
      <c r="J5" s="111">
        <f>AVERAGE(C5:E5)</f>
        <v>38.3333333333333</v>
      </c>
      <c r="K5" s="111">
        <f>F5/300*100</f>
        <v>38.3333333333333</v>
      </c>
      <c r="L5" s="31" t="str">
        <f>IF(AND(C5&gt;=35,D5&gt;=35,E5&gt;=35),"PASS","FAIL")</f>
        <v>FAIL</v>
      </c>
      <c r="M5" s="31" t="str">
        <f>IF(OR(C5&lt;35,D5&lt;35,E5&lt;35),"FAIL","PASS")</f>
        <v>FAIL</v>
      </c>
      <c r="N5" s="31" t="str">
        <f>IF(K5&gt;=75,"A+",IF(K5&gt;=60,"A",IF(K5&gt;=41,"B",IF(K5&lt;=40,"C"))))</f>
        <v>C</v>
      </c>
    </row>
    <row r="6" ht="48" customHeight="1" spans="1:14">
      <c r="A6" s="107">
        <v>4</v>
      </c>
      <c r="B6" s="107" t="s">
        <v>18</v>
      </c>
      <c r="C6" s="107">
        <v>77</v>
      </c>
      <c r="D6" s="107">
        <v>70</v>
      </c>
      <c r="E6" s="107">
        <v>47</v>
      </c>
      <c r="F6" s="107">
        <f>SUM(C6:E6)</f>
        <v>194</v>
      </c>
      <c r="G6" s="107">
        <f>MAX(C6:E6)</f>
        <v>77</v>
      </c>
      <c r="H6" s="107">
        <f>MIN(C6:E6)</f>
        <v>47</v>
      </c>
      <c r="I6" s="107">
        <f>COUNT(C6:E6)</f>
        <v>3</v>
      </c>
      <c r="J6" s="112">
        <f>AVERAGE(C6:E6)</f>
        <v>64.6666666666667</v>
      </c>
      <c r="K6" s="112">
        <f>F6/300*100</f>
        <v>64.6666666666667</v>
      </c>
      <c r="L6" s="107" t="str">
        <f>IF(AND(C6&gt;=35,D6&gt;=35,E6&gt;=35),"PASS","FAIL")</f>
        <v>PASS</v>
      </c>
      <c r="M6" s="107" t="str">
        <f>IF(OR(C6&lt;35,D6&lt;35,E6&lt;35),"FAIL","PASS")</f>
        <v>PASS</v>
      </c>
      <c r="N6" s="107" t="str">
        <f>IF(K6&gt;=75,"A+",IF(K6&gt;=60,"A",IF(K6&gt;=41,"B",IF(K6&lt;=40,"C"))))</f>
        <v>A</v>
      </c>
    </row>
    <row r="7" ht="48" customHeight="1" spans="1:14">
      <c r="A7" s="108">
        <v>5</v>
      </c>
      <c r="B7" s="109" t="s">
        <v>19</v>
      </c>
      <c r="C7" s="31">
        <v>77</v>
      </c>
      <c r="D7" s="31">
        <v>77</v>
      </c>
      <c r="E7" s="31">
        <v>78</v>
      </c>
      <c r="F7" s="94">
        <f>SUM(C7:E7)</f>
        <v>232</v>
      </c>
      <c r="G7" s="31">
        <f>MAX(C7:E7)</f>
        <v>78</v>
      </c>
      <c r="H7" s="31">
        <f>MIN(C7:E7)</f>
        <v>77</v>
      </c>
      <c r="I7" s="31">
        <f>COUNT(C7:E7)</f>
        <v>3</v>
      </c>
      <c r="J7" s="111">
        <f>AVERAGE(C7:E7)</f>
        <v>77.3333333333333</v>
      </c>
      <c r="K7" s="111">
        <f>F7/300*100</f>
        <v>77.3333333333333</v>
      </c>
      <c r="L7" s="31" t="str">
        <f>IF(AND(C7&gt;=35,D7&gt;=35,E7&gt;=35),"PASS","FAIL")</f>
        <v>PASS</v>
      </c>
      <c r="M7" s="31" t="str">
        <f>IF(OR(C7&lt;35,D7&lt;35,E7&lt;35),"FAIL","PASS")</f>
        <v>PASS</v>
      </c>
      <c r="N7" s="31" t="str">
        <f>IF(K7&gt;=75,"A+",IF(K7&gt;=60,"A",IF(K7&gt;=41,"B",IF(K7&lt;=40,"C"))))</f>
        <v>A+</v>
      </c>
    </row>
    <row r="11" spans="2:2">
      <c r="B11" s="110"/>
    </row>
  </sheetData>
  <sortState ref="A4:A7">
    <sortCondition ref="A4:A7"/>
  </sortState>
  <mergeCells count="1">
    <mergeCell ref="A1:N1"/>
  </mergeCells>
  <pageMargins left="0.939583333333333" right="1.1" top="1.3" bottom="0.5" header="0.5" footer="0.5"/>
  <pageSetup paperSize="9" scale="62" orientation="portrait" horizontalDpi="600"/>
  <headerFooter>
    <oddHeader>&amp;CCREATED BY ROHIT VARMA</oddHeader>
    <oddFooter>&amp;Lsample copy for practice&amp;R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E6" sqref="E6"/>
    </sheetView>
  </sheetViews>
  <sheetFormatPr defaultColWidth="9.14285714285714" defaultRowHeight="15"/>
  <cols>
    <col min="1" max="1" width="7" customWidth="1"/>
    <col min="2" max="2" width="19.5714285714286" customWidth="1"/>
    <col min="3" max="3" width="14" customWidth="1"/>
    <col min="4" max="4" width="11.8571428571429" customWidth="1"/>
    <col min="5" max="5" width="14" customWidth="1"/>
    <col min="6" max="6" width="10.8571428571429" customWidth="1"/>
    <col min="7" max="7" width="19.4285714285714" customWidth="1"/>
    <col min="8" max="8" width="7" customWidth="1"/>
    <col min="13" max="13" width="14"/>
    <col min="14" max="14" width="8"/>
  </cols>
  <sheetData>
    <row r="1" ht="50" customHeight="1" spans="1:14">
      <c r="A1" s="100" t="s">
        <v>1</v>
      </c>
      <c r="B1" s="100" t="s">
        <v>20</v>
      </c>
      <c r="C1" s="100" t="s">
        <v>21</v>
      </c>
      <c r="D1" s="100" t="s">
        <v>22</v>
      </c>
      <c r="F1" t="s">
        <v>23</v>
      </c>
      <c r="M1" t="s">
        <v>23</v>
      </c>
      <c r="N1" t="s">
        <v>24</v>
      </c>
    </row>
    <row r="2" ht="50" customHeight="1" spans="1:7">
      <c r="A2" s="31">
        <v>4</v>
      </c>
      <c r="B2" s="31" t="s">
        <v>25</v>
      </c>
      <c r="C2" s="31" t="s">
        <v>26</v>
      </c>
      <c r="D2" s="31" t="s">
        <v>27</v>
      </c>
      <c r="F2">
        <v>5</v>
      </c>
      <c r="G2" t="s">
        <v>28</v>
      </c>
    </row>
    <row r="3" ht="50" customHeight="1" spans="1:13">
      <c r="A3" s="31">
        <v>1</v>
      </c>
      <c r="B3" s="77" t="s">
        <v>29</v>
      </c>
      <c r="C3" s="31" t="s">
        <v>30</v>
      </c>
      <c r="D3" s="31" t="s">
        <v>31</v>
      </c>
      <c r="F3">
        <v>6</v>
      </c>
      <c r="G3" t="str">
        <f>PROPER(G2)</f>
        <v>This Is A Book</v>
      </c>
      <c r="I3" s="102"/>
      <c r="M3" t="s">
        <v>32</v>
      </c>
    </row>
    <row r="4" ht="50" customHeight="1" spans="1:13">
      <c r="A4" s="31">
        <v>3</v>
      </c>
      <c r="B4" s="77" t="s">
        <v>33</v>
      </c>
      <c r="C4" s="31" t="s">
        <v>30</v>
      </c>
      <c r="D4" s="31" t="s">
        <v>34</v>
      </c>
      <c r="F4">
        <v>5</v>
      </c>
      <c r="G4" s="101" t="s">
        <v>35</v>
      </c>
      <c r="M4">
        <v>8</v>
      </c>
    </row>
    <row r="5" ht="50" customHeight="1" spans="1:7">
      <c r="A5" s="31">
        <v>5</v>
      </c>
      <c r="B5" s="31" t="s">
        <v>36</v>
      </c>
      <c r="C5" s="31" t="s">
        <v>26</v>
      </c>
      <c r="D5" s="31" t="s">
        <v>37</v>
      </c>
      <c r="F5">
        <v>7</v>
      </c>
      <c r="G5" s="101" t="s">
        <v>38</v>
      </c>
    </row>
    <row r="6" ht="50" customHeight="1" spans="1:6">
      <c r="A6" s="31">
        <v>2</v>
      </c>
      <c r="B6" s="31" t="s">
        <v>39</v>
      </c>
      <c r="C6" s="31" t="s">
        <v>26</v>
      </c>
      <c r="D6" s="31" t="s">
        <v>40</v>
      </c>
      <c r="F6">
        <v>6</v>
      </c>
    </row>
    <row r="7" spans="6:10">
      <c r="F7">
        <v>7</v>
      </c>
      <c r="I7" s="103" t="s">
        <v>41</v>
      </c>
      <c r="J7" s="104" t="s">
        <v>42</v>
      </c>
    </row>
    <row r="8" spans="6:6">
      <c r="F8">
        <v>8</v>
      </c>
    </row>
    <row r="9" spans="6:6">
      <c r="F9">
        <v>5</v>
      </c>
    </row>
  </sheetData>
  <sortState ref="E16:H16" columnSort="1">
    <sortCondition ref="E16:H16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workbookViewId="0">
      <selection activeCell="D10" sqref="D10"/>
    </sheetView>
  </sheetViews>
  <sheetFormatPr defaultColWidth="9.14285714285714" defaultRowHeight="15" outlineLevelCol="4"/>
  <cols>
    <col min="1" max="1" width="14.7142857142857" customWidth="1"/>
  </cols>
  <sheetData>
    <row r="2" spans="2:5">
      <c r="B2" s="98" t="s">
        <v>43</v>
      </c>
      <c r="E2" s="98" t="s">
        <v>43</v>
      </c>
    </row>
    <row r="3" spans="2:5">
      <c r="B3" s="99" t="s">
        <v>44</v>
      </c>
      <c r="E3" s="99" t="s">
        <v>44</v>
      </c>
    </row>
    <row r="4" spans="2:5">
      <c r="B4" s="99" t="s">
        <v>45</v>
      </c>
      <c r="E4" s="99" t="s">
        <v>45</v>
      </c>
    </row>
    <row r="5" spans="2:5">
      <c r="B5" s="99" t="s">
        <v>46</v>
      </c>
      <c r="E5" s="99" t="s">
        <v>46</v>
      </c>
    </row>
    <row r="6" spans="2:5">
      <c r="B6" s="99">
        <v>12</v>
      </c>
      <c r="E6" s="99" t="s">
        <v>47</v>
      </c>
    </row>
    <row r="7" spans="2:5">
      <c r="B7" s="99">
        <v>23</v>
      </c>
      <c r="E7" s="27">
        <f>COUNT(E2:E6)</f>
        <v>0</v>
      </c>
    </row>
    <row r="8" spans="2:2">
      <c r="B8" s="99">
        <v>45</v>
      </c>
    </row>
    <row r="9" spans="2:2">
      <c r="B9" s="99">
        <v>77</v>
      </c>
    </row>
    <row r="10" spans="2:2">
      <c r="B10" s="99" t="s">
        <v>47</v>
      </c>
    </row>
    <row r="11" spans="2:2">
      <c r="B11" s="99">
        <v>4</v>
      </c>
    </row>
    <row r="12" spans="2:2">
      <c r="B12" s="99">
        <v>5</v>
      </c>
    </row>
    <row r="13" spans="2:2">
      <c r="B13" s="99">
        <v>6</v>
      </c>
    </row>
    <row r="14" spans="2:2">
      <c r="B14" s="99"/>
    </row>
    <row r="15" spans="2:2">
      <c r="B15" s="99"/>
    </row>
    <row r="16" spans="2:2">
      <c r="B16" s="99">
        <v>45</v>
      </c>
    </row>
    <row r="17" spans="1:2">
      <c r="A17" s="29" t="s">
        <v>9</v>
      </c>
      <c r="B17" s="29">
        <f>COUNT(B2:B16)</f>
        <v>8</v>
      </c>
    </row>
    <row r="18" spans="1:2">
      <c r="A18" s="29" t="s">
        <v>48</v>
      </c>
      <c r="B18" s="29">
        <f>COUNTA(B2:B16)</f>
        <v>13</v>
      </c>
    </row>
    <row r="19" spans="1:2">
      <c r="A19" s="29" t="s">
        <v>49</v>
      </c>
      <c r="B19" s="29">
        <f>COUNTBLANK(B2:B16)</f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3"/>
  <sheetViews>
    <sheetView workbookViewId="0">
      <selection activeCell="E24" sqref="E24"/>
    </sheetView>
  </sheetViews>
  <sheetFormatPr defaultColWidth="9.14285714285714" defaultRowHeight="15"/>
  <cols>
    <col min="2" max="2" width="13.5714285714286" customWidth="1"/>
    <col min="5" max="5" width="43" customWidth="1"/>
    <col min="6" max="6" width="11.2857142857143" customWidth="1"/>
    <col min="7" max="7" width="11.1428571428571" customWidth="1"/>
    <col min="8" max="8" width="21.2857142857143" customWidth="1"/>
    <col min="9" max="9" width="7.28571428571429" customWidth="1"/>
    <col min="11" max="11" width="22.5714285714286" customWidth="1"/>
  </cols>
  <sheetData>
    <row r="1" spans="2:10">
      <c r="B1" s="27" t="s">
        <v>50</v>
      </c>
      <c r="C1" s="27" t="str">
        <f>IF(B1="WON","GOOD",IF(B1="CANCELED","DISMISE",IF(B1="IN PROGRESS","OPEN")))</f>
        <v>GOOD</v>
      </c>
      <c r="E1" s="30" t="s">
        <v>51</v>
      </c>
      <c r="F1" s="30" t="s">
        <v>52</v>
      </c>
      <c r="G1" s="30" t="s">
        <v>53</v>
      </c>
      <c r="H1" s="30" t="s">
        <v>54</v>
      </c>
      <c r="I1" s="30" t="s">
        <v>55</v>
      </c>
      <c r="J1" t="s">
        <v>56</v>
      </c>
    </row>
    <row r="2" spans="2:11">
      <c r="B2" s="27" t="s">
        <v>57</v>
      </c>
      <c r="C2" s="27" t="str">
        <f t="shared" ref="C2:C23" si="0">IF(B2="WON","GOOD",IF(B2="CANCELED","DISMISE",IF(B2="IN PROGRESS","OPEN")))</f>
        <v>DISMISE</v>
      </c>
      <c r="E2" s="27" t="s">
        <v>58</v>
      </c>
      <c r="F2" s="27" t="s">
        <v>59</v>
      </c>
      <c r="G2" s="27" t="str">
        <f>MID(E2,FIND(" ",E2)+3,FIND(" ",E2,FIND(" ",E2)+3)-1-FIND(" ",E2,FIND(" ",E2)+1))</f>
        <v>32GB</v>
      </c>
      <c r="H2" s="27" t="str">
        <f>MID(E2,FIND(" ",E2,FIND(" ",E2)+3)+1,LEN(E2)-6-FIND(" ",E2,FIND(" ",E2)+3))</f>
        <v>YELLOW GOLD WHITE</v>
      </c>
      <c r="I2" s="27" t="s">
        <v>60</v>
      </c>
      <c r="J2" t="str">
        <f>SUBSTITUTE(I2,6,7)</f>
        <v>A1770</v>
      </c>
      <c r="K2">
        <f>LEN(E2)-6-FIND(" ",E2,FIND(" ",E2)+3)</f>
        <v>17</v>
      </c>
    </row>
    <row r="3" spans="2:11">
      <c r="B3" s="27" t="s">
        <v>61</v>
      </c>
      <c r="C3" s="27" t="str">
        <f t="shared" si="0"/>
        <v>OPEN</v>
      </c>
      <c r="E3" s="27" t="s">
        <v>62</v>
      </c>
      <c r="F3" s="45" t="s">
        <v>59</v>
      </c>
      <c r="G3" s="27" t="str">
        <f t="shared" ref="G3:G23" si="1">MID(E3,FIND(" ",E3)+3,FIND(" ",E3,FIND(" ",E3)+3)-1-FIND(" ",E3,FIND(" ",E3)+1))</f>
        <v>32GB</v>
      </c>
      <c r="H3" s="27" t="str">
        <f t="shared" ref="H3:H23" si="2">MID(E3,FIND(" ",E3,FIND(" ",E3)+3)+1,LEN(E3)-6-FIND(" ",E3,FIND(" ",E3)+3))</f>
        <v>BLACK</v>
      </c>
      <c r="I3" s="45" t="s">
        <v>60</v>
      </c>
      <c r="J3" t="str">
        <f t="shared" ref="J3:J23" si="3">SUBSTITUTE(I3,6,7)</f>
        <v>A1770</v>
      </c>
      <c r="K3" s="96" t="str">
        <f>_xlfn.TEXTJOIN("|",1,C1:C3)</f>
        <v>GOOD|DISMISE|OPEN</v>
      </c>
    </row>
    <row r="4" spans="2:11">
      <c r="B4" s="27" t="s">
        <v>50</v>
      </c>
      <c r="C4" s="27" t="str">
        <f t="shared" si="0"/>
        <v>GOOD</v>
      </c>
      <c r="E4" s="27" t="s">
        <v>62</v>
      </c>
      <c r="F4" s="45" t="s">
        <v>59</v>
      </c>
      <c r="G4" s="27" t="str">
        <f t="shared" si="1"/>
        <v>32GB</v>
      </c>
      <c r="H4" s="27" t="str">
        <f t="shared" si="2"/>
        <v>BLACK</v>
      </c>
      <c r="I4" s="45" t="s">
        <v>60</v>
      </c>
      <c r="J4" t="str">
        <f t="shared" si="3"/>
        <v>A1770</v>
      </c>
      <c r="K4" s="97" t="s">
        <v>63</v>
      </c>
    </row>
    <row r="5" spans="2:10">
      <c r="B5" s="27" t="s">
        <v>61</v>
      </c>
      <c r="C5" s="27" t="str">
        <f t="shared" si="0"/>
        <v>OPEN</v>
      </c>
      <c r="E5" s="27" t="s">
        <v>62</v>
      </c>
      <c r="F5" s="45" t="s">
        <v>59</v>
      </c>
      <c r="G5" s="27" t="str">
        <f t="shared" si="1"/>
        <v>32GB</v>
      </c>
      <c r="H5" s="27" t="str">
        <f t="shared" si="2"/>
        <v>BLACK</v>
      </c>
      <c r="I5" s="45" t="s">
        <v>60</v>
      </c>
      <c r="J5" t="str">
        <f t="shared" si="3"/>
        <v>A1770</v>
      </c>
    </row>
    <row r="6" spans="2:10">
      <c r="B6" s="27" t="s">
        <v>61</v>
      </c>
      <c r="C6" s="27" t="str">
        <f t="shared" si="0"/>
        <v>OPEN</v>
      </c>
      <c r="E6" s="27" t="s">
        <v>62</v>
      </c>
      <c r="F6" s="45" t="s">
        <v>59</v>
      </c>
      <c r="G6" s="27" t="str">
        <f t="shared" si="1"/>
        <v>32GB</v>
      </c>
      <c r="H6" s="27" t="str">
        <f t="shared" si="2"/>
        <v>BLACK</v>
      </c>
      <c r="I6" s="45" t="s">
        <v>60</v>
      </c>
      <c r="J6" t="str">
        <f t="shared" si="3"/>
        <v>A1770</v>
      </c>
    </row>
    <row r="7" spans="2:10">
      <c r="B7" s="27" t="s">
        <v>61</v>
      </c>
      <c r="C7" s="27" t="str">
        <f t="shared" si="0"/>
        <v>OPEN</v>
      </c>
      <c r="E7" s="27" t="s">
        <v>64</v>
      </c>
      <c r="F7" s="45" t="s">
        <v>59</v>
      </c>
      <c r="G7" s="27" t="str">
        <f t="shared" si="1"/>
        <v>128GB</v>
      </c>
      <c r="H7" s="27" t="str">
        <f t="shared" si="2"/>
        <v>ROSE GOLD</v>
      </c>
      <c r="I7" s="45" t="s">
        <v>60</v>
      </c>
      <c r="J7" t="str">
        <f t="shared" si="3"/>
        <v>A1770</v>
      </c>
    </row>
    <row r="8" spans="2:10">
      <c r="B8" s="27" t="s">
        <v>61</v>
      </c>
      <c r="C8" s="27" t="str">
        <f t="shared" si="0"/>
        <v>OPEN</v>
      </c>
      <c r="E8" s="27" t="s">
        <v>62</v>
      </c>
      <c r="F8" s="45" t="s">
        <v>59</v>
      </c>
      <c r="G8" s="27" t="str">
        <f t="shared" si="1"/>
        <v>32GB</v>
      </c>
      <c r="H8" s="27" t="str">
        <f t="shared" si="2"/>
        <v>BLACK</v>
      </c>
      <c r="I8" s="45" t="s">
        <v>60</v>
      </c>
      <c r="J8" t="str">
        <f t="shared" si="3"/>
        <v>A1770</v>
      </c>
    </row>
    <row r="9" spans="2:10">
      <c r="B9" s="27" t="s">
        <v>61</v>
      </c>
      <c r="C9" s="27" t="str">
        <f t="shared" si="0"/>
        <v>OPEN</v>
      </c>
      <c r="E9" s="27" t="s">
        <v>62</v>
      </c>
      <c r="F9" s="45" t="s">
        <v>59</v>
      </c>
      <c r="G9" s="27" t="str">
        <f t="shared" si="1"/>
        <v>32GB</v>
      </c>
      <c r="H9" s="27" t="str">
        <f t="shared" si="2"/>
        <v>BLACK</v>
      </c>
      <c r="I9" s="45" t="s">
        <v>60</v>
      </c>
      <c r="J9" t="str">
        <f t="shared" si="3"/>
        <v>A1770</v>
      </c>
    </row>
    <row r="10" spans="2:10">
      <c r="B10" s="27" t="s">
        <v>61</v>
      </c>
      <c r="C10" s="27" t="str">
        <f t="shared" si="0"/>
        <v>OPEN</v>
      </c>
      <c r="E10" s="27" t="s">
        <v>62</v>
      </c>
      <c r="F10" s="45" t="s">
        <v>59</v>
      </c>
      <c r="G10" s="27" t="str">
        <f t="shared" si="1"/>
        <v>32GB</v>
      </c>
      <c r="H10" s="27" t="str">
        <f t="shared" si="2"/>
        <v>BLACK</v>
      </c>
      <c r="I10" s="45" t="s">
        <v>60</v>
      </c>
      <c r="J10" t="str">
        <f t="shared" si="3"/>
        <v>A1770</v>
      </c>
    </row>
    <row r="11" spans="2:10">
      <c r="B11" s="27" t="s">
        <v>61</v>
      </c>
      <c r="C11" s="27" t="str">
        <f t="shared" si="0"/>
        <v>OPEN</v>
      </c>
      <c r="E11" s="27" t="s">
        <v>65</v>
      </c>
      <c r="F11" s="45" t="s">
        <v>59</v>
      </c>
      <c r="G11" s="27" t="str">
        <f t="shared" si="1"/>
        <v>32GB</v>
      </c>
      <c r="H11" s="27" t="str">
        <f t="shared" si="2"/>
        <v>ROSE GOLD</v>
      </c>
      <c r="I11" s="45" t="s">
        <v>60</v>
      </c>
      <c r="J11" t="str">
        <f t="shared" si="3"/>
        <v>A1770</v>
      </c>
    </row>
    <row r="12" spans="2:10">
      <c r="B12" s="27" t="s">
        <v>50</v>
      </c>
      <c r="C12" s="27" t="str">
        <f t="shared" si="0"/>
        <v>GOOD</v>
      </c>
      <c r="E12" s="27" t="s">
        <v>66</v>
      </c>
      <c r="F12" s="45" t="s">
        <v>59</v>
      </c>
      <c r="G12" s="27" t="str">
        <f t="shared" si="1"/>
        <v>128GB</v>
      </c>
      <c r="H12" s="27" t="str">
        <f t="shared" si="2"/>
        <v>JET BLACK</v>
      </c>
      <c r="I12" s="45" t="s">
        <v>60</v>
      </c>
      <c r="J12" t="str">
        <f t="shared" si="3"/>
        <v>A1770</v>
      </c>
    </row>
    <row r="13" spans="2:10">
      <c r="B13" s="27" t="s">
        <v>50</v>
      </c>
      <c r="C13" s="27" t="str">
        <f t="shared" si="0"/>
        <v>GOOD</v>
      </c>
      <c r="E13" s="27" t="s">
        <v>67</v>
      </c>
      <c r="F13" s="45" t="s">
        <v>59</v>
      </c>
      <c r="G13" s="27" t="str">
        <f t="shared" si="1"/>
        <v>64GB</v>
      </c>
      <c r="H13" s="27" t="str">
        <f t="shared" si="2"/>
        <v>GOLD</v>
      </c>
      <c r="I13" s="45" t="s">
        <v>60</v>
      </c>
      <c r="J13" t="str">
        <f t="shared" si="3"/>
        <v>A1770</v>
      </c>
    </row>
    <row r="14" spans="2:10">
      <c r="B14" s="27" t="s">
        <v>61</v>
      </c>
      <c r="C14" s="27" t="str">
        <f t="shared" si="0"/>
        <v>OPEN</v>
      </c>
      <c r="E14" s="27" t="s">
        <v>68</v>
      </c>
      <c r="F14" s="45" t="s">
        <v>59</v>
      </c>
      <c r="G14" s="27" t="str">
        <f t="shared" si="1"/>
        <v>32GB</v>
      </c>
      <c r="H14" s="27" t="str">
        <f t="shared" si="2"/>
        <v>JET BLACK</v>
      </c>
      <c r="I14" s="45" t="s">
        <v>60</v>
      </c>
      <c r="J14" t="str">
        <f t="shared" si="3"/>
        <v>A1770</v>
      </c>
    </row>
    <row r="15" spans="2:10">
      <c r="B15" s="27" t="s">
        <v>61</v>
      </c>
      <c r="C15" s="27" t="str">
        <f t="shared" si="0"/>
        <v>OPEN</v>
      </c>
      <c r="E15" s="27" t="s">
        <v>62</v>
      </c>
      <c r="F15" s="45" t="s">
        <v>59</v>
      </c>
      <c r="G15" s="27" t="str">
        <f t="shared" si="1"/>
        <v>32GB</v>
      </c>
      <c r="H15" s="27" t="str">
        <f t="shared" si="2"/>
        <v>BLACK</v>
      </c>
      <c r="I15" s="45" t="s">
        <v>60</v>
      </c>
      <c r="J15" t="str">
        <f t="shared" si="3"/>
        <v>A1770</v>
      </c>
    </row>
    <row r="16" spans="2:10">
      <c r="B16" s="27" t="s">
        <v>50</v>
      </c>
      <c r="C16" s="27" t="str">
        <f t="shared" si="0"/>
        <v>GOOD</v>
      </c>
      <c r="E16" s="27" t="s">
        <v>69</v>
      </c>
      <c r="F16" s="45" t="s">
        <v>59</v>
      </c>
      <c r="G16" s="27" t="str">
        <f t="shared" si="1"/>
        <v>800GB</v>
      </c>
      <c r="H16" s="27" t="str">
        <f t="shared" si="2"/>
        <v>BLACK</v>
      </c>
      <c r="I16" s="45" t="s">
        <v>60</v>
      </c>
      <c r="J16" t="str">
        <f t="shared" si="3"/>
        <v>A1770</v>
      </c>
    </row>
    <row r="17" spans="2:10">
      <c r="B17" s="27" t="s">
        <v>50</v>
      </c>
      <c r="C17" s="27" t="str">
        <f t="shared" si="0"/>
        <v>GOOD</v>
      </c>
      <c r="E17" s="27" t="s">
        <v>62</v>
      </c>
      <c r="F17" s="45" t="s">
        <v>59</v>
      </c>
      <c r="G17" s="27" t="str">
        <f t="shared" si="1"/>
        <v>32GB</v>
      </c>
      <c r="H17" s="27" t="str">
        <f t="shared" si="2"/>
        <v>BLACK</v>
      </c>
      <c r="I17" s="45" t="s">
        <v>60</v>
      </c>
      <c r="J17" t="str">
        <f t="shared" si="3"/>
        <v>A1770</v>
      </c>
    </row>
    <row r="18" spans="2:10">
      <c r="B18" s="27" t="s">
        <v>57</v>
      </c>
      <c r="C18" s="27" t="str">
        <f t="shared" si="0"/>
        <v>DISMISE</v>
      </c>
      <c r="E18" s="27" t="s">
        <v>62</v>
      </c>
      <c r="F18" s="45" t="s">
        <v>59</v>
      </c>
      <c r="G18" s="27" t="str">
        <f t="shared" si="1"/>
        <v>32GB</v>
      </c>
      <c r="H18" s="27" t="str">
        <f t="shared" si="2"/>
        <v>BLACK</v>
      </c>
      <c r="I18" s="45" t="s">
        <v>60</v>
      </c>
      <c r="J18" t="str">
        <f t="shared" si="3"/>
        <v>A1770</v>
      </c>
    </row>
    <row r="19" spans="2:10">
      <c r="B19" s="27" t="s">
        <v>61</v>
      </c>
      <c r="C19" s="27" t="str">
        <f t="shared" si="0"/>
        <v>OPEN</v>
      </c>
      <c r="E19" s="27" t="s">
        <v>64</v>
      </c>
      <c r="F19" s="45" t="s">
        <v>59</v>
      </c>
      <c r="G19" s="27" t="str">
        <f t="shared" si="1"/>
        <v>128GB</v>
      </c>
      <c r="H19" s="27" t="str">
        <f t="shared" si="2"/>
        <v>ROSE GOLD</v>
      </c>
      <c r="I19" s="45" t="s">
        <v>60</v>
      </c>
      <c r="J19" t="str">
        <f t="shared" si="3"/>
        <v>A1770</v>
      </c>
    </row>
    <row r="20" spans="2:10">
      <c r="B20" s="27" t="s">
        <v>61</v>
      </c>
      <c r="C20" s="27" t="str">
        <f t="shared" si="0"/>
        <v>OPEN</v>
      </c>
      <c r="E20" s="27" t="s">
        <v>70</v>
      </c>
      <c r="F20" s="45" t="s">
        <v>59</v>
      </c>
      <c r="G20" s="27" t="str">
        <f t="shared" si="1"/>
        <v>32GB</v>
      </c>
      <c r="H20" s="27" t="str">
        <f t="shared" si="2"/>
        <v>GOLD</v>
      </c>
      <c r="I20" s="45" t="s">
        <v>60</v>
      </c>
      <c r="J20" t="str">
        <f t="shared" si="3"/>
        <v>A1770</v>
      </c>
    </row>
    <row r="21" spans="2:10">
      <c r="B21" s="27" t="s">
        <v>50</v>
      </c>
      <c r="C21" s="27" t="str">
        <f t="shared" si="0"/>
        <v>GOOD</v>
      </c>
      <c r="E21" s="27" t="s">
        <v>70</v>
      </c>
      <c r="F21" s="45" t="s">
        <v>59</v>
      </c>
      <c r="G21" s="27" t="str">
        <f t="shared" si="1"/>
        <v>32GB</v>
      </c>
      <c r="H21" s="27" t="str">
        <f t="shared" si="2"/>
        <v>GOLD</v>
      </c>
      <c r="I21" s="45" t="s">
        <v>60</v>
      </c>
      <c r="J21" t="str">
        <f t="shared" si="3"/>
        <v>A1770</v>
      </c>
    </row>
    <row r="22" spans="2:10">
      <c r="B22" s="27" t="s">
        <v>50</v>
      </c>
      <c r="C22" s="27" t="str">
        <f t="shared" si="0"/>
        <v>GOOD</v>
      </c>
      <c r="E22" s="27" t="s">
        <v>65</v>
      </c>
      <c r="F22" s="45" t="s">
        <v>59</v>
      </c>
      <c r="G22" s="27" t="str">
        <f t="shared" si="1"/>
        <v>32GB</v>
      </c>
      <c r="H22" s="27" t="str">
        <f t="shared" si="2"/>
        <v>ROSE GOLD</v>
      </c>
      <c r="I22" s="45" t="s">
        <v>60</v>
      </c>
      <c r="J22" t="str">
        <f t="shared" si="3"/>
        <v>A1770</v>
      </c>
    </row>
    <row r="23" spans="2:10">
      <c r="B23" s="27" t="s">
        <v>50</v>
      </c>
      <c r="C23" s="27" t="str">
        <f t="shared" si="0"/>
        <v>GOOD</v>
      </c>
      <c r="E23" s="27" t="s">
        <v>71</v>
      </c>
      <c r="F23" s="45" t="s">
        <v>59</v>
      </c>
      <c r="G23" s="27" t="str">
        <f t="shared" si="1"/>
        <v>64GB</v>
      </c>
      <c r="H23" s="27" t="str">
        <f t="shared" si="2"/>
        <v>ROSE GOLD</v>
      </c>
      <c r="I23" s="45" t="s">
        <v>60</v>
      </c>
      <c r="J23" t="str">
        <f t="shared" si="3"/>
        <v>A1770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S16" sqref="S16"/>
    </sheetView>
  </sheetViews>
  <sheetFormatPr defaultColWidth="9.14285714285714" defaultRowHeight="15" outlineLevelCol="2"/>
  <cols>
    <col min="3" max="3" width="12.1428571428571" customWidth="1"/>
  </cols>
  <sheetData>
    <row r="1" spans="1:2">
      <c r="A1">
        <v>1</v>
      </c>
      <c r="B1">
        <v>20</v>
      </c>
    </row>
    <row r="2" spans="1:3">
      <c r="A2">
        <v>10</v>
      </c>
      <c r="B2">
        <v>25</v>
      </c>
      <c r="C2" s="60" t="s">
        <v>72</v>
      </c>
    </row>
    <row r="3" spans="1:3">
      <c r="A3">
        <v>19</v>
      </c>
      <c r="B3">
        <v>30</v>
      </c>
      <c r="C3" s="60"/>
    </row>
    <row r="4" spans="1:3">
      <c r="A4">
        <v>28</v>
      </c>
      <c r="B4">
        <v>35</v>
      </c>
      <c r="C4" s="27">
        <f>SUMPRODUCT(--ISEVEN(B1:B34))</f>
        <v>18</v>
      </c>
    </row>
    <row r="5" spans="1:2">
      <c r="A5">
        <v>37</v>
      </c>
      <c r="B5">
        <v>39</v>
      </c>
    </row>
    <row r="6" spans="1:2">
      <c r="A6">
        <v>46</v>
      </c>
      <c r="B6">
        <v>42</v>
      </c>
    </row>
    <row r="7" spans="1:2">
      <c r="A7">
        <v>55</v>
      </c>
      <c r="B7">
        <v>47</v>
      </c>
    </row>
    <row r="8" spans="1:2">
      <c r="A8">
        <v>64</v>
      </c>
      <c r="B8">
        <v>50</v>
      </c>
    </row>
    <row r="9" spans="1:2">
      <c r="A9">
        <v>73</v>
      </c>
      <c r="B9">
        <v>57</v>
      </c>
    </row>
    <row r="10" spans="1:2">
      <c r="A10">
        <v>82</v>
      </c>
      <c r="B10">
        <v>64</v>
      </c>
    </row>
    <row r="11" spans="1:2">
      <c r="A11">
        <v>91</v>
      </c>
      <c r="B11">
        <v>71</v>
      </c>
    </row>
    <row r="12" spans="1:2">
      <c r="A12">
        <v>100</v>
      </c>
      <c r="B12">
        <v>78</v>
      </c>
    </row>
    <row r="13" spans="1:2">
      <c r="A13">
        <v>109</v>
      </c>
      <c r="B13">
        <v>85</v>
      </c>
    </row>
    <row r="14" spans="1:2">
      <c r="A14">
        <v>118</v>
      </c>
      <c r="B14">
        <v>92</v>
      </c>
    </row>
    <row r="15" spans="1:2">
      <c r="A15">
        <v>127</v>
      </c>
      <c r="B15">
        <v>99</v>
      </c>
    </row>
    <row r="16" spans="1:2">
      <c r="A16">
        <v>136</v>
      </c>
      <c r="B16">
        <v>106</v>
      </c>
    </row>
    <row r="17" spans="1:2">
      <c r="A17">
        <v>145</v>
      </c>
      <c r="B17">
        <v>113</v>
      </c>
    </row>
    <row r="18" spans="1:2">
      <c r="A18">
        <v>154</v>
      </c>
      <c r="B18">
        <v>120</v>
      </c>
    </row>
    <row r="19" spans="1:2">
      <c r="A19">
        <v>163</v>
      </c>
      <c r="B19">
        <v>127</v>
      </c>
    </row>
    <row r="20" spans="1:2">
      <c r="A20">
        <v>172</v>
      </c>
      <c r="B20">
        <v>134</v>
      </c>
    </row>
    <row r="21" spans="1:2">
      <c r="A21">
        <v>181</v>
      </c>
      <c r="B21">
        <v>141</v>
      </c>
    </row>
    <row r="22" spans="1:2">
      <c r="A22">
        <v>190</v>
      </c>
      <c r="B22">
        <v>148</v>
      </c>
    </row>
    <row r="23" spans="1:2">
      <c r="A23">
        <v>199</v>
      </c>
      <c r="B23">
        <v>155</v>
      </c>
    </row>
    <row r="24" spans="1:2">
      <c r="A24">
        <v>208</v>
      </c>
      <c r="B24">
        <v>162</v>
      </c>
    </row>
    <row r="25" spans="1:2">
      <c r="A25">
        <v>217</v>
      </c>
      <c r="B25">
        <v>169</v>
      </c>
    </row>
    <row r="26" spans="1:2">
      <c r="A26">
        <v>226</v>
      </c>
      <c r="B26">
        <v>150</v>
      </c>
    </row>
    <row r="27" spans="1:2">
      <c r="A27">
        <v>235</v>
      </c>
      <c r="B27">
        <v>142</v>
      </c>
    </row>
    <row r="28" spans="1:2">
      <c r="A28">
        <v>244</v>
      </c>
      <c r="B28">
        <v>135</v>
      </c>
    </row>
    <row r="29" spans="1:2">
      <c r="A29">
        <v>253</v>
      </c>
      <c r="B29">
        <v>130</v>
      </c>
    </row>
    <row r="30" spans="1:2">
      <c r="A30">
        <v>262</v>
      </c>
      <c r="B30">
        <v>127</v>
      </c>
    </row>
    <row r="31" spans="1:2">
      <c r="A31">
        <v>271</v>
      </c>
      <c r="B31">
        <v>122</v>
      </c>
    </row>
    <row r="32" spans="1:2">
      <c r="A32">
        <v>280</v>
      </c>
      <c r="B32">
        <v>120</v>
      </c>
    </row>
    <row r="33" spans="1:2">
      <c r="A33">
        <v>289</v>
      </c>
      <c r="B33">
        <v>109</v>
      </c>
    </row>
    <row r="34" spans="1:2">
      <c r="A34">
        <v>298</v>
      </c>
      <c r="B34">
        <v>90</v>
      </c>
    </row>
  </sheetData>
  <mergeCells count="1">
    <mergeCell ref="C2:C3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D4" sqref="D4"/>
    </sheetView>
  </sheetViews>
  <sheetFormatPr defaultColWidth="9.14285714285714" defaultRowHeight="15" outlineLevelCol="1"/>
  <sheetData>
    <row r="1" spans="1:2">
      <c r="A1" s="95">
        <v>0.73</v>
      </c>
      <c r="B1" s="27" t="str">
        <f>_xlfn.IFS(A1&gt;=70%,"700rs",A1&gt;=60%,"500rs",A1&gt;=50%,"300rs",A1&lt;50%,"")</f>
        <v>700rs</v>
      </c>
    </row>
    <row r="2" spans="1:2">
      <c r="A2" s="95">
        <v>0.41</v>
      </c>
      <c r="B2" s="27" t="str">
        <f t="shared" ref="B2:B12" si="0">_xlfn.IFS(A2&gt;=70%,"700rs",A2&gt;=60%,"500rs",A2&gt;=50%,"300rs",A2&lt;50%,"")</f>
        <v/>
      </c>
    </row>
    <row r="3" spans="1:2">
      <c r="A3" s="95">
        <v>0.5</v>
      </c>
      <c r="B3" s="27" t="str">
        <f t="shared" si="0"/>
        <v>300rs</v>
      </c>
    </row>
    <row r="4" spans="1:2">
      <c r="A4" s="95">
        <v>0.39</v>
      </c>
      <c r="B4" s="27" t="str">
        <f t="shared" si="0"/>
        <v/>
      </c>
    </row>
    <row r="5" spans="1:2">
      <c r="A5" s="95">
        <v>0.42</v>
      </c>
      <c r="B5" s="27" t="str">
        <f t="shared" si="0"/>
        <v/>
      </c>
    </row>
    <row r="6" spans="1:2">
      <c r="A6" s="95">
        <v>0.56</v>
      </c>
      <c r="B6" s="27" t="str">
        <f t="shared" si="0"/>
        <v>300rs</v>
      </c>
    </row>
    <row r="7" spans="1:2">
      <c r="A7" s="95">
        <v>0.98</v>
      </c>
      <c r="B7" s="27" t="str">
        <f t="shared" si="0"/>
        <v>700rs</v>
      </c>
    </row>
    <row r="8" spans="1:2">
      <c r="A8" s="95">
        <v>0.67</v>
      </c>
      <c r="B8" s="27" t="str">
        <f t="shared" si="0"/>
        <v>500rs</v>
      </c>
    </row>
    <row r="9" spans="1:2">
      <c r="A9" s="95">
        <v>0.49</v>
      </c>
      <c r="B9" s="27" t="str">
        <f t="shared" si="0"/>
        <v/>
      </c>
    </row>
    <row r="10" spans="1:2">
      <c r="A10" s="95">
        <v>0.65</v>
      </c>
      <c r="B10" s="27" t="str">
        <f t="shared" si="0"/>
        <v>500rs</v>
      </c>
    </row>
    <row r="11" spans="1:2">
      <c r="A11" s="95">
        <v>0.52</v>
      </c>
      <c r="B11" s="27" t="str">
        <f t="shared" si="0"/>
        <v>300rs</v>
      </c>
    </row>
    <row r="12" spans="1:2">
      <c r="A12" s="95">
        <v>0.92</v>
      </c>
      <c r="B12" s="27" t="str">
        <f t="shared" si="0"/>
        <v>700rs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opLeftCell="A8" workbookViewId="0">
      <selection activeCell="F19" sqref="F19:J28"/>
    </sheetView>
  </sheetViews>
  <sheetFormatPr defaultColWidth="9.14285714285714" defaultRowHeight="15"/>
  <sheetData>
    <row r="1" spans="5:6">
      <c r="E1" s="92">
        <f ca="1">TODAY()</f>
        <v>44497</v>
      </c>
      <c r="F1" s="30"/>
    </row>
    <row r="2" spans="1:6">
      <c r="A2" s="78" t="s">
        <v>73</v>
      </c>
      <c r="B2" s="78"/>
      <c r="C2" s="78"/>
      <c r="D2" s="78"/>
      <c r="E2" s="78"/>
      <c r="F2" s="78"/>
    </row>
    <row r="3" spans="1:6">
      <c r="A3" s="31" t="s">
        <v>74</v>
      </c>
      <c r="B3" s="31"/>
      <c r="C3" s="31"/>
      <c r="D3" s="31"/>
      <c r="E3" s="31"/>
      <c r="F3" s="31"/>
    </row>
    <row r="4" ht="45" spans="1:6">
      <c r="A4" s="31" t="s">
        <v>75</v>
      </c>
      <c r="B4" s="31" t="s">
        <v>76</v>
      </c>
      <c r="C4" s="31" t="s">
        <v>77</v>
      </c>
      <c r="D4" s="31" t="s">
        <v>78</v>
      </c>
      <c r="E4" s="60" t="s">
        <v>79</v>
      </c>
      <c r="F4" s="60" t="s">
        <v>80</v>
      </c>
    </row>
    <row r="5" spans="1:6">
      <c r="A5" s="31">
        <v>1</v>
      </c>
      <c r="B5" s="31" t="s">
        <v>81</v>
      </c>
      <c r="C5" s="31" t="s">
        <v>82</v>
      </c>
      <c r="D5" s="31" t="s">
        <v>83</v>
      </c>
      <c r="E5" s="31">
        <v>5</v>
      </c>
      <c r="F5" s="31">
        <f ca="1">HLOOKUP($E$1,$E$18:$J$28,ROW()-3,0)</f>
        <v>3</v>
      </c>
    </row>
    <row r="6" spans="1:6">
      <c r="A6" s="31">
        <v>2</v>
      </c>
      <c r="B6" s="31" t="s">
        <v>84</v>
      </c>
      <c r="C6" s="31" t="s">
        <v>85</v>
      </c>
      <c r="D6" s="31" t="s">
        <v>83</v>
      </c>
      <c r="E6" s="31">
        <v>0</v>
      </c>
      <c r="F6" s="31">
        <f ca="1">HLOOKUP($E$1,$E$18:$J$28,ROW()-3,0)</f>
        <v>4</v>
      </c>
    </row>
    <row r="7" spans="1:6">
      <c r="A7" s="31">
        <v>3</v>
      </c>
      <c r="B7" s="31" t="s">
        <v>81</v>
      </c>
      <c r="C7" s="31" t="s">
        <v>86</v>
      </c>
      <c r="D7" s="31" t="s">
        <v>83</v>
      </c>
      <c r="E7" s="31">
        <v>0</v>
      </c>
      <c r="F7" s="31">
        <f ca="1">HLOOKUP($E$1,$E$18:$J$28,ROW()-3,0)</f>
        <v>7</v>
      </c>
    </row>
    <row r="8" spans="1:6">
      <c r="A8" s="31">
        <v>4</v>
      </c>
      <c r="B8" s="31" t="s">
        <v>84</v>
      </c>
      <c r="C8" s="31" t="s">
        <v>87</v>
      </c>
      <c r="D8" s="31" t="s">
        <v>83</v>
      </c>
      <c r="E8" s="31">
        <v>0</v>
      </c>
      <c r="F8" s="31">
        <f ca="1">HLOOKUP($E$1,$E$18:$J$28,ROW()-3,0)</f>
        <v>66</v>
      </c>
    </row>
    <row r="9" spans="1:6">
      <c r="A9" s="31">
        <v>5</v>
      </c>
      <c r="B9" s="31" t="s">
        <v>81</v>
      </c>
      <c r="C9" s="31" t="s">
        <v>88</v>
      </c>
      <c r="D9" s="31" t="s">
        <v>83</v>
      </c>
      <c r="E9" s="31">
        <v>0</v>
      </c>
      <c r="F9" s="31">
        <f ca="1">HLOOKUP($E$1,$E$18:$J$28,ROW()-3,0)</f>
        <v>7</v>
      </c>
    </row>
    <row r="10" spans="1:6">
      <c r="A10" s="31">
        <v>6</v>
      </c>
      <c r="B10" s="31" t="s">
        <v>84</v>
      </c>
      <c r="C10" s="31" t="s">
        <v>89</v>
      </c>
      <c r="D10" s="31" t="s">
        <v>83</v>
      </c>
      <c r="E10" s="31">
        <v>0</v>
      </c>
      <c r="F10" s="31">
        <f ca="1">HLOOKUP($E$1,$E$18:$J$28,ROW()-3,0)</f>
        <v>77</v>
      </c>
    </row>
    <row r="11" spans="1:6">
      <c r="A11" s="31">
        <v>7</v>
      </c>
      <c r="B11" s="31" t="s">
        <v>81</v>
      </c>
      <c r="C11" s="31" t="s">
        <v>90</v>
      </c>
      <c r="D11" s="31" t="s">
        <v>83</v>
      </c>
      <c r="E11" s="31">
        <v>0</v>
      </c>
      <c r="F11" s="31">
        <f ca="1">HLOOKUP($E$1,$E$18:$J$28,ROW()-3,0)</f>
        <v>66</v>
      </c>
    </row>
    <row r="12" spans="1:6">
      <c r="A12" s="31">
        <v>8</v>
      </c>
      <c r="B12" s="31" t="s">
        <v>84</v>
      </c>
      <c r="C12" s="31" t="s">
        <v>91</v>
      </c>
      <c r="D12" s="31" t="s">
        <v>83</v>
      </c>
      <c r="E12" s="31">
        <v>0</v>
      </c>
      <c r="F12" s="31">
        <f ca="1">HLOOKUP($E$1,$E$18:$J$28,ROW()-3,0)</f>
        <v>56</v>
      </c>
    </row>
    <row r="13" spans="1:6">
      <c r="A13" s="31">
        <v>9</v>
      </c>
      <c r="B13" s="31" t="s">
        <v>81</v>
      </c>
      <c r="C13" s="31" t="s">
        <v>92</v>
      </c>
      <c r="D13" s="31" t="s">
        <v>83</v>
      </c>
      <c r="E13" s="31">
        <v>0</v>
      </c>
      <c r="F13" s="31">
        <f ca="1">HLOOKUP($E$1,$E$18:$J$28,ROW()-3,0)</f>
        <v>79</v>
      </c>
    </row>
    <row r="14" spans="1:6">
      <c r="A14" s="31">
        <v>10</v>
      </c>
      <c r="B14" s="31" t="s">
        <v>84</v>
      </c>
      <c r="C14" s="31" t="s">
        <v>93</v>
      </c>
      <c r="D14" s="31" t="s">
        <v>83</v>
      </c>
      <c r="E14" s="31">
        <v>0</v>
      </c>
      <c r="F14" s="31">
        <f ca="1">HLOOKUP($E$1,$E$18:$J$28,ROW()-3,0)</f>
        <v>42</v>
      </c>
    </row>
    <row r="17" spans="1:10">
      <c r="A17" s="78" t="s">
        <v>94</v>
      </c>
      <c r="B17" s="78"/>
      <c r="C17" s="78"/>
      <c r="D17" s="78"/>
      <c r="E17" s="78"/>
      <c r="F17" s="78"/>
      <c r="G17" s="78"/>
      <c r="H17" s="78"/>
      <c r="I17" s="78"/>
      <c r="J17" s="78"/>
    </row>
    <row r="18" spans="1:10">
      <c r="A18" s="31" t="s">
        <v>75</v>
      </c>
      <c r="B18" s="31" t="s">
        <v>76</v>
      </c>
      <c r="C18" s="31" t="s">
        <v>77</v>
      </c>
      <c r="D18" s="31" t="s">
        <v>78</v>
      </c>
      <c r="E18" s="31" t="s">
        <v>95</v>
      </c>
      <c r="F18" s="93">
        <f ca="1">TODAY()+COLUMN()-6</f>
        <v>44497</v>
      </c>
      <c r="G18" s="93">
        <f ca="1">TODAY()+COLUMN()-6</f>
        <v>44498</v>
      </c>
      <c r="H18" s="93">
        <f ca="1">TODAY()+COLUMN()-6</f>
        <v>44499</v>
      </c>
      <c r="I18" s="93">
        <f ca="1">TODAY()+COLUMN()-6</f>
        <v>44500</v>
      </c>
      <c r="J18" s="93">
        <f ca="1">TODAY()+COLUMN()-6</f>
        <v>44501</v>
      </c>
    </row>
    <row r="19" spans="1:16">
      <c r="A19" s="31">
        <v>1</v>
      </c>
      <c r="B19" s="31" t="s">
        <v>81</v>
      </c>
      <c r="C19" s="31" t="s">
        <v>82</v>
      </c>
      <c r="D19" s="31" t="s">
        <v>83</v>
      </c>
      <c r="E19" s="94">
        <f t="shared" ref="E19:E28" si="0">SUM($F19:$J19)</f>
        <v>35</v>
      </c>
      <c r="F19" s="31">
        <v>3</v>
      </c>
      <c r="G19" s="31">
        <v>5</v>
      </c>
      <c r="H19" s="31">
        <v>1</v>
      </c>
      <c r="I19" s="31">
        <v>7</v>
      </c>
      <c r="J19" s="31">
        <v>19</v>
      </c>
      <c r="L19" t="b">
        <f>MIN($F19:$J19)=F19</f>
        <v>0</v>
      </c>
      <c r="M19" t="b">
        <f>MIN($F19:$J19)=G19</f>
        <v>0</v>
      </c>
      <c r="N19" t="b">
        <f>MIN($F19:$J19)=H19</f>
        <v>1</v>
      </c>
      <c r="O19" t="b">
        <f>MIN($F19:$J19)=I19</f>
        <v>0</v>
      </c>
      <c r="P19" t="b">
        <f>MIN($F19:$J19)=J19</f>
        <v>0</v>
      </c>
    </row>
    <row r="20" spans="1:16">
      <c r="A20" s="31">
        <v>2</v>
      </c>
      <c r="B20" s="31" t="s">
        <v>84</v>
      </c>
      <c r="C20" s="31" t="s">
        <v>85</v>
      </c>
      <c r="D20" s="31" t="s">
        <v>83</v>
      </c>
      <c r="E20" s="94">
        <f t="shared" si="0"/>
        <v>82</v>
      </c>
      <c r="F20" s="31">
        <v>4</v>
      </c>
      <c r="G20" s="31">
        <v>5</v>
      </c>
      <c r="H20" s="31">
        <v>9</v>
      </c>
      <c r="I20" s="31">
        <v>43</v>
      </c>
      <c r="J20" s="31">
        <v>21</v>
      </c>
      <c r="L20" t="b">
        <f t="shared" ref="L20:L28" si="1">MIN($F20:$J20)=F20</f>
        <v>1</v>
      </c>
      <c r="M20" t="b">
        <f t="shared" ref="M20:M28" si="2">MIN($F20:$J20)=G20</f>
        <v>0</v>
      </c>
      <c r="N20" t="b">
        <f t="shared" ref="N20:N28" si="3">MIN($F20:$J20)=H20</f>
        <v>0</v>
      </c>
      <c r="O20" t="b">
        <f t="shared" ref="O20:O28" si="4">MIN($F20:$J20)=I20</f>
        <v>0</v>
      </c>
      <c r="P20" t="b">
        <f t="shared" ref="P20:P28" si="5">MIN($F20:$J20)=J20</f>
        <v>0</v>
      </c>
    </row>
    <row r="21" spans="1:16">
      <c r="A21" s="31">
        <v>3</v>
      </c>
      <c r="B21" s="31" t="s">
        <v>81</v>
      </c>
      <c r="C21" s="31" t="s">
        <v>86</v>
      </c>
      <c r="D21" s="31" t="s">
        <v>83</v>
      </c>
      <c r="E21" s="94">
        <f t="shared" si="0"/>
        <v>107</v>
      </c>
      <c r="F21" s="31">
        <v>7</v>
      </c>
      <c r="G21" s="31">
        <v>4</v>
      </c>
      <c r="H21" s="31">
        <v>56</v>
      </c>
      <c r="I21" s="31">
        <v>5</v>
      </c>
      <c r="J21" s="31">
        <v>35</v>
      </c>
      <c r="L21" t="b">
        <f t="shared" si="1"/>
        <v>0</v>
      </c>
      <c r="M21" t="b">
        <f t="shared" si="2"/>
        <v>1</v>
      </c>
      <c r="N21" t="b">
        <f t="shared" si="3"/>
        <v>0</v>
      </c>
      <c r="O21" t="b">
        <f t="shared" si="4"/>
        <v>0</v>
      </c>
      <c r="P21" t="b">
        <f t="shared" si="5"/>
        <v>0</v>
      </c>
    </row>
    <row r="22" spans="1:16">
      <c r="A22" s="31">
        <v>4</v>
      </c>
      <c r="B22" s="31" t="s">
        <v>84</v>
      </c>
      <c r="C22" s="31" t="s">
        <v>87</v>
      </c>
      <c r="D22" s="31" t="s">
        <v>83</v>
      </c>
      <c r="E22" s="94">
        <f t="shared" si="0"/>
        <v>230</v>
      </c>
      <c r="F22" s="31">
        <v>66</v>
      </c>
      <c r="G22" s="31">
        <v>43</v>
      </c>
      <c r="H22" s="31">
        <v>45</v>
      </c>
      <c r="I22" s="31">
        <v>9</v>
      </c>
      <c r="J22" s="31">
        <v>67</v>
      </c>
      <c r="L22" t="b">
        <f t="shared" si="1"/>
        <v>0</v>
      </c>
      <c r="M22" t="b">
        <f t="shared" si="2"/>
        <v>0</v>
      </c>
      <c r="N22" t="b">
        <f t="shared" si="3"/>
        <v>0</v>
      </c>
      <c r="O22" t="b">
        <f t="shared" si="4"/>
        <v>1</v>
      </c>
      <c r="P22" t="b">
        <f t="shared" si="5"/>
        <v>0</v>
      </c>
    </row>
    <row r="23" spans="1:16">
      <c r="A23" s="31">
        <v>5</v>
      </c>
      <c r="B23" s="31" t="s">
        <v>81</v>
      </c>
      <c r="C23" s="31" t="s">
        <v>88</v>
      </c>
      <c r="D23" s="31" t="s">
        <v>83</v>
      </c>
      <c r="E23" s="94">
        <f t="shared" si="0"/>
        <v>73</v>
      </c>
      <c r="F23" s="31">
        <v>7</v>
      </c>
      <c r="G23" s="31">
        <v>35</v>
      </c>
      <c r="H23" s="31">
        <v>23</v>
      </c>
      <c r="I23" s="31">
        <v>0</v>
      </c>
      <c r="J23" s="31">
        <v>8</v>
      </c>
      <c r="L23" t="b">
        <f t="shared" si="1"/>
        <v>0</v>
      </c>
      <c r="M23" t="b">
        <f t="shared" si="2"/>
        <v>0</v>
      </c>
      <c r="N23" t="b">
        <f t="shared" si="3"/>
        <v>0</v>
      </c>
      <c r="O23" t="b">
        <f t="shared" si="4"/>
        <v>1</v>
      </c>
      <c r="P23" t="b">
        <f t="shared" si="5"/>
        <v>0</v>
      </c>
    </row>
    <row r="24" spans="1:16">
      <c r="A24" s="31">
        <v>6</v>
      </c>
      <c r="B24" s="31" t="s">
        <v>84</v>
      </c>
      <c r="C24" s="31" t="s">
        <v>89</v>
      </c>
      <c r="D24" s="31" t="s">
        <v>83</v>
      </c>
      <c r="E24" s="94">
        <f t="shared" si="0"/>
        <v>262</v>
      </c>
      <c r="F24" s="31">
        <v>77</v>
      </c>
      <c r="G24" s="31">
        <v>0</v>
      </c>
      <c r="H24" s="31">
        <v>94</v>
      </c>
      <c r="I24" s="31">
        <v>1</v>
      </c>
      <c r="J24" s="31">
        <v>90</v>
      </c>
      <c r="L24" t="b">
        <f t="shared" si="1"/>
        <v>0</v>
      </c>
      <c r="M24" t="b">
        <f t="shared" si="2"/>
        <v>1</v>
      </c>
      <c r="N24" t="b">
        <f t="shared" si="3"/>
        <v>0</v>
      </c>
      <c r="O24" t="b">
        <f t="shared" si="4"/>
        <v>0</v>
      </c>
      <c r="P24" t="b">
        <f t="shared" si="5"/>
        <v>0</v>
      </c>
    </row>
    <row r="25" spans="1:16">
      <c r="A25" s="31">
        <v>7</v>
      </c>
      <c r="B25" s="31" t="s">
        <v>81</v>
      </c>
      <c r="C25" s="31" t="s">
        <v>90</v>
      </c>
      <c r="D25" s="31" t="s">
        <v>83</v>
      </c>
      <c r="E25" s="94">
        <f t="shared" si="0"/>
        <v>139</v>
      </c>
      <c r="F25" s="31">
        <v>66</v>
      </c>
      <c r="G25" s="31">
        <v>6</v>
      </c>
      <c r="H25" s="31">
        <v>12</v>
      </c>
      <c r="I25" s="31">
        <v>55</v>
      </c>
      <c r="J25" s="31">
        <v>0</v>
      </c>
      <c r="L25" t="b">
        <f t="shared" si="1"/>
        <v>0</v>
      </c>
      <c r="M25" t="b">
        <f t="shared" si="2"/>
        <v>0</v>
      </c>
      <c r="N25" t="b">
        <f t="shared" si="3"/>
        <v>0</v>
      </c>
      <c r="O25" t="b">
        <f t="shared" si="4"/>
        <v>0</v>
      </c>
      <c r="P25" t="b">
        <f t="shared" si="5"/>
        <v>1</v>
      </c>
    </row>
    <row r="26" spans="1:16">
      <c r="A26" s="31">
        <v>8</v>
      </c>
      <c r="B26" s="31" t="s">
        <v>84</v>
      </c>
      <c r="C26" s="31" t="s">
        <v>91</v>
      </c>
      <c r="D26" s="31" t="s">
        <v>83</v>
      </c>
      <c r="E26" s="94">
        <f t="shared" si="0"/>
        <v>267</v>
      </c>
      <c r="F26" s="31">
        <v>56</v>
      </c>
      <c r="G26" s="31">
        <v>82</v>
      </c>
      <c r="H26" s="31">
        <v>37</v>
      </c>
      <c r="I26" s="31">
        <v>77</v>
      </c>
      <c r="J26" s="31">
        <v>15</v>
      </c>
      <c r="L26" t="b">
        <f t="shared" si="1"/>
        <v>0</v>
      </c>
      <c r="M26" t="b">
        <f t="shared" si="2"/>
        <v>0</v>
      </c>
      <c r="N26" t="b">
        <f t="shared" si="3"/>
        <v>0</v>
      </c>
      <c r="O26" t="b">
        <f t="shared" si="4"/>
        <v>0</v>
      </c>
      <c r="P26" t="b">
        <f t="shared" si="5"/>
        <v>1</v>
      </c>
    </row>
    <row r="27" spans="1:16">
      <c r="A27" s="31">
        <v>9</v>
      </c>
      <c r="B27" s="31" t="s">
        <v>81</v>
      </c>
      <c r="C27" s="31" t="s">
        <v>92</v>
      </c>
      <c r="D27" s="31" t="s">
        <v>83</v>
      </c>
      <c r="E27" s="94">
        <f t="shared" si="0"/>
        <v>289</v>
      </c>
      <c r="F27" s="31">
        <v>79</v>
      </c>
      <c r="G27" s="31">
        <v>14</v>
      </c>
      <c r="H27" s="31">
        <v>83</v>
      </c>
      <c r="I27" s="31">
        <v>51</v>
      </c>
      <c r="J27" s="31">
        <v>62</v>
      </c>
      <c r="L27" t="b">
        <f t="shared" si="1"/>
        <v>0</v>
      </c>
      <c r="M27" t="b">
        <f t="shared" si="2"/>
        <v>1</v>
      </c>
      <c r="N27" t="b">
        <f t="shared" si="3"/>
        <v>0</v>
      </c>
      <c r="O27" t="b">
        <f t="shared" si="4"/>
        <v>0</v>
      </c>
      <c r="P27" t="b">
        <f t="shared" si="5"/>
        <v>0</v>
      </c>
    </row>
    <row r="28" spans="1:16">
      <c r="A28" s="31">
        <v>10</v>
      </c>
      <c r="B28" s="31" t="s">
        <v>84</v>
      </c>
      <c r="C28" s="31" t="s">
        <v>93</v>
      </c>
      <c r="D28" s="31" t="s">
        <v>83</v>
      </c>
      <c r="E28" s="94">
        <f t="shared" si="0"/>
        <v>111</v>
      </c>
      <c r="F28" s="31">
        <v>42</v>
      </c>
      <c r="G28" s="31">
        <v>2</v>
      </c>
      <c r="H28" s="31">
        <v>0</v>
      </c>
      <c r="I28" s="31">
        <v>29</v>
      </c>
      <c r="J28" s="31">
        <v>38</v>
      </c>
      <c r="L28" t="b">
        <f t="shared" si="1"/>
        <v>0</v>
      </c>
      <c r="M28" t="b">
        <f t="shared" si="2"/>
        <v>0</v>
      </c>
      <c r="N28" t="b">
        <f t="shared" si="3"/>
        <v>1</v>
      </c>
      <c r="O28" t="b">
        <f t="shared" si="4"/>
        <v>0</v>
      </c>
      <c r="P28" t="b">
        <f t="shared" si="5"/>
        <v>0</v>
      </c>
    </row>
  </sheetData>
  <mergeCells count="4">
    <mergeCell ref="E1:F1"/>
    <mergeCell ref="A2:F2"/>
    <mergeCell ref="A3:F3"/>
    <mergeCell ref="A17:J17"/>
  </mergeCells>
  <conditionalFormatting sqref="F19:J28">
    <cfRule type="expression" dxfId="0" priority="1">
      <formula>MIN($F19:$J19)=F19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"/>
  <sheetViews>
    <sheetView workbookViewId="0">
      <selection activeCell="O3" sqref="O3"/>
    </sheetView>
  </sheetViews>
  <sheetFormatPr defaultColWidth="9.14285714285714" defaultRowHeight="15"/>
  <cols>
    <col min="1" max="1" width="5.57142857142857" customWidth="1"/>
    <col min="2" max="2" width="5" customWidth="1"/>
    <col min="3" max="3" width="5.57142857142857" customWidth="1"/>
    <col min="4" max="4" width="5.71428571428571" customWidth="1"/>
    <col min="5" max="6" width="5.57142857142857" customWidth="1"/>
    <col min="7" max="7" width="5" customWidth="1"/>
    <col min="8" max="8" width="5.57142857142857" customWidth="1"/>
    <col min="9" max="9" width="5.42857142857143" customWidth="1"/>
    <col min="10" max="11" width="5.57142857142857" customWidth="1"/>
    <col min="12" max="12" width="5.71428571428571" customWidth="1"/>
    <col min="13" max="13" width="5.57142857142857" customWidth="1"/>
    <col min="14" max="14" width="5" customWidth="1"/>
    <col min="15" max="15" width="4.71428571428571" customWidth="1"/>
    <col min="19" max="19" width="5.57142857142857" customWidth="1"/>
    <col min="20" max="20" width="5" customWidth="1"/>
    <col min="21" max="21" width="5.57142857142857" customWidth="1"/>
    <col min="22" max="22" width="5.71428571428571" customWidth="1"/>
    <col min="23" max="26" width="5.57142857142857" customWidth="1"/>
    <col min="27" max="27" width="5.42857142857143" customWidth="1"/>
    <col min="28" max="29" width="5.57142857142857" customWidth="1"/>
    <col min="30" max="30" width="5.71428571428571" customWidth="1"/>
    <col min="31" max="31" width="5.57142857142857" customWidth="1"/>
  </cols>
  <sheetData>
    <row r="1" ht="24" customHeight="1" spans="1:15">
      <c r="A1" s="31" t="s">
        <v>96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88"/>
      <c r="O1" s="88"/>
    </row>
    <row r="2" ht="24" customHeight="1" spans="1:31">
      <c r="A2" s="31"/>
      <c r="B2" s="82" t="s">
        <v>97</v>
      </c>
      <c r="C2" s="31" t="s">
        <v>98</v>
      </c>
      <c r="D2" s="31" t="s">
        <v>99</v>
      </c>
      <c r="E2" s="31" t="s">
        <v>100</v>
      </c>
      <c r="F2" s="31" t="s">
        <v>101</v>
      </c>
      <c r="G2" s="31" t="s">
        <v>102</v>
      </c>
      <c r="H2" s="31" t="s">
        <v>103</v>
      </c>
      <c r="I2" s="31" t="s">
        <v>104</v>
      </c>
      <c r="J2" s="31" t="s">
        <v>105</v>
      </c>
      <c r="K2" s="31" t="s">
        <v>106</v>
      </c>
      <c r="L2" s="31" t="s">
        <v>107</v>
      </c>
      <c r="M2" s="31" t="s">
        <v>108</v>
      </c>
      <c r="S2" s="31"/>
      <c r="T2" s="31" t="s">
        <v>97</v>
      </c>
      <c r="U2" s="31" t="s">
        <v>98</v>
      </c>
      <c r="V2" s="31" t="s">
        <v>99</v>
      </c>
      <c r="W2" s="31" t="s">
        <v>100</v>
      </c>
      <c r="X2" s="31" t="s">
        <v>101</v>
      </c>
      <c r="Y2" s="31" t="s">
        <v>102</v>
      </c>
      <c r="Z2" s="31" t="s">
        <v>103</v>
      </c>
      <c r="AA2" s="31" t="s">
        <v>104</v>
      </c>
      <c r="AB2" s="31" t="s">
        <v>105</v>
      </c>
      <c r="AC2" s="31" t="s">
        <v>106</v>
      </c>
      <c r="AD2" s="31" t="s">
        <v>107</v>
      </c>
      <c r="AE2" s="31" t="s">
        <v>108</v>
      </c>
    </row>
    <row r="3" ht="24" customHeight="1" spans="1:31">
      <c r="A3" s="31">
        <v>2009</v>
      </c>
      <c r="B3" s="83">
        <v>13</v>
      </c>
      <c r="C3" s="84">
        <v>20</v>
      </c>
      <c r="D3" s="84">
        <v>28</v>
      </c>
      <c r="E3" s="84">
        <v>35</v>
      </c>
      <c r="F3" s="84">
        <v>42</v>
      </c>
      <c r="G3" s="84">
        <v>38</v>
      </c>
      <c r="H3" s="84">
        <v>37</v>
      </c>
      <c r="I3" s="84">
        <v>34</v>
      </c>
      <c r="J3" s="84">
        <v>30</v>
      </c>
      <c r="K3" s="84">
        <v>28</v>
      </c>
      <c r="L3" s="84">
        <v>25</v>
      </c>
      <c r="M3" s="89">
        <v>18</v>
      </c>
      <c r="N3" s="77"/>
      <c r="O3" s="77"/>
      <c r="S3" s="31">
        <v>2009</v>
      </c>
      <c r="T3" s="31">
        <v>13</v>
      </c>
      <c r="U3" s="31">
        <v>20</v>
      </c>
      <c r="V3" s="31">
        <v>28</v>
      </c>
      <c r="W3" s="31">
        <v>35</v>
      </c>
      <c r="X3" s="31">
        <v>38</v>
      </c>
      <c r="Y3" s="31">
        <v>42</v>
      </c>
      <c r="Z3" s="31">
        <v>37</v>
      </c>
      <c r="AA3" s="31">
        <v>34</v>
      </c>
      <c r="AB3" s="31">
        <v>30</v>
      </c>
      <c r="AC3" s="31">
        <v>28</v>
      </c>
      <c r="AD3" s="31">
        <v>25</v>
      </c>
      <c r="AE3" s="31">
        <v>22</v>
      </c>
    </row>
    <row r="4" ht="24" customHeight="1" spans="1:31">
      <c r="A4" s="31">
        <v>2010</v>
      </c>
      <c r="B4" s="85">
        <v>14</v>
      </c>
      <c r="C4" s="77">
        <v>18</v>
      </c>
      <c r="D4" s="77">
        <v>29</v>
      </c>
      <c r="E4" s="77">
        <v>33</v>
      </c>
      <c r="F4" s="77">
        <v>40</v>
      </c>
      <c r="G4" s="77">
        <v>35</v>
      </c>
      <c r="H4" s="77">
        <v>35</v>
      </c>
      <c r="I4" s="77">
        <v>35</v>
      </c>
      <c r="J4" s="77">
        <v>29</v>
      </c>
      <c r="K4" s="77">
        <v>29</v>
      </c>
      <c r="L4" s="77">
        <v>23</v>
      </c>
      <c r="M4" s="90">
        <v>19</v>
      </c>
      <c r="N4" s="77"/>
      <c r="O4" s="77"/>
      <c r="S4" s="31">
        <v>2010</v>
      </c>
      <c r="T4" s="31">
        <v>14</v>
      </c>
      <c r="U4" s="31">
        <v>18</v>
      </c>
      <c r="V4" s="31">
        <v>29</v>
      </c>
      <c r="W4" s="31">
        <v>33</v>
      </c>
      <c r="X4" s="31">
        <v>35</v>
      </c>
      <c r="Y4" s="31">
        <v>40</v>
      </c>
      <c r="Z4" s="31">
        <v>35</v>
      </c>
      <c r="AA4" s="31">
        <v>35</v>
      </c>
      <c r="AB4" s="31">
        <v>29</v>
      </c>
      <c r="AC4" s="31">
        <v>29</v>
      </c>
      <c r="AD4" s="31">
        <v>23</v>
      </c>
      <c r="AE4" s="31">
        <v>22</v>
      </c>
    </row>
    <row r="5" ht="24" customHeight="1" spans="1:31">
      <c r="A5" s="31">
        <v>2011</v>
      </c>
      <c r="B5" s="85">
        <v>13</v>
      </c>
      <c r="C5" s="77">
        <v>19</v>
      </c>
      <c r="D5" s="77">
        <v>27</v>
      </c>
      <c r="E5" s="77">
        <v>36</v>
      </c>
      <c r="F5" s="77">
        <v>41</v>
      </c>
      <c r="G5" s="77">
        <v>36</v>
      </c>
      <c r="H5" s="77">
        <v>36</v>
      </c>
      <c r="I5" s="77">
        <v>35</v>
      </c>
      <c r="J5" s="77">
        <v>31</v>
      </c>
      <c r="K5" s="77">
        <v>29</v>
      </c>
      <c r="L5" s="77">
        <v>24</v>
      </c>
      <c r="M5" s="90">
        <v>17</v>
      </c>
      <c r="N5" s="77"/>
      <c r="O5" s="77"/>
      <c r="S5" s="31">
        <v>2011</v>
      </c>
      <c r="T5" s="31">
        <v>13</v>
      </c>
      <c r="U5" s="31">
        <v>19</v>
      </c>
      <c r="V5" s="31">
        <v>27</v>
      </c>
      <c r="W5" s="31">
        <v>36</v>
      </c>
      <c r="X5" s="31">
        <v>36</v>
      </c>
      <c r="Y5" s="31">
        <v>41</v>
      </c>
      <c r="Z5" s="31">
        <v>36</v>
      </c>
      <c r="AA5" s="31">
        <v>35</v>
      </c>
      <c r="AB5" s="31">
        <v>31</v>
      </c>
      <c r="AC5" s="31">
        <v>29</v>
      </c>
      <c r="AD5" s="31">
        <v>24</v>
      </c>
      <c r="AE5" s="31">
        <v>21</v>
      </c>
    </row>
    <row r="6" ht="24" customHeight="1" spans="1:31">
      <c r="A6" s="31">
        <v>2012</v>
      </c>
      <c r="B6" s="85">
        <v>15</v>
      </c>
      <c r="C6" s="77">
        <v>21</v>
      </c>
      <c r="D6" s="77">
        <v>30</v>
      </c>
      <c r="E6" s="77">
        <v>34</v>
      </c>
      <c r="F6" s="77">
        <v>42</v>
      </c>
      <c r="G6" s="77">
        <v>37</v>
      </c>
      <c r="H6" s="77">
        <v>34</v>
      </c>
      <c r="I6" s="77">
        <v>36</v>
      </c>
      <c r="J6" s="77">
        <v>30</v>
      </c>
      <c r="K6" s="77">
        <v>27</v>
      </c>
      <c r="L6" s="77">
        <v>23</v>
      </c>
      <c r="M6" s="90">
        <v>16</v>
      </c>
      <c r="N6" s="77"/>
      <c r="O6" s="77"/>
      <c r="S6" s="31">
        <v>2012</v>
      </c>
      <c r="T6" s="31">
        <v>15</v>
      </c>
      <c r="U6" s="31">
        <v>21</v>
      </c>
      <c r="V6" s="31">
        <v>30</v>
      </c>
      <c r="W6" s="31">
        <v>34</v>
      </c>
      <c r="X6" s="31">
        <v>37</v>
      </c>
      <c r="Y6" s="31">
        <v>42</v>
      </c>
      <c r="Z6" s="31">
        <v>34</v>
      </c>
      <c r="AA6" s="31">
        <v>36</v>
      </c>
      <c r="AB6" s="31">
        <v>30</v>
      </c>
      <c r="AC6" s="31">
        <v>27</v>
      </c>
      <c r="AD6" s="31">
        <v>23</v>
      </c>
      <c r="AE6" s="31">
        <v>22</v>
      </c>
    </row>
    <row r="7" ht="24" customHeight="1" spans="1:31">
      <c r="A7" s="31">
        <v>2013</v>
      </c>
      <c r="B7" s="85">
        <v>15</v>
      </c>
      <c r="C7" s="77">
        <v>20</v>
      </c>
      <c r="D7" s="77">
        <v>29.5</v>
      </c>
      <c r="E7" s="77">
        <v>35.5</v>
      </c>
      <c r="F7" s="77">
        <v>39</v>
      </c>
      <c r="G7" s="77">
        <v>35</v>
      </c>
      <c r="H7" s="77">
        <v>36</v>
      </c>
      <c r="I7" s="77">
        <v>33</v>
      </c>
      <c r="J7" s="77">
        <v>30</v>
      </c>
      <c r="K7" s="77">
        <v>26</v>
      </c>
      <c r="L7" s="77">
        <v>22</v>
      </c>
      <c r="M7" s="90">
        <v>17</v>
      </c>
      <c r="N7" s="77"/>
      <c r="O7" s="77"/>
      <c r="S7" s="31">
        <v>2013</v>
      </c>
      <c r="T7" s="31">
        <v>15</v>
      </c>
      <c r="U7" s="31">
        <v>20.5</v>
      </c>
      <c r="V7" s="31">
        <v>29.5</v>
      </c>
      <c r="W7" s="31">
        <v>35.5</v>
      </c>
      <c r="X7" s="31">
        <v>35</v>
      </c>
      <c r="Y7" s="31">
        <v>39</v>
      </c>
      <c r="Z7" s="31">
        <v>36</v>
      </c>
      <c r="AA7" s="31">
        <v>33</v>
      </c>
      <c r="AB7" s="31">
        <v>30</v>
      </c>
      <c r="AC7" s="31">
        <v>26</v>
      </c>
      <c r="AD7" s="31">
        <v>22</v>
      </c>
      <c r="AE7" s="31">
        <v>19</v>
      </c>
    </row>
    <row r="8" ht="24" customHeight="1" spans="1:31">
      <c r="A8" s="31">
        <v>2014</v>
      </c>
      <c r="B8" s="85">
        <v>12</v>
      </c>
      <c r="C8" s="77">
        <v>20.9</v>
      </c>
      <c r="D8" s="77">
        <v>29.9</v>
      </c>
      <c r="E8" s="77">
        <v>34.5</v>
      </c>
      <c r="F8" s="77">
        <v>40</v>
      </c>
      <c r="G8" s="77">
        <v>38</v>
      </c>
      <c r="H8" s="77">
        <v>37</v>
      </c>
      <c r="I8" s="77">
        <v>34</v>
      </c>
      <c r="J8" s="77">
        <v>31</v>
      </c>
      <c r="K8" s="77">
        <v>28</v>
      </c>
      <c r="L8" s="77">
        <v>23</v>
      </c>
      <c r="M8" s="90">
        <v>18</v>
      </c>
      <c r="N8" s="77"/>
      <c r="O8" s="77"/>
      <c r="S8" s="31">
        <v>2014</v>
      </c>
      <c r="T8" s="31">
        <v>12</v>
      </c>
      <c r="U8" s="31">
        <v>20.9</v>
      </c>
      <c r="V8" s="31">
        <v>29.9</v>
      </c>
      <c r="W8" s="31">
        <v>34.5</v>
      </c>
      <c r="X8" s="31">
        <v>38</v>
      </c>
      <c r="Y8" s="31">
        <v>40</v>
      </c>
      <c r="Z8" s="31">
        <v>37</v>
      </c>
      <c r="AA8" s="31">
        <v>34</v>
      </c>
      <c r="AB8" s="31">
        <v>31</v>
      </c>
      <c r="AC8" s="31">
        <v>28</v>
      </c>
      <c r="AD8" s="31">
        <v>23</v>
      </c>
      <c r="AE8" s="31">
        <v>19.5</v>
      </c>
    </row>
    <row r="9" ht="24" customHeight="1" spans="1:31">
      <c r="A9" s="31">
        <v>2015</v>
      </c>
      <c r="B9" s="85">
        <v>15</v>
      </c>
      <c r="C9" s="77">
        <v>19</v>
      </c>
      <c r="D9" s="77">
        <v>30.3</v>
      </c>
      <c r="E9" s="77">
        <v>36.5</v>
      </c>
      <c r="F9" s="77">
        <v>41</v>
      </c>
      <c r="G9" s="77">
        <v>39</v>
      </c>
      <c r="H9" s="77">
        <v>38</v>
      </c>
      <c r="I9" s="77">
        <v>35</v>
      </c>
      <c r="J9" s="77">
        <v>32</v>
      </c>
      <c r="K9" s="77">
        <v>27</v>
      </c>
      <c r="L9" s="77">
        <v>25</v>
      </c>
      <c r="M9" s="90">
        <v>16</v>
      </c>
      <c r="N9" s="77"/>
      <c r="O9" s="77"/>
      <c r="S9" s="31">
        <v>2015</v>
      </c>
      <c r="T9" s="31">
        <v>15</v>
      </c>
      <c r="U9" s="31">
        <v>21.3</v>
      </c>
      <c r="V9" s="31">
        <v>30.3</v>
      </c>
      <c r="W9" s="31">
        <v>36.5</v>
      </c>
      <c r="X9" s="31">
        <v>39</v>
      </c>
      <c r="Y9" s="31">
        <v>41</v>
      </c>
      <c r="Z9" s="31">
        <v>38</v>
      </c>
      <c r="AA9" s="31">
        <v>35</v>
      </c>
      <c r="AB9" s="31">
        <v>32</v>
      </c>
      <c r="AC9" s="31">
        <v>27</v>
      </c>
      <c r="AD9" s="31">
        <v>25</v>
      </c>
      <c r="AE9" s="31">
        <v>21</v>
      </c>
    </row>
    <row r="10" ht="24" customHeight="1" spans="1:31">
      <c r="A10" s="31">
        <v>2016</v>
      </c>
      <c r="B10" s="85">
        <v>12</v>
      </c>
      <c r="C10" s="77">
        <v>20</v>
      </c>
      <c r="D10" s="77">
        <v>30.7</v>
      </c>
      <c r="E10" s="77">
        <v>34.5</v>
      </c>
      <c r="F10" s="77">
        <v>39.5</v>
      </c>
      <c r="G10" s="77">
        <v>37</v>
      </c>
      <c r="H10" s="77">
        <v>35</v>
      </c>
      <c r="I10" s="77">
        <v>32</v>
      </c>
      <c r="J10" s="77">
        <v>29</v>
      </c>
      <c r="K10" s="77">
        <v>27</v>
      </c>
      <c r="L10" s="77">
        <v>24</v>
      </c>
      <c r="M10" s="90">
        <v>17.5</v>
      </c>
      <c r="N10" s="77"/>
      <c r="O10" s="77"/>
      <c r="S10" s="31">
        <v>2016</v>
      </c>
      <c r="T10" s="31">
        <v>12</v>
      </c>
      <c r="U10" s="31">
        <v>21.7</v>
      </c>
      <c r="V10" s="31">
        <v>30.7</v>
      </c>
      <c r="W10" s="31">
        <v>34.5</v>
      </c>
      <c r="X10" s="31">
        <v>37</v>
      </c>
      <c r="Y10" s="31">
        <v>39</v>
      </c>
      <c r="Z10" s="31">
        <v>35</v>
      </c>
      <c r="AA10" s="31">
        <v>32</v>
      </c>
      <c r="AB10" s="31">
        <v>29</v>
      </c>
      <c r="AC10" s="31">
        <v>27</v>
      </c>
      <c r="AD10" s="31">
        <v>24</v>
      </c>
      <c r="AE10" s="31">
        <v>22</v>
      </c>
    </row>
    <row r="11" ht="24" customHeight="1" spans="1:31">
      <c r="A11" s="31">
        <v>2017</v>
      </c>
      <c r="B11" s="85">
        <v>14</v>
      </c>
      <c r="C11" s="77">
        <v>21</v>
      </c>
      <c r="D11" s="77">
        <v>31.1</v>
      </c>
      <c r="E11" s="77">
        <v>35.5</v>
      </c>
      <c r="F11" s="77">
        <v>43</v>
      </c>
      <c r="G11" s="77">
        <v>40</v>
      </c>
      <c r="H11" s="77">
        <v>38</v>
      </c>
      <c r="I11" s="77">
        <v>33</v>
      </c>
      <c r="J11" s="77">
        <v>29.5</v>
      </c>
      <c r="K11" s="77">
        <v>26.5</v>
      </c>
      <c r="L11" s="77">
        <v>24.5</v>
      </c>
      <c r="M11" s="90">
        <v>17</v>
      </c>
      <c r="N11" s="77"/>
      <c r="O11" s="77"/>
      <c r="S11" s="31">
        <v>2017</v>
      </c>
      <c r="T11" s="31">
        <v>14</v>
      </c>
      <c r="U11" s="31">
        <v>22.1</v>
      </c>
      <c r="V11" s="31">
        <v>31.1</v>
      </c>
      <c r="W11" s="31">
        <v>35.5</v>
      </c>
      <c r="X11" s="31">
        <v>40</v>
      </c>
      <c r="Y11" s="31">
        <v>43</v>
      </c>
      <c r="Z11" s="31">
        <v>38</v>
      </c>
      <c r="AA11" s="31">
        <v>33</v>
      </c>
      <c r="AB11" s="31">
        <v>29.5</v>
      </c>
      <c r="AC11" s="31">
        <v>26.5</v>
      </c>
      <c r="AD11" s="31">
        <v>24.5</v>
      </c>
      <c r="AE11" s="31">
        <v>21.5</v>
      </c>
    </row>
    <row r="12" ht="24" customHeight="1" spans="1:31">
      <c r="A12" s="31">
        <v>2018</v>
      </c>
      <c r="B12" s="85">
        <v>14</v>
      </c>
      <c r="C12" s="77">
        <v>18</v>
      </c>
      <c r="D12" s="77">
        <v>31.5</v>
      </c>
      <c r="E12" s="77">
        <v>34.5</v>
      </c>
      <c r="F12" s="77">
        <v>40</v>
      </c>
      <c r="G12" s="77">
        <v>38</v>
      </c>
      <c r="H12" s="77">
        <v>36</v>
      </c>
      <c r="I12" s="77">
        <v>34</v>
      </c>
      <c r="J12" s="77">
        <v>30</v>
      </c>
      <c r="K12" s="77">
        <v>28</v>
      </c>
      <c r="L12" s="77">
        <v>25</v>
      </c>
      <c r="M12" s="90">
        <v>19</v>
      </c>
      <c r="N12" s="77"/>
      <c r="O12" s="77"/>
      <c r="S12" s="31">
        <v>2018</v>
      </c>
      <c r="T12" s="31">
        <v>14</v>
      </c>
      <c r="U12" s="31">
        <v>22.5</v>
      </c>
      <c r="V12" s="31">
        <v>31.5</v>
      </c>
      <c r="W12" s="31">
        <v>34.5</v>
      </c>
      <c r="X12" s="31">
        <v>38</v>
      </c>
      <c r="Y12" s="31">
        <v>40</v>
      </c>
      <c r="Z12" s="31">
        <v>36</v>
      </c>
      <c r="AA12" s="31">
        <v>34</v>
      </c>
      <c r="AB12" s="31">
        <v>30</v>
      </c>
      <c r="AC12" s="31">
        <v>28</v>
      </c>
      <c r="AD12" s="31">
        <v>25</v>
      </c>
      <c r="AE12" s="31">
        <v>22.5</v>
      </c>
    </row>
    <row r="13" ht="24" customHeight="1" spans="1:31">
      <c r="A13" s="31">
        <v>2019</v>
      </c>
      <c r="B13" s="85">
        <v>12</v>
      </c>
      <c r="C13" s="77">
        <v>19</v>
      </c>
      <c r="D13" s="77">
        <v>31.9</v>
      </c>
      <c r="E13" s="77">
        <v>34.5</v>
      </c>
      <c r="F13" s="77">
        <v>42</v>
      </c>
      <c r="G13" s="77">
        <v>39</v>
      </c>
      <c r="H13" s="77">
        <v>37</v>
      </c>
      <c r="I13" s="77">
        <v>34</v>
      </c>
      <c r="J13" s="77">
        <v>31</v>
      </c>
      <c r="K13" s="77">
        <v>28.5</v>
      </c>
      <c r="L13" s="77">
        <v>25.5</v>
      </c>
      <c r="M13" s="90">
        <v>17</v>
      </c>
      <c r="N13" s="77"/>
      <c r="O13" s="77"/>
      <c r="S13" s="31">
        <v>2019</v>
      </c>
      <c r="T13" s="31">
        <v>12</v>
      </c>
      <c r="U13" s="31">
        <v>22.9</v>
      </c>
      <c r="V13" s="31">
        <v>31.9</v>
      </c>
      <c r="W13" s="31">
        <v>34.5</v>
      </c>
      <c r="X13" s="31">
        <v>39</v>
      </c>
      <c r="Y13" s="31">
        <v>42</v>
      </c>
      <c r="Z13" s="31">
        <v>37</v>
      </c>
      <c r="AA13" s="31">
        <v>34</v>
      </c>
      <c r="AB13" s="31">
        <v>31</v>
      </c>
      <c r="AC13" s="31">
        <v>28.5</v>
      </c>
      <c r="AD13" s="31">
        <v>25.5</v>
      </c>
      <c r="AE13" s="31">
        <v>23</v>
      </c>
    </row>
    <row r="14" ht="24" customHeight="1" spans="1:31">
      <c r="A14" s="31">
        <v>2020</v>
      </c>
      <c r="B14" s="86">
        <v>11</v>
      </c>
      <c r="C14" s="87">
        <v>21</v>
      </c>
      <c r="D14" s="87">
        <v>32.3</v>
      </c>
      <c r="E14" s="87">
        <v>35.5</v>
      </c>
      <c r="F14" s="87">
        <v>43.5</v>
      </c>
      <c r="G14" s="87">
        <v>40</v>
      </c>
      <c r="H14" s="87">
        <v>38.5</v>
      </c>
      <c r="I14" s="87">
        <v>36</v>
      </c>
      <c r="J14" s="87">
        <v>32.5</v>
      </c>
      <c r="K14" s="87">
        <v>30</v>
      </c>
      <c r="L14" s="87">
        <v>26</v>
      </c>
      <c r="M14" s="91">
        <v>18</v>
      </c>
      <c r="N14" s="77"/>
      <c r="O14" s="77"/>
      <c r="S14" s="31">
        <v>2020</v>
      </c>
      <c r="T14" s="31">
        <v>11</v>
      </c>
      <c r="U14" s="31">
        <v>23.3</v>
      </c>
      <c r="V14" s="31">
        <v>32.3</v>
      </c>
      <c r="W14" s="31">
        <v>35.5</v>
      </c>
      <c r="X14" s="31">
        <v>40</v>
      </c>
      <c r="Y14" s="31">
        <v>43.5</v>
      </c>
      <c r="Z14" s="31">
        <v>38.5</v>
      </c>
      <c r="AA14" s="31">
        <v>36</v>
      </c>
      <c r="AB14" s="31">
        <v>32.5</v>
      </c>
      <c r="AC14" s="31">
        <v>30</v>
      </c>
      <c r="AD14" s="31">
        <v>28</v>
      </c>
      <c r="AE14" s="31">
        <v>24</v>
      </c>
    </row>
  </sheetData>
  <mergeCells count="1">
    <mergeCell ref="A1:M1"/>
  </mergeCells>
  <conditionalFormatting sqref="B3:M14">
    <cfRule type="colorScale" priority="1">
      <colorScale>
        <cfvo type="min"/>
        <cfvo type="percentile" val="50"/>
        <cfvo type="max"/>
        <color theme="4" tint="-0.25"/>
        <color rgb="FFFFEB84"/>
        <color rgb="FFFF0000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D2" sqref="D2:D21"/>
    </sheetView>
  </sheetViews>
  <sheetFormatPr defaultColWidth="9.14285714285714" defaultRowHeight="15"/>
  <cols>
    <col min="1" max="1" width="8.85714285714286" style="61" customWidth="1"/>
    <col min="2" max="3" width="5.57142857142857" style="61" customWidth="1"/>
    <col min="4" max="4" width="11.5714285714286" style="61" customWidth="1"/>
    <col min="5" max="5" width="7.85714285714286" style="61" customWidth="1"/>
    <col min="6" max="6" width="9.14285714285714" style="61"/>
    <col min="7" max="7" width="9.14285714285714" style="61" customWidth="1"/>
    <col min="8" max="13" width="4.14285714285714" style="61" customWidth="1"/>
    <col min="14" max="16384" width="9.14285714285714" style="61"/>
  </cols>
  <sheetData>
    <row r="1" ht="30" spans="1:13">
      <c r="A1" s="73" t="s">
        <v>109</v>
      </c>
      <c r="B1" s="74" t="s">
        <v>110</v>
      </c>
      <c r="C1" s="74" t="s">
        <v>111</v>
      </c>
      <c r="D1" s="73" t="s">
        <v>112</v>
      </c>
      <c r="E1" s="73" t="s">
        <v>113</v>
      </c>
      <c r="G1" s="74" t="s">
        <v>114</v>
      </c>
      <c r="H1" s="79" t="s">
        <v>115</v>
      </c>
      <c r="I1" s="79" t="s">
        <v>116</v>
      </c>
      <c r="J1" s="79" t="s">
        <v>117</v>
      </c>
      <c r="K1" s="79" t="s">
        <v>118</v>
      </c>
      <c r="L1" s="79" t="s">
        <v>119</v>
      </c>
      <c r="M1" s="79" t="s">
        <v>120</v>
      </c>
    </row>
    <row r="2" spans="1:13">
      <c r="A2" s="65">
        <v>1</v>
      </c>
      <c r="B2" s="80">
        <f>SUM(H2:M2)</f>
        <v>4</v>
      </c>
      <c r="C2" s="80">
        <f>SUM(H22:M22)</f>
        <v>10</v>
      </c>
      <c r="D2" s="80">
        <f>SUM($B$2:B2)</f>
        <v>4</v>
      </c>
      <c r="E2" s="80">
        <f>SUM($C$2:C2)</f>
        <v>10</v>
      </c>
      <c r="G2" s="65">
        <v>1</v>
      </c>
      <c r="H2" s="31" t="s">
        <v>121</v>
      </c>
      <c r="I2" s="31">
        <v>1</v>
      </c>
      <c r="J2" s="31">
        <v>1</v>
      </c>
      <c r="K2" s="31">
        <v>2</v>
      </c>
      <c r="L2" s="31">
        <v>0</v>
      </c>
      <c r="M2" s="31">
        <v>0</v>
      </c>
    </row>
    <row r="3" spans="1:13">
      <c r="A3" s="65">
        <v>2</v>
      </c>
      <c r="B3" s="80">
        <f t="shared" ref="B3:B21" si="0">SUM(H3:M3)</f>
        <v>8</v>
      </c>
      <c r="C3" s="80">
        <f t="shared" ref="C3:C21" si="1">SUM(H23:M23)</f>
        <v>10</v>
      </c>
      <c r="D3" s="80">
        <f>SUM($B$2:B3)</f>
        <v>12</v>
      </c>
      <c r="E3" s="80">
        <f>SUM($C$2:C3)</f>
        <v>20</v>
      </c>
      <c r="G3" s="65">
        <v>2</v>
      </c>
      <c r="H3" s="79">
        <v>1</v>
      </c>
      <c r="I3" s="79">
        <v>1</v>
      </c>
      <c r="J3" s="79">
        <v>0</v>
      </c>
      <c r="K3" s="79">
        <v>1</v>
      </c>
      <c r="L3" s="79">
        <v>1</v>
      </c>
      <c r="M3" s="79">
        <v>4</v>
      </c>
    </row>
    <row r="4" spans="1:13">
      <c r="A4" s="65">
        <v>3</v>
      </c>
      <c r="B4" s="80">
        <f t="shared" si="0"/>
        <v>6</v>
      </c>
      <c r="C4" s="80">
        <f t="shared" si="1"/>
        <v>5</v>
      </c>
      <c r="D4" s="80">
        <f>SUM($B$2:B4)</f>
        <v>18</v>
      </c>
      <c r="E4" s="80">
        <f>SUM($C$2:C4)</f>
        <v>25</v>
      </c>
      <c r="G4" s="65">
        <v>3</v>
      </c>
      <c r="H4" s="79">
        <v>4</v>
      </c>
      <c r="I4" s="79">
        <v>0</v>
      </c>
      <c r="J4" s="79">
        <v>0</v>
      </c>
      <c r="K4" s="79">
        <v>1</v>
      </c>
      <c r="L4" s="79">
        <v>0</v>
      </c>
      <c r="M4" s="79">
        <v>1</v>
      </c>
    </row>
    <row r="5" spans="1:13">
      <c r="A5" s="65">
        <v>4</v>
      </c>
      <c r="B5" s="80">
        <f t="shared" si="0"/>
        <v>11</v>
      </c>
      <c r="C5" s="80">
        <f t="shared" si="1"/>
        <v>8</v>
      </c>
      <c r="D5" s="80">
        <f>SUM($B$2:B5)</f>
        <v>29</v>
      </c>
      <c r="E5" s="80">
        <f>SUM($C$2:C5)</f>
        <v>33</v>
      </c>
      <c r="G5" s="65">
        <v>4</v>
      </c>
      <c r="H5" s="79">
        <v>4</v>
      </c>
      <c r="I5" s="79">
        <v>0</v>
      </c>
      <c r="J5" s="79">
        <v>2</v>
      </c>
      <c r="K5" s="79">
        <v>4</v>
      </c>
      <c r="L5" s="79">
        <v>0</v>
      </c>
      <c r="M5" s="79">
        <v>1</v>
      </c>
    </row>
    <row r="6" spans="1:13">
      <c r="A6" s="65">
        <v>5</v>
      </c>
      <c r="B6" s="80">
        <f t="shared" si="0"/>
        <v>6</v>
      </c>
      <c r="C6" s="80">
        <f t="shared" si="1"/>
        <v>11</v>
      </c>
      <c r="D6" s="80">
        <f>SUM($B$2:B6)</f>
        <v>35</v>
      </c>
      <c r="E6" s="80">
        <f>SUM($C$2:C6)</f>
        <v>44</v>
      </c>
      <c r="G6" s="65">
        <v>5</v>
      </c>
      <c r="H6" s="79">
        <v>1</v>
      </c>
      <c r="I6" s="79">
        <v>0</v>
      </c>
      <c r="J6" s="79">
        <v>1</v>
      </c>
      <c r="K6" s="79">
        <v>2</v>
      </c>
      <c r="L6" s="79">
        <v>1</v>
      </c>
      <c r="M6" s="79">
        <v>1</v>
      </c>
    </row>
    <row r="7" spans="1:13">
      <c r="A7" s="65">
        <v>6</v>
      </c>
      <c r="B7" s="80">
        <f t="shared" si="0"/>
        <v>16</v>
      </c>
      <c r="C7" s="80">
        <f t="shared" si="1"/>
        <v>2</v>
      </c>
      <c r="D7" s="80">
        <f>SUM($B$2:B7)</f>
        <v>51</v>
      </c>
      <c r="E7" s="80">
        <f>SUM($C$2:C7)</f>
        <v>46</v>
      </c>
      <c r="G7" s="65">
        <v>6</v>
      </c>
      <c r="H7" s="79">
        <v>6</v>
      </c>
      <c r="I7" s="79">
        <v>5</v>
      </c>
      <c r="J7" s="79">
        <v>2</v>
      </c>
      <c r="K7" s="79">
        <v>2</v>
      </c>
      <c r="L7" s="79">
        <v>0</v>
      </c>
      <c r="M7" s="79">
        <v>1</v>
      </c>
    </row>
    <row r="8" spans="1:13">
      <c r="A8" s="65">
        <v>7</v>
      </c>
      <c r="B8" s="80">
        <f t="shared" si="0"/>
        <v>4</v>
      </c>
      <c r="C8" s="80">
        <f t="shared" si="1"/>
        <v>4</v>
      </c>
      <c r="D8" s="80">
        <f>SUM($B$2:B8)</f>
        <v>55</v>
      </c>
      <c r="E8" s="80">
        <f>SUM($C$2:C8)</f>
        <v>50</v>
      </c>
      <c r="G8" s="65">
        <v>7</v>
      </c>
      <c r="H8" s="79" t="s">
        <v>121</v>
      </c>
      <c r="I8" s="79">
        <v>1</v>
      </c>
      <c r="J8" s="79">
        <v>0</v>
      </c>
      <c r="K8" s="79">
        <v>0</v>
      </c>
      <c r="L8" s="79">
        <v>1</v>
      </c>
      <c r="M8" s="79">
        <v>2</v>
      </c>
    </row>
    <row r="9" spans="1:13">
      <c r="A9" s="65">
        <v>8</v>
      </c>
      <c r="B9" s="80">
        <f t="shared" si="0"/>
        <v>4</v>
      </c>
      <c r="C9" s="80">
        <f t="shared" si="1"/>
        <v>2</v>
      </c>
      <c r="D9" s="80">
        <f>SUM($B$2:B9)</f>
        <v>59</v>
      </c>
      <c r="E9" s="80">
        <f>SUM($C$2:C9)</f>
        <v>52</v>
      </c>
      <c r="G9" s="65">
        <v>8</v>
      </c>
      <c r="H9" s="79">
        <v>1</v>
      </c>
      <c r="I9" s="79">
        <v>0</v>
      </c>
      <c r="J9" s="79">
        <v>1</v>
      </c>
      <c r="K9" s="79">
        <v>1</v>
      </c>
      <c r="L9" s="79">
        <v>0</v>
      </c>
      <c r="M9" s="79">
        <v>1</v>
      </c>
    </row>
    <row r="10" spans="1:13">
      <c r="A10" s="65">
        <v>9</v>
      </c>
      <c r="B10" s="80">
        <f t="shared" si="0"/>
        <v>11</v>
      </c>
      <c r="C10" s="80">
        <f t="shared" si="1"/>
        <v>3</v>
      </c>
      <c r="D10" s="80">
        <f>SUM($B$2:B10)</f>
        <v>70</v>
      </c>
      <c r="E10" s="80">
        <f>SUM($C$2:C10)</f>
        <v>55</v>
      </c>
      <c r="G10" s="65">
        <v>9</v>
      </c>
      <c r="H10" s="79">
        <v>4</v>
      </c>
      <c r="I10" s="79">
        <v>0</v>
      </c>
      <c r="J10" s="79">
        <v>1</v>
      </c>
      <c r="K10" s="79">
        <v>1</v>
      </c>
      <c r="L10" s="79">
        <v>4</v>
      </c>
      <c r="M10" s="79">
        <v>1</v>
      </c>
    </row>
    <row r="11" spans="1:13">
      <c r="A11" s="65">
        <v>10</v>
      </c>
      <c r="B11" s="80">
        <f t="shared" si="0"/>
        <v>8</v>
      </c>
      <c r="C11" s="80">
        <f t="shared" si="1"/>
        <v>9</v>
      </c>
      <c r="D11" s="80">
        <f>SUM($B$2:B11)</f>
        <v>78</v>
      </c>
      <c r="E11" s="80">
        <f>SUM($C$2:C11)</f>
        <v>64</v>
      </c>
      <c r="G11" s="65">
        <v>10</v>
      </c>
      <c r="H11" s="79">
        <v>0</v>
      </c>
      <c r="I11" s="79">
        <v>4</v>
      </c>
      <c r="J11" s="79">
        <v>1</v>
      </c>
      <c r="K11" s="79">
        <v>1</v>
      </c>
      <c r="L11" s="79">
        <v>0</v>
      </c>
      <c r="M11" s="79">
        <v>2</v>
      </c>
    </row>
    <row r="12" spans="1:13">
      <c r="A12" s="65">
        <v>11</v>
      </c>
      <c r="B12" s="80">
        <f t="shared" si="0"/>
        <v>9</v>
      </c>
      <c r="C12" s="80">
        <f t="shared" si="1"/>
        <v>9</v>
      </c>
      <c r="D12" s="80">
        <f>SUM($B$2:B12)</f>
        <v>87</v>
      </c>
      <c r="E12" s="80">
        <f>SUM($C$2:C12)</f>
        <v>73</v>
      </c>
      <c r="G12" s="65">
        <v>11</v>
      </c>
      <c r="H12" s="79">
        <v>1</v>
      </c>
      <c r="I12" s="79">
        <v>4</v>
      </c>
      <c r="J12" s="79">
        <v>1</v>
      </c>
      <c r="K12" s="79">
        <v>1</v>
      </c>
      <c r="L12" s="79">
        <v>0</v>
      </c>
      <c r="M12" s="79">
        <v>2</v>
      </c>
    </row>
    <row r="13" spans="1:13">
      <c r="A13" s="65">
        <v>12</v>
      </c>
      <c r="B13" s="80">
        <f t="shared" si="0"/>
        <v>14</v>
      </c>
      <c r="C13" s="80">
        <f t="shared" si="1"/>
        <v>9</v>
      </c>
      <c r="D13" s="80">
        <f>SUM($B$2:B13)</f>
        <v>101</v>
      </c>
      <c r="E13" s="80">
        <f>SUM($C$2:C13)</f>
        <v>82</v>
      </c>
      <c r="G13" s="65">
        <v>12</v>
      </c>
      <c r="H13" s="79">
        <v>1</v>
      </c>
      <c r="I13" s="79">
        <v>6</v>
      </c>
      <c r="J13" s="79">
        <v>1</v>
      </c>
      <c r="K13" s="79">
        <v>1</v>
      </c>
      <c r="L13" s="79">
        <v>4</v>
      </c>
      <c r="M13" s="79">
        <v>1</v>
      </c>
    </row>
    <row r="14" spans="1:13">
      <c r="A14" s="65">
        <v>13</v>
      </c>
      <c r="B14" s="80">
        <f t="shared" si="0"/>
        <v>4</v>
      </c>
      <c r="C14" s="80">
        <f t="shared" si="1"/>
        <v>8</v>
      </c>
      <c r="D14" s="80">
        <f>SUM($B$2:B14)</f>
        <v>105</v>
      </c>
      <c r="E14" s="80">
        <f>SUM($C$2:C14)</f>
        <v>90</v>
      </c>
      <c r="G14" s="65">
        <v>13</v>
      </c>
      <c r="H14" s="79">
        <v>1</v>
      </c>
      <c r="I14" s="79">
        <v>1</v>
      </c>
      <c r="J14" s="79">
        <v>0</v>
      </c>
      <c r="K14" s="79">
        <v>1</v>
      </c>
      <c r="L14" s="79">
        <v>0</v>
      </c>
      <c r="M14" s="79">
        <v>1</v>
      </c>
    </row>
    <row r="15" spans="1:13">
      <c r="A15" s="65">
        <v>14</v>
      </c>
      <c r="B15" s="80">
        <f t="shared" si="0"/>
        <v>8</v>
      </c>
      <c r="C15" s="80">
        <f t="shared" si="1"/>
        <v>14</v>
      </c>
      <c r="D15" s="80">
        <f>SUM($B$2:B15)</f>
        <v>113</v>
      </c>
      <c r="E15" s="80">
        <f>SUM($C$2:C15)</f>
        <v>104</v>
      </c>
      <c r="G15" s="65">
        <v>14</v>
      </c>
      <c r="H15" s="79">
        <v>4</v>
      </c>
      <c r="I15" s="79">
        <v>0</v>
      </c>
      <c r="J15" s="79">
        <v>1</v>
      </c>
      <c r="K15" s="79">
        <v>0</v>
      </c>
      <c r="L15" s="79">
        <v>2</v>
      </c>
      <c r="M15" s="79">
        <v>1</v>
      </c>
    </row>
    <row r="16" spans="1:13">
      <c r="A16" s="65">
        <v>15</v>
      </c>
      <c r="B16" s="80">
        <f t="shared" si="0"/>
        <v>8</v>
      </c>
      <c r="C16" s="80">
        <f t="shared" si="1"/>
        <v>3</v>
      </c>
      <c r="D16" s="80">
        <f>SUM($B$2:B16)</f>
        <v>121</v>
      </c>
      <c r="E16" s="80">
        <f>SUM($C$2:C16)</f>
        <v>107</v>
      </c>
      <c r="G16" s="65">
        <v>15</v>
      </c>
      <c r="H16" s="79" t="s">
        <v>121</v>
      </c>
      <c r="I16" s="79">
        <v>1</v>
      </c>
      <c r="J16" s="79">
        <v>6</v>
      </c>
      <c r="K16" s="79">
        <v>0</v>
      </c>
      <c r="L16" s="79">
        <v>1</v>
      </c>
      <c r="M16" s="79">
        <v>0</v>
      </c>
    </row>
    <row r="17" spans="1:13">
      <c r="A17" s="65">
        <v>16</v>
      </c>
      <c r="B17" s="80">
        <f t="shared" si="0"/>
        <v>9</v>
      </c>
      <c r="C17" s="80">
        <f t="shared" si="1"/>
        <v>6</v>
      </c>
      <c r="D17" s="80">
        <f>SUM($B$2:B17)</f>
        <v>130</v>
      </c>
      <c r="E17" s="80">
        <f>SUM($C$2:C17)</f>
        <v>113</v>
      </c>
      <c r="G17" s="65">
        <v>16</v>
      </c>
      <c r="H17" s="79">
        <v>6</v>
      </c>
      <c r="I17" s="79" t="s">
        <v>121</v>
      </c>
      <c r="J17" s="79">
        <v>0</v>
      </c>
      <c r="K17" s="79">
        <v>1</v>
      </c>
      <c r="L17" s="79">
        <v>1</v>
      </c>
      <c r="M17" s="79">
        <v>1</v>
      </c>
    </row>
    <row r="18" spans="1:13">
      <c r="A18" s="65">
        <v>17</v>
      </c>
      <c r="B18" s="80">
        <f t="shared" si="0"/>
        <v>7</v>
      </c>
      <c r="C18" s="80">
        <f t="shared" si="1"/>
        <v>9</v>
      </c>
      <c r="D18" s="80">
        <f>SUM($B$2:B18)</f>
        <v>137</v>
      </c>
      <c r="E18" s="80">
        <f>SUM($C$2:C18)</f>
        <v>122</v>
      </c>
      <c r="G18" s="65">
        <v>17</v>
      </c>
      <c r="H18" s="79">
        <v>1</v>
      </c>
      <c r="I18" s="79">
        <v>0</v>
      </c>
      <c r="J18" s="79">
        <v>0</v>
      </c>
      <c r="K18" s="79">
        <v>4</v>
      </c>
      <c r="L18" s="79">
        <v>1</v>
      </c>
      <c r="M18" s="79">
        <v>1</v>
      </c>
    </row>
    <row r="19" spans="1:13">
      <c r="A19" s="65">
        <v>18</v>
      </c>
      <c r="B19" s="80">
        <f t="shared" si="0"/>
        <v>10</v>
      </c>
      <c r="C19" s="80">
        <f t="shared" si="1"/>
        <v>3</v>
      </c>
      <c r="D19" s="80">
        <f>SUM($B$2:B19)</f>
        <v>147</v>
      </c>
      <c r="E19" s="80">
        <f>SUM($C$2:C19)</f>
        <v>125</v>
      </c>
      <c r="G19" s="65">
        <v>18</v>
      </c>
      <c r="H19" s="79">
        <v>0</v>
      </c>
      <c r="I19" s="79">
        <v>2</v>
      </c>
      <c r="J19" s="79">
        <v>1</v>
      </c>
      <c r="K19" s="79">
        <v>0</v>
      </c>
      <c r="L19" s="79">
        <v>6</v>
      </c>
      <c r="M19" s="79">
        <v>1</v>
      </c>
    </row>
    <row r="20" spans="1:13">
      <c r="A20" s="65">
        <v>19</v>
      </c>
      <c r="B20" s="80">
        <f t="shared" si="0"/>
        <v>8</v>
      </c>
      <c r="C20" s="80">
        <f t="shared" si="1"/>
        <v>1</v>
      </c>
      <c r="D20" s="80">
        <f>SUM($B$2:B20)</f>
        <v>155</v>
      </c>
      <c r="E20" s="80">
        <f>SUM($C$2:C20)</f>
        <v>126</v>
      </c>
      <c r="G20" s="65">
        <v>19</v>
      </c>
      <c r="H20" s="79">
        <v>4</v>
      </c>
      <c r="I20" s="79">
        <v>1</v>
      </c>
      <c r="J20" s="79">
        <v>1</v>
      </c>
      <c r="K20" s="79" t="s">
        <v>121</v>
      </c>
      <c r="L20" s="79">
        <v>1</v>
      </c>
      <c r="M20" s="79">
        <v>1</v>
      </c>
    </row>
    <row r="21" spans="1:13">
      <c r="A21" s="65">
        <v>20</v>
      </c>
      <c r="B21" s="80">
        <f t="shared" si="0"/>
        <v>9</v>
      </c>
      <c r="C21" s="80">
        <f t="shared" si="1"/>
        <v>0</v>
      </c>
      <c r="D21" s="80">
        <f>SUM($B$2:B21)</f>
        <v>164</v>
      </c>
      <c r="E21" s="80">
        <f>SUM($C$2:C21)</f>
        <v>126</v>
      </c>
      <c r="G21" s="65">
        <v>20</v>
      </c>
      <c r="H21" s="79">
        <v>2</v>
      </c>
      <c r="I21" s="79">
        <v>1</v>
      </c>
      <c r="J21" s="79">
        <v>1</v>
      </c>
      <c r="K21" s="79">
        <v>2</v>
      </c>
      <c r="L21" s="79">
        <v>1</v>
      </c>
      <c r="M21" s="79">
        <v>2</v>
      </c>
    </row>
    <row r="22" ht="15.75" spans="1:13">
      <c r="A22" s="81" t="s">
        <v>122</v>
      </c>
      <c r="B22" s="81"/>
      <c r="C22" s="81"/>
      <c r="D22" s="81"/>
      <c r="E22" s="81"/>
      <c r="G22" s="65">
        <v>21</v>
      </c>
      <c r="H22" s="79">
        <v>4</v>
      </c>
      <c r="I22" s="79">
        <v>0</v>
      </c>
      <c r="J22" s="79">
        <v>2</v>
      </c>
      <c r="K22" s="79">
        <v>1</v>
      </c>
      <c r="L22" s="79">
        <v>1</v>
      </c>
      <c r="M22" s="79">
        <v>2</v>
      </c>
    </row>
    <row r="23" spans="7:13">
      <c r="G23" s="65">
        <v>22</v>
      </c>
      <c r="H23" s="79">
        <v>4</v>
      </c>
      <c r="I23" s="79">
        <v>0</v>
      </c>
      <c r="J23" s="79">
        <v>1</v>
      </c>
      <c r="K23" s="79">
        <v>0</v>
      </c>
      <c r="L23" s="79">
        <v>1</v>
      </c>
      <c r="M23" s="79">
        <v>4</v>
      </c>
    </row>
    <row r="24" spans="7:13">
      <c r="G24" s="65">
        <v>23</v>
      </c>
      <c r="H24" s="79">
        <v>2</v>
      </c>
      <c r="I24" s="79">
        <v>1</v>
      </c>
      <c r="J24" s="79" t="s">
        <v>121</v>
      </c>
      <c r="K24" s="79">
        <v>0</v>
      </c>
      <c r="L24" s="79">
        <v>1</v>
      </c>
      <c r="M24" s="79">
        <v>1</v>
      </c>
    </row>
    <row r="25" spans="7:13">
      <c r="G25" s="65">
        <v>24</v>
      </c>
      <c r="H25" s="79">
        <v>0</v>
      </c>
      <c r="I25" s="79">
        <v>4</v>
      </c>
      <c r="J25" s="79">
        <v>0</v>
      </c>
      <c r="K25" s="79">
        <v>0</v>
      </c>
      <c r="L25" s="79">
        <v>4</v>
      </c>
      <c r="M25" s="79">
        <v>0</v>
      </c>
    </row>
    <row r="26" spans="7:13">
      <c r="G26" s="65">
        <v>25</v>
      </c>
      <c r="H26" s="79">
        <v>1</v>
      </c>
      <c r="I26" s="79">
        <v>1</v>
      </c>
      <c r="J26" s="79">
        <v>0</v>
      </c>
      <c r="K26" s="79">
        <v>4</v>
      </c>
      <c r="L26" s="79">
        <v>1</v>
      </c>
      <c r="M26" s="79">
        <v>4</v>
      </c>
    </row>
    <row r="27" spans="7:13">
      <c r="G27" s="65">
        <v>26</v>
      </c>
      <c r="H27" s="79">
        <v>0</v>
      </c>
      <c r="I27" s="79">
        <v>0</v>
      </c>
      <c r="J27" s="79">
        <v>1</v>
      </c>
      <c r="K27" s="79">
        <v>0</v>
      </c>
      <c r="L27" s="79">
        <v>0</v>
      </c>
      <c r="M27" s="79">
        <v>1</v>
      </c>
    </row>
    <row r="28" spans="7:13">
      <c r="G28" s="65">
        <v>27</v>
      </c>
      <c r="H28" s="79">
        <v>2</v>
      </c>
      <c r="I28" s="79" t="s">
        <v>121</v>
      </c>
      <c r="J28" s="79">
        <v>1</v>
      </c>
      <c r="K28" s="79">
        <v>1</v>
      </c>
      <c r="L28" s="79">
        <v>0</v>
      </c>
      <c r="M28" s="79">
        <v>0</v>
      </c>
    </row>
    <row r="29" spans="7:13">
      <c r="G29" s="65">
        <v>28</v>
      </c>
      <c r="H29" s="79" t="s">
        <v>121</v>
      </c>
      <c r="I29" s="79">
        <v>0</v>
      </c>
      <c r="J29" s="79">
        <v>1</v>
      </c>
      <c r="K29" s="79">
        <v>0</v>
      </c>
      <c r="L29" s="79">
        <v>1</v>
      </c>
      <c r="M29" s="79">
        <v>0</v>
      </c>
    </row>
    <row r="30" spans="7:13">
      <c r="G30" s="65">
        <v>29</v>
      </c>
      <c r="H30" s="79">
        <v>0</v>
      </c>
      <c r="I30" s="79">
        <v>1</v>
      </c>
      <c r="J30" s="79">
        <v>1</v>
      </c>
      <c r="K30" s="79">
        <v>1</v>
      </c>
      <c r="L30" s="79">
        <v>0</v>
      </c>
      <c r="M30" s="79">
        <v>0</v>
      </c>
    </row>
    <row r="31" spans="7:13">
      <c r="G31" s="65">
        <v>30</v>
      </c>
      <c r="H31" s="79">
        <v>6</v>
      </c>
      <c r="I31" s="79">
        <v>1</v>
      </c>
      <c r="J31" s="79">
        <v>0</v>
      </c>
      <c r="K31" s="79">
        <v>0</v>
      </c>
      <c r="L31" s="79">
        <v>0</v>
      </c>
      <c r="M31" s="79">
        <v>2</v>
      </c>
    </row>
    <row r="32" spans="7:13">
      <c r="G32" s="65">
        <v>31</v>
      </c>
      <c r="H32" s="79">
        <v>4</v>
      </c>
      <c r="I32" s="79">
        <v>1</v>
      </c>
      <c r="J32" s="79">
        <v>0</v>
      </c>
      <c r="K32" s="79">
        <v>1</v>
      </c>
      <c r="L32" s="79">
        <v>1</v>
      </c>
      <c r="M32" s="79">
        <v>2</v>
      </c>
    </row>
    <row r="33" spans="7:13">
      <c r="G33" s="65">
        <v>32</v>
      </c>
      <c r="H33" s="79">
        <v>1</v>
      </c>
      <c r="I33" s="79">
        <v>6</v>
      </c>
      <c r="J33" s="79">
        <v>1</v>
      </c>
      <c r="K33" s="79">
        <v>0</v>
      </c>
      <c r="L33" s="79">
        <v>1</v>
      </c>
      <c r="M33" s="79">
        <v>0</v>
      </c>
    </row>
    <row r="34" spans="7:13">
      <c r="G34" s="65">
        <v>33</v>
      </c>
      <c r="H34" s="79">
        <v>0</v>
      </c>
      <c r="I34" s="79">
        <v>1</v>
      </c>
      <c r="J34" s="79">
        <v>4</v>
      </c>
      <c r="K34" s="79">
        <v>2</v>
      </c>
      <c r="L34" s="79">
        <v>1</v>
      </c>
      <c r="M34" s="79" t="s">
        <v>121</v>
      </c>
    </row>
    <row r="35" spans="7:13">
      <c r="G35" s="65">
        <v>34</v>
      </c>
      <c r="H35" s="79">
        <v>6</v>
      </c>
      <c r="I35" s="79">
        <v>1</v>
      </c>
      <c r="J35" s="79">
        <v>1</v>
      </c>
      <c r="K35" s="79">
        <v>1</v>
      </c>
      <c r="L35" s="79">
        <v>1</v>
      </c>
      <c r="M35" s="79">
        <v>4</v>
      </c>
    </row>
    <row r="36" spans="7:13">
      <c r="G36" s="65">
        <v>35</v>
      </c>
      <c r="H36" s="79">
        <v>1</v>
      </c>
      <c r="I36" s="79">
        <v>0</v>
      </c>
      <c r="J36" s="79">
        <v>1</v>
      </c>
      <c r="K36" s="79">
        <v>0</v>
      </c>
      <c r="L36" s="79">
        <v>0</v>
      </c>
      <c r="M36" s="79">
        <v>1</v>
      </c>
    </row>
    <row r="37" spans="7:13">
      <c r="G37" s="65">
        <v>36</v>
      </c>
      <c r="H37" s="79">
        <v>2</v>
      </c>
      <c r="I37" s="79">
        <v>1</v>
      </c>
      <c r="J37" s="79">
        <v>1</v>
      </c>
      <c r="K37" s="79">
        <v>0</v>
      </c>
      <c r="L37" s="79" t="s">
        <v>121</v>
      </c>
      <c r="M37" s="79">
        <v>2</v>
      </c>
    </row>
    <row r="38" spans="7:13">
      <c r="G38" s="65">
        <v>37</v>
      </c>
      <c r="H38" s="79">
        <v>1</v>
      </c>
      <c r="I38" s="79">
        <v>1</v>
      </c>
      <c r="J38" s="79">
        <v>6</v>
      </c>
      <c r="K38" s="79">
        <v>1</v>
      </c>
      <c r="L38" s="79">
        <v>0</v>
      </c>
      <c r="M38" s="79" t="s">
        <v>121</v>
      </c>
    </row>
    <row r="39" spans="7:13">
      <c r="G39" s="65">
        <v>38</v>
      </c>
      <c r="H39" s="79">
        <v>1</v>
      </c>
      <c r="I39" s="79">
        <v>1</v>
      </c>
      <c r="J39" s="79">
        <v>0</v>
      </c>
      <c r="K39" s="79" t="s">
        <v>121</v>
      </c>
      <c r="L39" s="79">
        <v>1</v>
      </c>
      <c r="M39" s="79">
        <v>0</v>
      </c>
    </row>
    <row r="40" spans="7:13">
      <c r="G40" s="65">
        <v>39</v>
      </c>
      <c r="H40" s="79" t="s">
        <v>121</v>
      </c>
      <c r="I40" s="79">
        <v>1</v>
      </c>
      <c r="J40" s="79" t="s">
        <v>121</v>
      </c>
      <c r="K40" s="79"/>
      <c r="L40" s="79"/>
      <c r="M40" s="79"/>
    </row>
    <row r="41" spans="7:13">
      <c r="G41" s="65">
        <v>40</v>
      </c>
      <c r="H41" s="65"/>
      <c r="I41" s="65"/>
      <c r="J41" s="65"/>
      <c r="K41" s="65"/>
      <c r="L41" s="65"/>
      <c r="M41" s="65"/>
    </row>
  </sheetData>
  <mergeCells count="1">
    <mergeCell ref="A22:E22"/>
  </mergeCells>
  <conditionalFormatting sqref="H2:M40">
    <cfRule type="containsText" dxfId="1" priority="1" operator="between" text="w">
      <formula>NOT(ISERROR(SEARCH("w",H2)))</formula>
    </cfRule>
  </conditionalFormatting>
  <pageMargins left="0.75" right="0.75" top="1" bottom="1" header="0.5" footer="0.5"/>
  <pageSetup paperSize="9" orientation="landscape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"/>
  <sheetViews>
    <sheetView workbookViewId="0">
      <selection activeCell="K15" sqref="K15"/>
    </sheetView>
  </sheetViews>
  <sheetFormatPr defaultColWidth="9.14285714285714" defaultRowHeight="15" outlineLevelCol="4"/>
  <cols>
    <col min="4" max="4" width="6.42857142857143" customWidth="1"/>
    <col min="5" max="5" width="5.28571428571429" customWidth="1"/>
    <col min="9" max="9" width="6.28571428571429" customWidth="1"/>
    <col min="10" max="10" width="5.28571428571429" customWidth="1"/>
  </cols>
  <sheetData>
    <row r="2" spans="2:5">
      <c r="B2" s="76" t="s">
        <v>123</v>
      </c>
      <c r="D2" s="77" t="s">
        <v>123</v>
      </c>
      <c r="E2" s="77" t="s">
        <v>124</v>
      </c>
    </row>
    <row r="3" spans="2:5">
      <c r="B3" s="27">
        <v>80</v>
      </c>
      <c r="D3" s="78">
        <v>0</v>
      </c>
      <c r="E3" s="31">
        <f>VALUE(D3)</f>
        <v>0</v>
      </c>
    </row>
    <row r="4" spans="2:5">
      <c r="B4" s="27">
        <v>9</v>
      </c>
      <c r="D4" s="78">
        <v>35</v>
      </c>
      <c r="E4" s="31">
        <f>VALUE(D4)</f>
        <v>35</v>
      </c>
    </row>
    <row r="5" spans="2:5">
      <c r="B5" s="27">
        <v>81</v>
      </c>
      <c r="D5" s="78">
        <v>65</v>
      </c>
      <c r="E5" s="31">
        <f>VALUE(D5)</f>
        <v>65</v>
      </c>
    </row>
    <row r="6" spans="2:2">
      <c r="B6" s="27">
        <v>71</v>
      </c>
    </row>
    <row r="7" spans="2:2">
      <c r="B7" s="27">
        <v>100</v>
      </c>
    </row>
    <row r="8" spans="2:2">
      <c r="B8" s="27">
        <v>24</v>
      </c>
    </row>
    <row r="9" spans="2:2">
      <c r="B9" s="27">
        <v>56</v>
      </c>
    </row>
    <row r="10" spans="2:2">
      <c r="B10" s="27">
        <v>37</v>
      </c>
    </row>
  </sheetData>
  <conditionalFormatting sqref="B3:B10">
    <cfRule type="iconSet" priority="2">
      <iconSet iconSet="3TrafficLights1" reverse="1">
        <cfvo type="percent" val="0"/>
        <cfvo type="percent" val="35"/>
        <cfvo type="percent" val="65"/>
      </iconSet>
    </cfRule>
  </conditionalFormatting>
  <conditionalFormatting sqref="E3:E5">
    <cfRule type="iconSet" priority="3">
      <iconSet iconSet="3TrafficLights1" showValue="0" reverse="1">
        <cfvo type="percent" val="0"/>
        <cfvo type="percent" val="35"/>
        <cfvo type="percent" val="65"/>
      </iconSet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P10" sqref="P10"/>
    </sheetView>
  </sheetViews>
  <sheetFormatPr defaultColWidth="9.14285714285714" defaultRowHeight="15" outlineLevelCol="3"/>
  <cols>
    <col min="1" max="16384" width="9.14285714285714" style="61"/>
  </cols>
  <sheetData>
    <row r="1" ht="30" spans="1:2">
      <c r="A1" s="73" t="s">
        <v>109</v>
      </c>
      <c r="B1" s="74" t="s">
        <v>110</v>
      </c>
    </row>
    <row r="2" spans="1:4">
      <c r="A2" s="65">
        <v>1</v>
      </c>
      <c r="B2" s="65">
        <f>'Sheet3 (2)'!B2</f>
        <v>4</v>
      </c>
      <c r="C2" s="69" t="s">
        <v>125</v>
      </c>
      <c r="D2" s="75">
        <f>SUM(B2:B7)</f>
        <v>51</v>
      </c>
    </row>
    <row r="3" spans="1:4">
      <c r="A3" s="65">
        <v>2</v>
      </c>
      <c r="B3" s="65">
        <f>'Sheet3 (2)'!B3</f>
        <v>8</v>
      </c>
      <c r="C3" s="69" t="s">
        <v>126</v>
      </c>
      <c r="D3" s="75">
        <f>SUM(B8:B16)</f>
        <v>70</v>
      </c>
    </row>
    <row r="4" spans="1:4">
      <c r="A4" s="65">
        <v>3</v>
      </c>
      <c r="B4" s="65">
        <f>'Sheet3 (2)'!B4</f>
        <v>6</v>
      </c>
      <c r="C4" s="69" t="s">
        <v>127</v>
      </c>
      <c r="D4" s="75">
        <f>SUM(B17:B21)</f>
        <v>43</v>
      </c>
    </row>
    <row r="5" spans="1:2">
      <c r="A5" s="65">
        <v>4</v>
      </c>
      <c r="B5" s="65">
        <f>'Sheet3 (2)'!B5</f>
        <v>11</v>
      </c>
    </row>
    <row r="6" spans="1:2">
      <c r="A6" s="65">
        <v>5</v>
      </c>
      <c r="B6" s="65">
        <f>'Sheet3 (2)'!B6</f>
        <v>6</v>
      </c>
    </row>
    <row r="7" spans="1:2">
      <c r="A7" s="65">
        <v>6</v>
      </c>
      <c r="B7" s="65">
        <f>'Sheet3 (2)'!B7</f>
        <v>16</v>
      </c>
    </row>
    <row r="8" spans="1:2">
      <c r="A8" s="65">
        <v>7</v>
      </c>
      <c r="B8" s="65">
        <f>'Sheet3 (2)'!B8</f>
        <v>4</v>
      </c>
    </row>
    <row r="9" spans="1:2">
      <c r="A9" s="65">
        <v>8</v>
      </c>
      <c r="B9" s="65">
        <f>'Sheet3 (2)'!B9</f>
        <v>4</v>
      </c>
    </row>
    <row r="10" spans="1:2">
      <c r="A10" s="65">
        <v>9</v>
      </c>
      <c r="B10" s="65">
        <f>'Sheet3 (2)'!B10</f>
        <v>11</v>
      </c>
    </row>
    <row r="11" spans="1:2">
      <c r="A11" s="65">
        <v>10</v>
      </c>
      <c r="B11" s="65">
        <f>'Sheet3 (2)'!B11</f>
        <v>8</v>
      </c>
    </row>
    <row r="12" spans="1:2">
      <c r="A12" s="65">
        <v>11</v>
      </c>
      <c r="B12" s="65">
        <f>'Sheet3 (2)'!B12</f>
        <v>9</v>
      </c>
    </row>
    <row r="13" spans="1:2">
      <c r="A13" s="65">
        <v>12</v>
      </c>
      <c r="B13" s="65">
        <f>'Sheet3 (2)'!B13</f>
        <v>14</v>
      </c>
    </row>
    <row r="14" spans="1:2">
      <c r="A14" s="65">
        <v>13</v>
      </c>
      <c r="B14" s="65">
        <f>'Sheet3 (2)'!B14</f>
        <v>4</v>
      </c>
    </row>
    <row r="15" spans="1:2">
      <c r="A15" s="65">
        <v>14</v>
      </c>
      <c r="B15" s="65">
        <f>'Sheet3 (2)'!B15</f>
        <v>8</v>
      </c>
    </row>
    <row r="16" spans="1:2">
      <c r="A16" s="65">
        <v>15</v>
      </c>
      <c r="B16" s="65">
        <f>'Sheet3 (2)'!B16</f>
        <v>8</v>
      </c>
    </row>
    <row r="17" spans="1:2">
      <c r="A17" s="65">
        <v>16</v>
      </c>
      <c r="B17" s="65">
        <f>'Sheet3 (2)'!B17</f>
        <v>9</v>
      </c>
    </row>
    <row r="18" spans="1:2">
      <c r="A18" s="65">
        <v>17</v>
      </c>
      <c r="B18" s="65">
        <f>'Sheet3 (2)'!B18</f>
        <v>7</v>
      </c>
    </row>
    <row r="19" spans="1:2">
      <c r="A19" s="65">
        <v>18</v>
      </c>
      <c r="B19" s="65">
        <f>'Sheet3 (2)'!B19</f>
        <v>10</v>
      </c>
    </row>
    <row r="20" spans="1:2">
      <c r="A20" s="65">
        <v>19</v>
      </c>
      <c r="B20" s="65">
        <f>'Sheet3 (2)'!B20</f>
        <v>8</v>
      </c>
    </row>
    <row r="21" spans="1:2">
      <c r="A21" s="65">
        <v>20</v>
      </c>
      <c r="B21" s="65">
        <f>'Sheet3 (2)'!B21</f>
        <v>9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4"/>
  <sheetViews>
    <sheetView topLeftCell="B1" workbookViewId="0">
      <selection activeCell="V2" sqref="V2:Y2"/>
    </sheetView>
  </sheetViews>
  <sheetFormatPr defaultColWidth="9.14285714285714" defaultRowHeight="15"/>
  <cols>
    <col min="1" max="1" width="9.14285714285714" style="61"/>
    <col min="2" max="2" width="15" style="61" customWidth="1"/>
    <col min="3" max="3" width="5.28571428571429" style="62" customWidth="1"/>
    <col min="4" max="16" width="7.57142857142857" style="62" customWidth="1"/>
    <col min="17" max="17" width="6.71428571428571" style="62" customWidth="1"/>
    <col min="18" max="18" width="7.57142857142857" style="62" customWidth="1"/>
    <col min="19" max="19" width="7.57142857142857" style="61" customWidth="1"/>
    <col min="20" max="20" width="15.5714285714286" style="61" customWidth="1"/>
    <col min="21" max="21" width="6.57142857142857" style="61" customWidth="1"/>
    <col min="22" max="25" width="9.28571428571429" style="61" customWidth="1"/>
    <col min="26" max="16384" width="9.14285714285714" style="61"/>
  </cols>
  <sheetData>
    <row r="1" spans="1:19">
      <c r="A1" s="61">
        <v>58.41</v>
      </c>
      <c r="C1" s="63" t="s">
        <v>128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71"/>
    </row>
    <row r="2" spans="1:25">
      <c r="A2" s="61">
        <v>303.63</v>
      </c>
      <c r="B2" s="61" t="s">
        <v>129</v>
      </c>
      <c r="C2" s="65"/>
      <c r="D2" s="66" t="s">
        <v>129</v>
      </c>
      <c r="E2" s="66"/>
      <c r="F2" s="66"/>
      <c r="G2" s="66"/>
      <c r="H2" s="66" t="s">
        <v>130</v>
      </c>
      <c r="I2" s="66"/>
      <c r="J2" s="66"/>
      <c r="K2" s="66"/>
      <c r="L2" s="66" t="s">
        <v>131</v>
      </c>
      <c r="M2" s="66"/>
      <c r="N2" s="66"/>
      <c r="O2" s="66"/>
      <c r="P2" s="66" t="s">
        <v>132</v>
      </c>
      <c r="Q2" s="66"/>
      <c r="R2" s="66"/>
      <c r="S2" s="66"/>
      <c r="U2" s="69"/>
      <c r="V2" s="66" t="s">
        <v>132</v>
      </c>
      <c r="W2" s="66"/>
      <c r="X2" s="66"/>
      <c r="Y2" s="66"/>
    </row>
    <row r="3" spans="1:25">
      <c r="A3" s="61">
        <v>108.46</v>
      </c>
      <c r="B3" s="61" t="s">
        <v>130</v>
      </c>
      <c r="C3" s="65"/>
      <c r="D3" s="67" t="s">
        <v>133</v>
      </c>
      <c r="E3" s="67" t="s">
        <v>134</v>
      </c>
      <c r="F3" s="67" t="s">
        <v>135</v>
      </c>
      <c r="G3" s="67" t="s">
        <v>136</v>
      </c>
      <c r="H3" s="65" t="s">
        <v>133</v>
      </c>
      <c r="I3" s="65" t="s">
        <v>134</v>
      </c>
      <c r="J3" s="65" t="s">
        <v>135</v>
      </c>
      <c r="K3" s="65" t="s">
        <v>136</v>
      </c>
      <c r="L3" s="67" t="s">
        <v>133</v>
      </c>
      <c r="M3" s="67" t="s">
        <v>134</v>
      </c>
      <c r="N3" s="67" t="s">
        <v>135</v>
      </c>
      <c r="O3" s="67" t="s">
        <v>136</v>
      </c>
      <c r="P3" s="65" t="s">
        <v>133</v>
      </c>
      <c r="Q3" s="65" t="s">
        <v>134</v>
      </c>
      <c r="R3" s="65" t="s">
        <v>135</v>
      </c>
      <c r="S3" s="65" t="s">
        <v>136</v>
      </c>
      <c r="U3" s="69"/>
      <c r="V3" s="67" t="str">
        <f>INDEX($C$2:$S$15,0,MATCH($V$2,$C$2:$S$2,0)+COLUMN()-22)</f>
        <v>OPEN</v>
      </c>
      <c r="W3" s="67" t="str">
        <f>INDEX($C$2:$S$15,0,MATCH($V$2,$C$2:$S$2,0)+COLUMN()-22)</f>
        <v>HIGH</v>
      </c>
      <c r="X3" s="67" t="str">
        <f>INDEX($C$2:$S$15,0,MATCH($V$2,$C$2:$S$2,0)+COLUMN()-22)</f>
        <v>LOW</v>
      </c>
      <c r="Y3" s="67" t="str">
        <f>INDEX($C$2:$S$15,0,MATCH($V$2,$C$2:$S$2,0)+COLUMN()-22)</f>
        <v>CLOSE</v>
      </c>
    </row>
    <row r="4" spans="1:25">
      <c r="A4" s="61">
        <v>153.34</v>
      </c>
      <c r="B4" s="61" t="s">
        <v>131</v>
      </c>
      <c r="C4" s="65" t="s">
        <v>137</v>
      </c>
      <c r="D4" s="67">
        <v>58.86</v>
      </c>
      <c r="E4" s="68">
        <v>249.57</v>
      </c>
      <c r="F4" s="67">
        <v>58.41</v>
      </c>
      <c r="G4" s="68">
        <v>90.88</v>
      </c>
      <c r="H4" s="65">
        <v>144.84</v>
      </c>
      <c r="I4" s="69">
        <v>90.88</v>
      </c>
      <c r="J4" s="69">
        <v>249.57</v>
      </c>
      <c r="K4" s="65">
        <v>97.72</v>
      </c>
      <c r="L4" s="67">
        <v>200.09</v>
      </c>
      <c r="M4" s="68">
        <v>90.88</v>
      </c>
      <c r="N4" s="68">
        <v>249.57</v>
      </c>
      <c r="O4" s="67">
        <v>160.82</v>
      </c>
      <c r="P4" s="70">
        <v>253.11</v>
      </c>
      <c r="Q4" s="69">
        <v>249.57</v>
      </c>
      <c r="R4" s="69">
        <v>90.88</v>
      </c>
      <c r="S4" s="65">
        <v>225.12</v>
      </c>
      <c r="U4" s="69" t="s">
        <v>137</v>
      </c>
      <c r="V4" s="68">
        <f>INDEX($C$2:$S$15,0,MATCH($V$2,$C$2:$S$2,0)+COLUMN()-22)</f>
        <v>253.11</v>
      </c>
      <c r="W4" s="67">
        <f>INDEX($C$2:$S$15,0,MATCH($V$2,$C$2:$S$2,0)+COLUMN()-22)</f>
        <v>249.57</v>
      </c>
      <c r="X4" s="67">
        <f>INDEX($C$2:$S$15,0,MATCH($V$2,$C$2:$S$2,0)+COLUMN()-22)</f>
        <v>90.88</v>
      </c>
      <c r="Y4" s="68">
        <f>INDEX($C$2:$S$15,0,MATCH($V$2,$C$2:$S$2,0)+COLUMN()-22)</f>
        <v>225.12</v>
      </c>
    </row>
    <row r="5" spans="1:25">
      <c r="A5" s="61">
        <v>82.84</v>
      </c>
      <c r="B5" s="61" t="s">
        <v>132</v>
      </c>
      <c r="C5" s="65" t="s">
        <v>138</v>
      </c>
      <c r="D5" s="67">
        <v>102.66</v>
      </c>
      <c r="E5" s="68">
        <v>111.68</v>
      </c>
      <c r="F5" s="67">
        <v>303.63</v>
      </c>
      <c r="G5" s="68">
        <v>123.42</v>
      </c>
      <c r="H5" s="65">
        <v>92.04</v>
      </c>
      <c r="I5" s="69">
        <v>123.42</v>
      </c>
      <c r="J5" s="69">
        <v>111.68</v>
      </c>
      <c r="K5" s="65">
        <v>77.88</v>
      </c>
      <c r="L5" s="67">
        <v>42.48</v>
      </c>
      <c r="M5" s="68">
        <v>123.42</v>
      </c>
      <c r="N5" s="68">
        <v>111.68</v>
      </c>
      <c r="O5" s="67">
        <v>67.26</v>
      </c>
      <c r="P5" s="70">
        <v>85.05</v>
      </c>
      <c r="Q5" s="69">
        <v>111.68</v>
      </c>
      <c r="R5" s="69">
        <v>123.42</v>
      </c>
      <c r="S5" s="65">
        <v>35.4</v>
      </c>
      <c r="U5" s="69" t="s">
        <v>138</v>
      </c>
      <c r="V5" s="68">
        <f>INDEX($C$2:$S$15,0,MATCH($V$2,$C$2:$S$2,0)+COLUMN()-22)</f>
        <v>85.05</v>
      </c>
      <c r="W5" s="67">
        <f>INDEX($C$2:$S$15,0,MATCH($V$2,$C$2:$S$2,0)+COLUMN()-22)</f>
        <v>111.68</v>
      </c>
      <c r="X5" s="67">
        <f>INDEX($C$2:$S$15,0,MATCH($V$2,$C$2:$S$2,0)+COLUMN()-22)</f>
        <v>123.42</v>
      </c>
      <c r="Y5" s="68">
        <f>INDEX($C$2:$S$15,0,MATCH($V$2,$C$2:$S$2,0)+COLUMN()-22)</f>
        <v>35.4</v>
      </c>
    </row>
    <row r="6" spans="1:25">
      <c r="A6" s="61">
        <v>95.58</v>
      </c>
      <c r="C6" s="65" t="s">
        <v>139</v>
      </c>
      <c r="D6" s="67">
        <v>115.17</v>
      </c>
      <c r="E6" s="68">
        <v>35.4</v>
      </c>
      <c r="F6" s="67">
        <v>108.46</v>
      </c>
      <c r="G6" s="68">
        <v>275.48</v>
      </c>
      <c r="H6" s="65">
        <v>97.72</v>
      </c>
      <c r="I6" s="69">
        <v>275.48</v>
      </c>
      <c r="J6" s="69">
        <v>35.4</v>
      </c>
      <c r="K6" s="65">
        <v>40.71</v>
      </c>
      <c r="L6" s="67">
        <v>104.7</v>
      </c>
      <c r="M6" s="68">
        <v>275.48</v>
      </c>
      <c r="N6" s="68">
        <v>35.4</v>
      </c>
      <c r="O6" s="67">
        <v>114.24</v>
      </c>
      <c r="P6" s="70">
        <v>235.41</v>
      </c>
      <c r="Q6" s="69">
        <v>35.4</v>
      </c>
      <c r="R6" s="69">
        <v>275.48</v>
      </c>
      <c r="S6" s="65">
        <v>93.81</v>
      </c>
      <c r="U6" s="69" t="s">
        <v>139</v>
      </c>
      <c r="V6" s="68">
        <f>INDEX($C$2:$S$15,0,MATCH($V$2,$C$2:$S$2,0)+COLUMN()-22)</f>
        <v>235.41</v>
      </c>
      <c r="W6" s="67">
        <f>INDEX($C$2:$S$15,0,MATCH($V$2,$C$2:$S$2,0)+COLUMN()-22)</f>
        <v>35.4</v>
      </c>
      <c r="X6" s="67">
        <f>INDEX($C$2:$S$15,0,MATCH($V$2,$C$2:$S$2,0)+COLUMN()-22)</f>
        <v>275.48</v>
      </c>
      <c r="Y6" s="68">
        <f>INDEX($C$2:$S$15,0,MATCH($V$2,$C$2:$S$2,0)+COLUMN()-22)</f>
        <v>93.81</v>
      </c>
    </row>
    <row r="7" spans="1:25">
      <c r="A7" s="61">
        <v>520.01</v>
      </c>
      <c r="C7" s="65" t="s">
        <v>140</v>
      </c>
      <c r="D7" s="67">
        <v>817.92</v>
      </c>
      <c r="E7" s="68">
        <v>87.2</v>
      </c>
      <c r="F7" s="67">
        <v>153.34</v>
      </c>
      <c r="G7" s="68">
        <v>53.1</v>
      </c>
      <c r="H7" s="65">
        <v>240.72</v>
      </c>
      <c r="I7" s="69">
        <v>53.1</v>
      </c>
      <c r="J7" s="69">
        <v>87.2</v>
      </c>
      <c r="K7" s="65">
        <v>36.45</v>
      </c>
      <c r="L7" s="67">
        <v>130.9</v>
      </c>
      <c r="M7" s="68">
        <v>53.1</v>
      </c>
      <c r="N7" s="68">
        <v>87.2</v>
      </c>
      <c r="O7" s="67">
        <v>72.93</v>
      </c>
      <c r="P7" s="70">
        <v>239.8</v>
      </c>
      <c r="Q7" s="69">
        <v>87.2</v>
      </c>
      <c r="R7" s="69">
        <v>53.1</v>
      </c>
      <c r="S7" s="65">
        <v>107.52</v>
      </c>
      <c r="U7" s="69" t="s">
        <v>140</v>
      </c>
      <c r="V7" s="68">
        <f>INDEX($C$2:$S$15,0,MATCH($V$2,$C$2:$S$2,0)+COLUMN()-22)</f>
        <v>239.8</v>
      </c>
      <c r="W7" s="67">
        <f>INDEX($C$2:$S$15,0,MATCH($V$2,$C$2:$S$2,0)+COLUMN()-22)</f>
        <v>87.2</v>
      </c>
      <c r="X7" s="67">
        <f>INDEX($C$2:$S$15,0,MATCH($V$2,$C$2:$S$2,0)+COLUMN()-22)</f>
        <v>53.1</v>
      </c>
      <c r="Y7" s="68">
        <f>INDEX($C$2:$S$15,0,MATCH($V$2,$C$2:$S$2,0)+COLUMN()-22)</f>
        <v>107.52</v>
      </c>
    </row>
    <row r="8" spans="1:25">
      <c r="A8" s="61">
        <v>90.27</v>
      </c>
      <c r="C8" s="65" t="s">
        <v>141</v>
      </c>
      <c r="D8" s="67">
        <v>142.12</v>
      </c>
      <c r="E8" s="68">
        <v>91.63</v>
      </c>
      <c r="F8" s="67">
        <v>82.84</v>
      </c>
      <c r="G8" s="68">
        <v>48.72</v>
      </c>
      <c r="H8" s="65">
        <v>146.58</v>
      </c>
      <c r="I8" s="69">
        <v>48.72</v>
      </c>
      <c r="J8" s="69">
        <v>91.63</v>
      </c>
      <c r="K8" s="65">
        <v>93.74</v>
      </c>
      <c r="L8" s="67">
        <v>67.58</v>
      </c>
      <c r="M8" s="68">
        <v>48.72</v>
      </c>
      <c r="N8" s="68">
        <v>91.63</v>
      </c>
      <c r="O8" s="67">
        <v>192.61</v>
      </c>
      <c r="P8" s="70">
        <v>121.55</v>
      </c>
      <c r="Q8" s="69">
        <v>91.63</v>
      </c>
      <c r="R8" s="69">
        <v>48.72</v>
      </c>
      <c r="S8" s="65">
        <v>117.81</v>
      </c>
      <c r="U8" s="69" t="s">
        <v>141</v>
      </c>
      <c r="V8" s="68">
        <f>INDEX($C$2:$S$15,0,MATCH($V$2,$C$2:$S$2,0)+COLUMN()-22)</f>
        <v>121.55</v>
      </c>
      <c r="W8" s="67">
        <f>INDEX($C$2:$S$15,0,MATCH($V$2,$C$2:$S$2,0)+COLUMN()-22)</f>
        <v>91.63</v>
      </c>
      <c r="X8" s="67">
        <f>INDEX($C$2:$S$15,0,MATCH($V$2,$C$2:$S$2,0)+COLUMN()-22)</f>
        <v>48.72</v>
      </c>
      <c r="Y8" s="68">
        <f>INDEX($C$2:$S$15,0,MATCH($V$2,$C$2:$S$2,0)+COLUMN()-22)</f>
        <v>117.81</v>
      </c>
    </row>
    <row r="9" spans="1:25">
      <c r="A9" s="61">
        <v>177</v>
      </c>
      <c r="C9" s="65" t="s">
        <v>142</v>
      </c>
      <c r="D9" s="67">
        <v>74.34</v>
      </c>
      <c r="E9" s="68">
        <v>160.54</v>
      </c>
      <c r="F9" s="67">
        <v>95.58</v>
      </c>
      <c r="G9" s="68">
        <v>162.84</v>
      </c>
      <c r="H9" s="65">
        <v>140.25</v>
      </c>
      <c r="I9" s="69">
        <v>162.84</v>
      </c>
      <c r="J9" s="69">
        <v>160.54</v>
      </c>
      <c r="K9" s="65">
        <v>349.32</v>
      </c>
      <c r="L9" s="67">
        <v>192.93</v>
      </c>
      <c r="M9" s="68">
        <v>162.84</v>
      </c>
      <c r="N9" s="68">
        <v>160.54</v>
      </c>
      <c r="O9" s="67">
        <v>548.12</v>
      </c>
      <c r="P9" s="70">
        <v>61.71</v>
      </c>
      <c r="Q9" s="69">
        <v>160.54</v>
      </c>
      <c r="R9" s="69">
        <v>162.84</v>
      </c>
      <c r="S9" s="65">
        <v>196.35</v>
      </c>
      <c r="U9" s="69" t="s">
        <v>142</v>
      </c>
      <c r="V9" s="68">
        <f>INDEX($C$2:$S$15,0,MATCH($V$2,$C$2:$S$2,0)+COLUMN()-22)</f>
        <v>61.71</v>
      </c>
      <c r="W9" s="67">
        <f>INDEX($C$2:$S$15,0,MATCH($V$2,$C$2:$S$2,0)+COLUMN()-22)</f>
        <v>160.54</v>
      </c>
      <c r="X9" s="67">
        <f>INDEX($C$2:$S$15,0,MATCH($V$2,$C$2:$S$2,0)+COLUMN()-22)</f>
        <v>162.84</v>
      </c>
      <c r="Y9" s="68">
        <f>INDEX($C$2:$S$15,0,MATCH($V$2,$C$2:$S$2,0)+COLUMN()-22)</f>
        <v>196.35</v>
      </c>
    </row>
    <row r="10" spans="1:25">
      <c r="A10" s="61">
        <v>37.8</v>
      </c>
      <c r="C10" s="65" t="s">
        <v>143</v>
      </c>
      <c r="D10" s="67">
        <v>69.8</v>
      </c>
      <c r="E10" s="68">
        <v>69.03</v>
      </c>
      <c r="F10" s="67">
        <v>520.01</v>
      </c>
      <c r="G10" s="68">
        <v>303.02</v>
      </c>
      <c r="H10" s="65">
        <v>134.64</v>
      </c>
      <c r="I10" s="69">
        <v>303.02</v>
      </c>
      <c r="J10" s="69">
        <v>69.03</v>
      </c>
      <c r="K10" s="65">
        <v>78.54</v>
      </c>
      <c r="L10" s="67">
        <v>73.29</v>
      </c>
      <c r="M10" s="68">
        <v>303.02</v>
      </c>
      <c r="N10" s="68">
        <v>69.03</v>
      </c>
      <c r="O10" s="67">
        <v>102.66</v>
      </c>
      <c r="P10" s="70">
        <v>176.58</v>
      </c>
      <c r="Q10" s="69">
        <v>69.03</v>
      </c>
      <c r="R10" s="69">
        <v>303.02</v>
      </c>
      <c r="S10" s="65">
        <v>391.92</v>
      </c>
      <c r="U10" s="69" t="s">
        <v>143</v>
      </c>
      <c r="V10" s="68">
        <f>INDEX($C$2:$S$15,0,MATCH($V$2,$C$2:$S$2,0)+COLUMN()-22)</f>
        <v>176.58</v>
      </c>
      <c r="W10" s="67">
        <f>INDEX($C$2:$S$15,0,MATCH($V$2,$C$2:$S$2,0)+COLUMN()-22)</f>
        <v>69.03</v>
      </c>
      <c r="X10" s="67">
        <f>INDEX($C$2:$S$15,0,MATCH($V$2,$C$2:$S$2,0)+COLUMN()-22)</f>
        <v>303.02</v>
      </c>
      <c r="Y10" s="68">
        <f>INDEX($C$2:$S$15,0,MATCH($V$2,$C$2:$S$2,0)+COLUMN()-22)</f>
        <v>391.92</v>
      </c>
    </row>
    <row r="11" spans="1:25">
      <c r="A11" s="61">
        <v>78.48</v>
      </c>
      <c r="C11" s="65" t="s">
        <v>144</v>
      </c>
      <c r="D11" s="67">
        <v>132.75</v>
      </c>
      <c r="E11" s="68">
        <v>104.16</v>
      </c>
      <c r="F11" s="67">
        <v>90.27</v>
      </c>
      <c r="G11" s="68">
        <v>82.36</v>
      </c>
      <c r="H11" s="65">
        <v>159.04</v>
      </c>
      <c r="I11" s="69">
        <v>82.36</v>
      </c>
      <c r="J11" s="69">
        <v>104.16</v>
      </c>
      <c r="K11" s="65">
        <v>93.72</v>
      </c>
      <c r="L11" s="67">
        <v>149.6</v>
      </c>
      <c r="M11" s="68">
        <v>82.36</v>
      </c>
      <c r="N11" s="68">
        <v>104.16</v>
      </c>
      <c r="O11" s="67">
        <v>114.24</v>
      </c>
      <c r="P11" s="70">
        <v>136.29</v>
      </c>
      <c r="Q11" s="69">
        <v>104.16</v>
      </c>
      <c r="R11" s="69">
        <v>82.36</v>
      </c>
      <c r="S11" s="65">
        <v>44.25</v>
      </c>
      <c r="U11" s="69" t="s">
        <v>144</v>
      </c>
      <c r="V11" s="68">
        <f>INDEX($C$2:$S$15,0,MATCH($V$2,$C$2:$S$2,0)+COLUMN()-22)</f>
        <v>136.29</v>
      </c>
      <c r="W11" s="67">
        <f>INDEX($C$2:$S$15,0,MATCH($V$2,$C$2:$S$2,0)+COLUMN()-22)</f>
        <v>104.16</v>
      </c>
      <c r="X11" s="67">
        <f>INDEX($C$2:$S$15,0,MATCH($V$2,$C$2:$S$2,0)+COLUMN()-22)</f>
        <v>82.36</v>
      </c>
      <c r="Y11" s="68">
        <f>INDEX($C$2:$S$15,0,MATCH($V$2,$C$2:$S$2,0)+COLUMN()-22)</f>
        <v>44.25</v>
      </c>
    </row>
    <row r="12" spans="1:25">
      <c r="A12" s="61">
        <v>57.97</v>
      </c>
      <c r="C12" s="65" t="s">
        <v>145</v>
      </c>
      <c r="D12" s="67">
        <v>132.62</v>
      </c>
      <c r="E12" s="68">
        <v>159.3</v>
      </c>
      <c r="F12" s="67">
        <v>177</v>
      </c>
      <c r="G12" s="68">
        <v>68.1</v>
      </c>
      <c r="H12" s="65">
        <v>95.37</v>
      </c>
      <c r="I12" s="69">
        <v>68.1</v>
      </c>
      <c r="J12" s="69">
        <v>159.3</v>
      </c>
      <c r="K12" s="65">
        <v>158.95</v>
      </c>
      <c r="L12" s="67">
        <v>140.25</v>
      </c>
      <c r="M12" s="68">
        <v>68.1</v>
      </c>
      <c r="N12" s="68">
        <v>159.3</v>
      </c>
      <c r="O12" s="67">
        <v>161.07</v>
      </c>
      <c r="P12" s="70">
        <v>132.62</v>
      </c>
      <c r="Q12" s="69">
        <v>159.3</v>
      </c>
      <c r="R12" s="69">
        <v>68.1</v>
      </c>
      <c r="S12" s="65">
        <v>73.29</v>
      </c>
      <c r="U12" s="69" t="s">
        <v>145</v>
      </c>
      <c r="V12" s="68">
        <f>INDEX($C$2:$S$15,0,MATCH($V$2,$C$2:$S$2,0)+COLUMN()-22)</f>
        <v>132.62</v>
      </c>
      <c r="W12" s="67">
        <f>INDEX($C$2:$S$15,0,MATCH($V$2,$C$2:$S$2,0)+COLUMN()-22)</f>
        <v>159.3</v>
      </c>
      <c r="X12" s="67">
        <f>INDEX($C$2:$S$15,0,MATCH($V$2,$C$2:$S$2,0)+COLUMN()-22)</f>
        <v>68.1</v>
      </c>
      <c r="Y12" s="68">
        <f>INDEX($C$2:$S$15,0,MATCH($V$2,$C$2:$S$2,0)+COLUMN()-22)</f>
        <v>73.29</v>
      </c>
    </row>
    <row r="13" spans="1:25">
      <c r="A13" s="61">
        <v>97.72</v>
      </c>
      <c r="C13" s="65" t="s">
        <v>146</v>
      </c>
      <c r="D13" s="67">
        <v>541.62</v>
      </c>
      <c r="E13" s="68">
        <v>224.54</v>
      </c>
      <c r="F13" s="67">
        <v>37.8</v>
      </c>
      <c r="G13" s="68">
        <v>67.32</v>
      </c>
      <c r="H13" s="65">
        <v>52.08</v>
      </c>
      <c r="I13" s="69">
        <v>67.32</v>
      </c>
      <c r="J13" s="69">
        <v>224.54</v>
      </c>
      <c r="K13" s="65">
        <v>85.2</v>
      </c>
      <c r="L13" s="67">
        <v>210.16</v>
      </c>
      <c r="M13" s="68">
        <v>67.32</v>
      </c>
      <c r="N13" s="68">
        <v>224.54</v>
      </c>
      <c r="O13" s="67">
        <v>80.27</v>
      </c>
      <c r="P13" s="70">
        <v>70.8</v>
      </c>
      <c r="Q13" s="69">
        <v>224.54</v>
      </c>
      <c r="R13" s="69">
        <v>67.32</v>
      </c>
      <c r="S13" s="65">
        <v>107.97</v>
      </c>
      <c r="U13" s="69" t="s">
        <v>146</v>
      </c>
      <c r="V13" s="68">
        <f>INDEX($C$2:$S$15,0,MATCH($V$2,$C$2:$S$2,0)+COLUMN()-22)</f>
        <v>70.8</v>
      </c>
      <c r="W13" s="67">
        <f>INDEX($C$2:$S$15,0,MATCH($V$2,$C$2:$S$2,0)+COLUMN()-22)</f>
        <v>224.54</v>
      </c>
      <c r="X13" s="67">
        <f>INDEX($C$2:$S$15,0,MATCH($V$2,$C$2:$S$2,0)+COLUMN()-22)</f>
        <v>67.32</v>
      </c>
      <c r="Y13" s="68">
        <f>INDEX($C$2:$S$15,0,MATCH($V$2,$C$2:$S$2,0)+COLUMN()-22)</f>
        <v>107.97</v>
      </c>
    </row>
    <row r="14" spans="1:25">
      <c r="A14" s="61">
        <v>77.88</v>
      </c>
      <c r="C14" s="65" t="s">
        <v>147</v>
      </c>
      <c r="D14" s="67">
        <v>47.04</v>
      </c>
      <c r="E14" s="68">
        <v>90.88</v>
      </c>
      <c r="F14" s="67">
        <v>78.48</v>
      </c>
      <c r="G14" s="68">
        <v>143.09</v>
      </c>
      <c r="H14" s="65">
        <v>104.72</v>
      </c>
      <c r="I14" s="69">
        <v>143.09</v>
      </c>
      <c r="J14" s="69">
        <v>90.88</v>
      </c>
      <c r="K14" s="65">
        <v>107.97</v>
      </c>
      <c r="L14" s="67">
        <v>79.65</v>
      </c>
      <c r="M14" s="68">
        <v>143.09</v>
      </c>
      <c r="N14" s="68">
        <v>90.88</v>
      </c>
      <c r="O14" s="67">
        <v>47.04</v>
      </c>
      <c r="P14" s="70">
        <v>191.52</v>
      </c>
      <c r="Q14" s="69">
        <v>90.88</v>
      </c>
      <c r="R14" s="69">
        <v>143.09</v>
      </c>
      <c r="S14" s="65">
        <v>82.32</v>
      </c>
      <c r="U14" s="69" t="s">
        <v>147</v>
      </c>
      <c r="V14" s="68">
        <f>INDEX($C$2:$S$15,0,MATCH($V$2,$C$2:$S$2,0)+COLUMN()-22)</f>
        <v>191.52</v>
      </c>
      <c r="W14" s="67">
        <f>INDEX($C$2:$S$15,0,MATCH($V$2,$C$2:$S$2,0)+COLUMN()-22)</f>
        <v>90.88</v>
      </c>
      <c r="X14" s="67">
        <f>INDEX($C$2:$S$15,0,MATCH($V$2,$C$2:$S$2,0)+COLUMN()-22)</f>
        <v>143.09</v>
      </c>
      <c r="Y14" s="68">
        <f>INDEX($C$2:$S$15,0,MATCH($V$2,$C$2:$S$2,0)+COLUMN()-22)</f>
        <v>82.32</v>
      </c>
    </row>
    <row r="15" spans="1:25">
      <c r="A15" s="61">
        <v>40.71</v>
      </c>
      <c r="C15" s="65" t="s">
        <v>148</v>
      </c>
      <c r="D15" s="67">
        <v>205.7</v>
      </c>
      <c r="E15" s="68">
        <v>123.42</v>
      </c>
      <c r="F15" s="67">
        <v>57.97</v>
      </c>
      <c r="G15" s="68">
        <v>77.88</v>
      </c>
      <c r="H15" s="65">
        <v>389.08</v>
      </c>
      <c r="I15" s="69">
        <v>77.88</v>
      </c>
      <c r="J15" s="69">
        <v>123.42</v>
      </c>
      <c r="K15" s="65">
        <v>139.6</v>
      </c>
      <c r="L15" s="67">
        <v>61.04</v>
      </c>
      <c r="M15" s="68">
        <v>77.88</v>
      </c>
      <c r="N15" s="68">
        <v>123.42</v>
      </c>
      <c r="O15" s="67">
        <v>84.96</v>
      </c>
      <c r="P15" s="70">
        <v>488.32</v>
      </c>
      <c r="Q15" s="69">
        <v>123.42</v>
      </c>
      <c r="R15" s="69">
        <v>77.88</v>
      </c>
      <c r="S15" s="65">
        <v>102.85</v>
      </c>
      <c r="U15" s="69" t="s">
        <v>148</v>
      </c>
      <c r="V15" s="68">
        <f>INDEX($C$2:$S$15,0,MATCH($V$2,$C$2:$S$2,0)+COLUMN()-22)</f>
        <v>488.32</v>
      </c>
      <c r="W15" s="67">
        <f>INDEX($C$2:$S$15,0,MATCH($V$2,$C$2:$S$2,0)+COLUMN()-22)</f>
        <v>123.42</v>
      </c>
      <c r="X15" s="67">
        <f>INDEX($C$2:$S$15,0,MATCH($V$2,$C$2:$S$2,0)+COLUMN()-22)</f>
        <v>77.88</v>
      </c>
      <c r="Y15" s="68">
        <f>INDEX($C$2:$S$15,0,MATCH($V$2,$C$2:$S$2,0)+COLUMN()-22)</f>
        <v>102.85</v>
      </c>
    </row>
    <row r="16" spans="1:1">
      <c r="A16" s="61">
        <v>36.45</v>
      </c>
    </row>
    <row r="17" spans="1:18">
      <c r="A17" s="61">
        <v>93.74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</row>
    <row r="18" spans="1:18">
      <c r="A18" s="61">
        <v>349.32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</row>
    <row r="19" spans="1:18">
      <c r="A19" s="61">
        <v>78.54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</row>
    <row r="20" spans="1:18">
      <c r="A20" s="61">
        <v>93.72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</row>
    <row r="21" spans="1:18">
      <c r="A21" s="61">
        <v>158.95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</row>
    <row r="22" spans="1:18">
      <c r="A22" s="61">
        <v>85.2</v>
      </c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</row>
    <row r="23" spans="1:18">
      <c r="A23" s="61">
        <v>107.97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</row>
    <row r="24" spans="1:18">
      <c r="A24" s="61">
        <v>139.6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</row>
    <row r="25" spans="1:18">
      <c r="A25" s="61">
        <v>160.82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</row>
    <row r="26" spans="1:18">
      <c r="A26" s="61">
        <v>67.26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</row>
    <row r="27" spans="1:18">
      <c r="A27" s="61">
        <v>114.24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</row>
    <row r="28" spans="1:18">
      <c r="A28" s="61">
        <v>72.93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</row>
    <row r="29" spans="1:18">
      <c r="A29" s="61">
        <v>192.61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</row>
    <row r="30" spans="1:1">
      <c r="A30" s="61">
        <v>548.12</v>
      </c>
    </row>
    <row r="31" spans="1:1">
      <c r="A31" s="61">
        <v>102.66</v>
      </c>
    </row>
    <row r="32" spans="1:1">
      <c r="A32" s="61">
        <v>114.24</v>
      </c>
    </row>
    <row r="33" spans="1:1">
      <c r="A33" s="61">
        <v>161.07</v>
      </c>
    </row>
    <row r="34" spans="1:1">
      <c r="A34" s="61">
        <v>80.27</v>
      </c>
    </row>
    <row r="35" spans="1:1">
      <c r="A35" s="61">
        <v>47.04</v>
      </c>
    </row>
    <row r="36" spans="1:1">
      <c r="A36" s="61">
        <v>84.96</v>
      </c>
    </row>
    <row r="37" spans="1:1">
      <c r="A37" s="61">
        <v>225.12</v>
      </c>
    </row>
    <row r="38" spans="1:1">
      <c r="A38" s="61">
        <v>35.4</v>
      </c>
    </row>
    <row r="39" spans="1:1">
      <c r="A39" s="61">
        <v>93.81</v>
      </c>
    </row>
    <row r="40" spans="1:1">
      <c r="A40" s="61">
        <v>107.52</v>
      </c>
    </row>
    <row r="41" spans="1:1">
      <c r="A41" s="61">
        <v>117.81</v>
      </c>
    </row>
    <row r="42" spans="1:1">
      <c r="A42" s="61">
        <v>196.35</v>
      </c>
    </row>
    <row r="43" spans="1:1">
      <c r="A43" s="61">
        <v>391.92</v>
      </c>
    </row>
    <row r="44" spans="1:1">
      <c r="A44" s="61">
        <v>44.25</v>
      </c>
    </row>
    <row r="45" spans="1:1">
      <c r="A45" s="61">
        <v>73.29</v>
      </c>
    </row>
    <row r="46" spans="1:1">
      <c r="A46" s="61">
        <v>107.97</v>
      </c>
    </row>
    <row r="47" spans="1:1">
      <c r="A47" s="61">
        <v>82.32</v>
      </c>
    </row>
    <row r="48" spans="1:1">
      <c r="A48" s="61">
        <v>102.85</v>
      </c>
    </row>
    <row r="49" spans="1:1">
      <c r="A49" s="61">
        <v>58.86</v>
      </c>
    </row>
    <row r="50" spans="1:1">
      <c r="A50" s="61">
        <v>102.66</v>
      </c>
    </row>
    <row r="51" spans="1:1">
      <c r="A51" s="61">
        <v>115.17</v>
      </c>
    </row>
    <row r="52" spans="1:1">
      <c r="A52" s="61">
        <v>817.92</v>
      </c>
    </row>
    <row r="53" spans="1:1">
      <c r="A53" s="61">
        <v>142.12</v>
      </c>
    </row>
    <row r="54" spans="1:1">
      <c r="A54" s="61">
        <v>74.34</v>
      </c>
    </row>
    <row r="55" spans="1:1">
      <c r="A55" s="61">
        <v>69.8</v>
      </c>
    </row>
    <row r="56" spans="1:1">
      <c r="A56" s="61">
        <v>132.75</v>
      </c>
    </row>
    <row r="57" spans="1:1">
      <c r="A57" s="61">
        <v>132.62</v>
      </c>
    </row>
    <row r="58" spans="1:1">
      <c r="A58" s="61">
        <v>541.62</v>
      </c>
    </row>
    <row r="59" spans="1:1">
      <c r="A59" s="61">
        <v>47.04</v>
      </c>
    </row>
    <row r="60" spans="1:1">
      <c r="A60" s="61">
        <v>205.7</v>
      </c>
    </row>
    <row r="61" spans="1:1">
      <c r="A61" s="61">
        <v>144.84</v>
      </c>
    </row>
    <row r="62" spans="1:1">
      <c r="A62" s="61">
        <v>92.04</v>
      </c>
    </row>
    <row r="63" spans="1:1">
      <c r="A63" s="61">
        <v>97.72</v>
      </c>
    </row>
    <row r="64" spans="1:1">
      <c r="A64" s="61">
        <v>240.72</v>
      </c>
    </row>
    <row r="65" spans="1:1">
      <c r="A65" s="61">
        <v>146.58</v>
      </c>
    </row>
    <row r="66" spans="1:1">
      <c r="A66" s="61">
        <v>140.25</v>
      </c>
    </row>
    <row r="67" spans="1:1">
      <c r="A67" s="61">
        <v>134.64</v>
      </c>
    </row>
    <row r="68" spans="1:1">
      <c r="A68" s="61">
        <v>159.04</v>
      </c>
    </row>
    <row r="69" spans="1:1">
      <c r="A69" s="61">
        <v>95.37</v>
      </c>
    </row>
    <row r="70" spans="1:1">
      <c r="A70" s="61">
        <v>52.08</v>
      </c>
    </row>
    <row r="71" spans="1:1">
      <c r="A71" s="61">
        <v>104.72</v>
      </c>
    </row>
    <row r="72" spans="1:1">
      <c r="A72" s="61">
        <v>389.08</v>
      </c>
    </row>
    <row r="73" spans="1:1">
      <c r="A73" s="61">
        <v>200.09</v>
      </c>
    </row>
    <row r="74" spans="1:1">
      <c r="A74" s="61">
        <v>42.48</v>
      </c>
    </row>
    <row r="75" spans="1:1">
      <c r="A75" s="61">
        <v>104.7</v>
      </c>
    </row>
    <row r="76" spans="1:1">
      <c r="A76" s="61">
        <v>130.9</v>
      </c>
    </row>
    <row r="77" spans="1:1">
      <c r="A77" s="61">
        <v>67.58</v>
      </c>
    </row>
    <row r="78" spans="1:1">
      <c r="A78" s="61">
        <v>192.93</v>
      </c>
    </row>
    <row r="79" spans="1:1">
      <c r="A79" s="61">
        <v>73.29</v>
      </c>
    </row>
    <row r="80" spans="1:1">
      <c r="A80" s="61">
        <v>149.6</v>
      </c>
    </row>
    <row r="81" spans="1:1">
      <c r="A81" s="61">
        <v>140.25</v>
      </c>
    </row>
    <row r="82" spans="1:1">
      <c r="A82" s="61">
        <v>210.16</v>
      </c>
    </row>
    <row r="83" spans="1:1">
      <c r="A83" s="61">
        <v>79.65</v>
      </c>
    </row>
    <row r="84" spans="1:1">
      <c r="A84" s="61">
        <v>61.04</v>
      </c>
    </row>
    <row r="85" spans="1:1">
      <c r="A85" s="72">
        <v>253.11</v>
      </c>
    </row>
    <row r="86" spans="1:1">
      <c r="A86" s="72">
        <v>85.05</v>
      </c>
    </row>
    <row r="87" spans="1:1">
      <c r="A87" s="72">
        <v>235.41</v>
      </c>
    </row>
    <row r="88" spans="1:1">
      <c r="A88" s="72">
        <v>239.8</v>
      </c>
    </row>
    <row r="89" spans="1:1">
      <c r="A89" s="72">
        <v>121.55</v>
      </c>
    </row>
    <row r="90" spans="1:1">
      <c r="A90" s="72">
        <v>61.71</v>
      </c>
    </row>
    <row r="91" spans="1:1">
      <c r="A91" s="72">
        <v>176.58</v>
      </c>
    </row>
    <row r="92" spans="1:1">
      <c r="A92" s="72">
        <v>136.29</v>
      </c>
    </row>
    <row r="93" spans="1:1">
      <c r="A93" s="72">
        <v>132.62</v>
      </c>
    </row>
    <row r="94" spans="1:1">
      <c r="A94" s="72">
        <v>70.8</v>
      </c>
    </row>
    <row r="95" spans="1:1">
      <c r="A95" s="72">
        <v>191.52</v>
      </c>
    </row>
    <row r="96" spans="1:1">
      <c r="A96" s="72">
        <v>488.32</v>
      </c>
    </row>
    <row r="97" spans="1:1">
      <c r="A97" s="61">
        <v>249.57</v>
      </c>
    </row>
    <row r="98" spans="1:1">
      <c r="A98" s="61">
        <v>111.68</v>
      </c>
    </row>
    <row r="99" spans="1:1">
      <c r="A99" s="61">
        <v>35.4</v>
      </c>
    </row>
    <row r="100" spans="1:1">
      <c r="A100" s="61">
        <v>87.2</v>
      </c>
    </row>
    <row r="101" spans="1:1">
      <c r="A101" s="61">
        <v>91.63</v>
      </c>
    </row>
    <row r="102" spans="1:1">
      <c r="A102" s="61">
        <v>160.54</v>
      </c>
    </row>
    <row r="103" spans="1:1">
      <c r="A103" s="61">
        <v>69.03</v>
      </c>
    </row>
    <row r="104" spans="1:1">
      <c r="A104" s="61">
        <v>104.16</v>
      </c>
    </row>
    <row r="105" spans="1:1">
      <c r="A105" s="61">
        <v>159.3</v>
      </c>
    </row>
    <row r="106" spans="1:1">
      <c r="A106" s="61">
        <v>224.54</v>
      </c>
    </row>
    <row r="107" spans="1:1">
      <c r="A107" s="61">
        <v>90.88</v>
      </c>
    </row>
    <row r="108" spans="1:1">
      <c r="A108" s="61">
        <v>123.42</v>
      </c>
    </row>
    <row r="109" spans="1:1">
      <c r="A109" s="61">
        <v>275.48</v>
      </c>
    </row>
    <row r="110" spans="1:1">
      <c r="A110" s="61">
        <v>53.1</v>
      </c>
    </row>
    <row r="111" spans="1:1">
      <c r="A111" s="61">
        <v>48.72</v>
      </c>
    </row>
    <row r="112" spans="1:1">
      <c r="A112" s="61">
        <v>162.84</v>
      </c>
    </row>
    <row r="113" spans="1:1">
      <c r="A113" s="61">
        <v>303.02</v>
      </c>
    </row>
    <row r="114" spans="1:1">
      <c r="A114" s="61">
        <v>82.36</v>
      </c>
    </row>
    <row r="115" spans="1:1">
      <c r="A115" s="61">
        <v>68.1</v>
      </c>
    </row>
    <row r="116" spans="1:1">
      <c r="A116" s="61">
        <v>67.32</v>
      </c>
    </row>
    <row r="117" spans="1:1">
      <c r="A117" s="61">
        <v>143.09</v>
      </c>
    </row>
    <row r="118" spans="1:1">
      <c r="A118" s="61">
        <v>77.88</v>
      </c>
    </row>
    <row r="119" spans="1:1">
      <c r="A119" s="61">
        <v>48.72</v>
      </c>
    </row>
    <row r="120" spans="1:1">
      <c r="A120" s="61">
        <v>516.66</v>
      </c>
    </row>
    <row r="121" spans="1:1">
      <c r="A121" s="61">
        <v>121.55</v>
      </c>
    </row>
    <row r="122" spans="1:1">
      <c r="A122" s="61">
        <v>180.94</v>
      </c>
    </row>
    <row r="123" spans="1:1">
      <c r="A123" s="61">
        <v>69.76</v>
      </c>
    </row>
    <row r="124" spans="1:1">
      <c r="A124" s="61">
        <v>111.51</v>
      </c>
    </row>
    <row r="125" spans="1:1">
      <c r="A125" s="61">
        <v>91.35</v>
      </c>
    </row>
    <row r="126" spans="1:1">
      <c r="A126" s="61">
        <v>143.99</v>
      </c>
    </row>
    <row r="127" spans="1:1">
      <c r="A127" s="61">
        <v>227.2</v>
      </c>
    </row>
    <row r="128" spans="1:1">
      <c r="A128" s="61">
        <v>180.54</v>
      </c>
    </row>
    <row r="129" spans="1:1">
      <c r="A129" s="61">
        <v>108.19</v>
      </c>
    </row>
    <row r="130" spans="1:1">
      <c r="A130" s="61">
        <v>99.12</v>
      </c>
    </row>
    <row r="131" spans="1:1">
      <c r="A131" s="61">
        <v>113.36</v>
      </c>
    </row>
    <row r="132" spans="1:1">
      <c r="A132" s="61">
        <v>90.27</v>
      </c>
    </row>
    <row r="133" spans="1:1">
      <c r="A133" s="61">
        <v>40.32</v>
      </c>
    </row>
    <row r="134" spans="1:1">
      <c r="A134" s="61">
        <v>126.44</v>
      </c>
    </row>
    <row r="135" spans="1:1">
      <c r="A135" s="61">
        <v>63.58</v>
      </c>
    </row>
    <row r="136" spans="1:1">
      <c r="A136" s="61">
        <v>60.18</v>
      </c>
    </row>
    <row r="137" spans="1:1">
      <c r="A137" s="61">
        <v>35.28</v>
      </c>
    </row>
    <row r="138" spans="1:1">
      <c r="A138" s="61">
        <v>82.36</v>
      </c>
    </row>
    <row r="139" spans="1:1">
      <c r="A139" s="61">
        <v>120.36</v>
      </c>
    </row>
    <row r="140" spans="1:1">
      <c r="A140" s="61">
        <v>97.65</v>
      </c>
    </row>
    <row r="141" spans="1:1">
      <c r="A141" s="61">
        <v>65.4</v>
      </c>
    </row>
    <row r="142" spans="1:1">
      <c r="A142" s="61">
        <v>433.84</v>
      </c>
    </row>
    <row r="143" spans="1:1">
      <c r="A143" s="61">
        <v>127.16</v>
      </c>
    </row>
    <row r="144" spans="1:1">
      <c r="A144" s="61">
        <v>275.48</v>
      </c>
    </row>
    <row r="145" spans="1:1">
      <c r="A145" s="61">
        <v>160.82</v>
      </c>
    </row>
    <row r="146" spans="1:1">
      <c r="A146" s="61">
        <v>68.88</v>
      </c>
    </row>
    <row r="147" spans="1:1">
      <c r="A147" s="61">
        <v>164.61</v>
      </c>
    </row>
    <row r="148" spans="1:1">
      <c r="A148" s="61">
        <v>78.96</v>
      </c>
    </row>
    <row r="149" spans="1:1">
      <c r="A149" s="61">
        <v>182.31</v>
      </c>
    </row>
    <row r="150" spans="1:1">
      <c r="A150" s="61">
        <v>55.44</v>
      </c>
    </row>
    <row r="151" spans="1:1">
      <c r="A151" s="61">
        <v>106.59</v>
      </c>
    </row>
    <row r="152" spans="1:1">
      <c r="A152" s="61">
        <v>184.6</v>
      </c>
    </row>
    <row r="153" spans="1:1">
      <c r="A153" s="61">
        <v>208.86</v>
      </c>
    </row>
    <row r="154" spans="1:1">
      <c r="A154" s="61">
        <v>78.48</v>
      </c>
    </row>
    <row r="155" spans="1:1">
      <c r="A155" s="61">
        <v>349.32</v>
      </c>
    </row>
    <row r="156" spans="1:1">
      <c r="A156" s="61">
        <v>159.3</v>
      </c>
    </row>
    <row r="157" spans="1:1">
      <c r="A157" s="61">
        <v>73.29</v>
      </c>
    </row>
    <row r="158" spans="1:1">
      <c r="A158" s="61">
        <v>84.96</v>
      </c>
    </row>
    <row r="159" spans="1:1">
      <c r="A159" s="61">
        <v>40.32</v>
      </c>
    </row>
    <row r="160" spans="1:1">
      <c r="A160" s="61">
        <v>125.29</v>
      </c>
    </row>
    <row r="161" spans="1:1">
      <c r="A161" s="61">
        <v>50.49</v>
      </c>
    </row>
    <row r="162" spans="1:1">
      <c r="A162" s="61">
        <v>366.36</v>
      </c>
    </row>
    <row r="163" spans="1:1">
      <c r="A163" s="61">
        <v>167.86</v>
      </c>
    </row>
    <row r="164" spans="1:1">
      <c r="A164" s="61">
        <v>108.46</v>
      </c>
    </row>
    <row r="165" spans="1:1">
      <c r="A165" s="61">
        <v>87.89</v>
      </c>
    </row>
    <row r="166" spans="1:1">
      <c r="A166" s="61">
        <v>93.72</v>
      </c>
    </row>
    <row r="167" spans="1:1">
      <c r="A167" s="61">
        <v>153.34</v>
      </c>
    </row>
    <row r="168" spans="1:1">
      <c r="A168" s="61">
        <v>102.66</v>
      </c>
    </row>
    <row r="169" spans="1:1">
      <c r="A169" s="61">
        <v>94.5</v>
      </c>
    </row>
    <row r="170" spans="1:1">
      <c r="A170" s="61">
        <v>80.41</v>
      </c>
    </row>
    <row r="171" spans="1:1">
      <c r="A171" s="61">
        <v>148.68</v>
      </c>
    </row>
    <row r="172" spans="1:1">
      <c r="A172" s="61">
        <v>78.48</v>
      </c>
    </row>
    <row r="173" spans="1:1">
      <c r="A173" s="61">
        <v>124.96</v>
      </c>
    </row>
    <row r="174" spans="1:1">
      <c r="A174" s="61">
        <v>50.49</v>
      </c>
    </row>
    <row r="175" spans="1:1">
      <c r="A175" s="61">
        <v>340.8</v>
      </c>
    </row>
    <row r="176" spans="1:1">
      <c r="A176" s="61">
        <v>90.74</v>
      </c>
    </row>
    <row r="177" spans="1:1">
      <c r="A177" s="61">
        <v>129.21</v>
      </c>
    </row>
    <row r="178" spans="1:1">
      <c r="A178" s="61">
        <v>71.06</v>
      </c>
    </row>
    <row r="179" spans="1:1">
      <c r="A179" s="61">
        <v>113.6</v>
      </c>
    </row>
    <row r="180" spans="1:1">
      <c r="A180" s="61">
        <v>72.57</v>
      </c>
    </row>
    <row r="181" spans="1:1">
      <c r="A181" s="61">
        <v>61.29</v>
      </c>
    </row>
    <row r="182" spans="1:1">
      <c r="A182" s="61">
        <v>71.06</v>
      </c>
    </row>
    <row r="183" spans="1:1">
      <c r="A183" s="61">
        <v>118.66</v>
      </c>
    </row>
    <row r="184" spans="1:1">
      <c r="A184" s="61">
        <v>121.55</v>
      </c>
    </row>
    <row r="185" spans="1:1">
      <c r="A185" s="61">
        <v>170.4</v>
      </c>
    </row>
    <row r="186" spans="1:1">
      <c r="A186" s="61">
        <v>80.66</v>
      </c>
    </row>
    <row r="187" spans="1:1">
      <c r="A187" s="61">
        <v>74.8</v>
      </c>
    </row>
    <row r="188" spans="1:1">
      <c r="A188" s="61">
        <v>48.62</v>
      </c>
    </row>
    <row r="189" spans="1:1">
      <c r="A189" s="61">
        <v>49.94</v>
      </c>
    </row>
    <row r="190" spans="1:1">
      <c r="A190" s="61">
        <v>59.84</v>
      </c>
    </row>
    <row r="191" spans="1:1">
      <c r="A191" s="61">
        <v>80.27</v>
      </c>
    </row>
    <row r="192" spans="1:1">
      <c r="A192" s="61">
        <v>43.6</v>
      </c>
    </row>
    <row r="193" spans="1:1">
      <c r="A193" s="61">
        <v>119.68</v>
      </c>
    </row>
    <row r="194" spans="1:1">
      <c r="A194" s="61">
        <v>125.67</v>
      </c>
    </row>
    <row r="195" spans="1:1">
      <c r="A195" s="61">
        <v>196.2</v>
      </c>
    </row>
    <row r="196" spans="1:1">
      <c r="A196" s="61">
        <v>107.92</v>
      </c>
    </row>
    <row r="197" spans="1:1">
      <c r="A197" s="61">
        <v>97.35</v>
      </c>
    </row>
    <row r="198" spans="1:1">
      <c r="A198" s="61">
        <v>69.3</v>
      </c>
    </row>
    <row r="199" spans="1:1">
      <c r="A199" s="61">
        <v>60.18</v>
      </c>
    </row>
    <row r="200" spans="1:1">
      <c r="A200" s="61">
        <v>72.93</v>
      </c>
    </row>
    <row r="201" spans="1:1">
      <c r="A201" s="61">
        <v>116.44</v>
      </c>
    </row>
    <row r="202" spans="1:1">
      <c r="A202" s="61">
        <v>72.57</v>
      </c>
    </row>
    <row r="203" spans="1:1">
      <c r="A203" s="61">
        <v>296.48</v>
      </c>
    </row>
    <row r="204" spans="1:1">
      <c r="A204" s="61">
        <v>44.25</v>
      </c>
    </row>
    <row r="205" spans="1:1">
      <c r="A205" s="61">
        <v>81.9</v>
      </c>
    </row>
    <row r="206" spans="1:1">
      <c r="A206" s="61">
        <v>93.5</v>
      </c>
    </row>
    <row r="207" spans="1:1">
      <c r="A207" s="61">
        <v>224.36</v>
      </c>
    </row>
    <row r="208" spans="1:1">
      <c r="A208" s="61">
        <v>53.1</v>
      </c>
    </row>
    <row r="209" spans="1:1">
      <c r="A209" s="61">
        <v>33.6</v>
      </c>
    </row>
    <row r="210" spans="1:1">
      <c r="A210" s="61">
        <v>86.73</v>
      </c>
    </row>
    <row r="211" spans="1:1">
      <c r="A211" s="61">
        <v>87.2</v>
      </c>
    </row>
    <row r="212" spans="1:1">
      <c r="A212" s="61">
        <v>54.87</v>
      </c>
    </row>
    <row r="213" spans="1:1">
      <c r="A213" s="61">
        <v>66.15</v>
      </c>
    </row>
    <row r="214" spans="1:1">
      <c r="A214" s="61">
        <v>80.41</v>
      </c>
    </row>
    <row r="215" spans="1:1">
      <c r="A215" s="61">
        <v>133.48</v>
      </c>
    </row>
    <row r="216" spans="1:1">
      <c r="A216" s="61">
        <v>381.5</v>
      </c>
    </row>
    <row r="217" spans="1:1">
      <c r="A217" s="61">
        <v>43.01</v>
      </c>
    </row>
    <row r="218" spans="1:1">
      <c r="A218" s="61">
        <v>70.8</v>
      </c>
    </row>
    <row r="219" spans="1:1">
      <c r="A219" s="61">
        <v>189.66</v>
      </c>
    </row>
    <row r="220" spans="1:1">
      <c r="A220" s="61">
        <v>76.11</v>
      </c>
    </row>
    <row r="221" spans="1:1">
      <c r="A221" s="61">
        <v>104.7</v>
      </c>
    </row>
    <row r="222" spans="1:1">
      <c r="A222" s="61">
        <v>61.95</v>
      </c>
    </row>
    <row r="223" spans="1:1">
      <c r="A223" s="61">
        <v>106.59</v>
      </c>
    </row>
    <row r="224" spans="1:1">
      <c r="A224" s="61">
        <v>42</v>
      </c>
    </row>
    <row r="225" spans="1:1">
      <c r="A225" s="61">
        <v>44.88</v>
      </c>
    </row>
    <row r="226" spans="1:1">
      <c r="A226" s="61">
        <v>155.21</v>
      </c>
    </row>
    <row r="227" spans="1:1">
      <c r="A227" s="61">
        <v>352.16</v>
      </c>
    </row>
    <row r="228" spans="1:1">
      <c r="A228" s="61">
        <v>242.49</v>
      </c>
    </row>
    <row r="229" spans="1:1">
      <c r="A229" s="61">
        <v>318.28</v>
      </c>
    </row>
    <row r="230" spans="1:1">
      <c r="A230" s="61">
        <v>63.58</v>
      </c>
    </row>
    <row r="231" spans="1:1">
      <c r="A231" s="61">
        <v>35.4</v>
      </c>
    </row>
    <row r="232" spans="1:1">
      <c r="A232" s="61">
        <v>303.02</v>
      </c>
    </row>
    <row r="233" spans="1:1">
      <c r="A233" s="61">
        <v>394.57</v>
      </c>
    </row>
    <row r="234" spans="1:1">
      <c r="A234" s="61">
        <v>69.8</v>
      </c>
    </row>
    <row r="235" spans="1:1">
      <c r="A235" s="61">
        <v>78.54</v>
      </c>
    </row>
    <row r="236" spans="1:1">
      <c r="A236" s="61">
        <v>284</v>
      </c>
    </row>
    <row r="237" spans="1:1">
      <c r="A237" s="61">
        <v>67.26</v>
      </c>
    </row>
    <row r="238" spans="1:1">
      <c r="A238" s="61">
        <v>87.25</v>
      </c>
    </row>
    <row r="239" spans="1:1">
      <c r="A239" s="61">
        <v>179.52</v>
      </c>
    </row>
    <row r="240" spans="1:1">
      <c r="A240" s="61">
        <v>74.12</v>
      </c>
    </row>
    <row r="241" spans="1:1">
      <c r="A241" s="61">
        <v>458.15</v>
      </c>
    </row>
    <row r="242" spans="1:1">
      <c r="A242" s="61">
        <v>104.7</v>
      </c>
    </row>
    <row r="243" spans="1:1">
      <c r="A243" s="61">
        <v>56.1</v>
      </c>
    </row>
    <row r="244" spans="1:1">
      <c r="A244" s="61">
        <v>124.96</v>
      </c>
    </row>
  </sheetData>
  <mergeCells count="6">
    <mergeCell ref="C1:S1"/>
    <mergeCell ref="D2:G2"/>
    <mergeCell ref="H2:K2"/>
    <mergeCell ref="L2:O2"/>
    <mergeCell ref="P2:S2"/>
    <mergeCell ref="V2:Y2"/>
  </mergeCells>
  <dataValidations count="1">
    <dataValidation type="list" allowBlank="1" showInputMessage="1" showErrorMessage="1" sqref="V2:Y2">
      <formula1>$B$2:$B$5</formula1>
    </dataValidation>
  </dataValidations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topLeftCell="D1" workbookViewId="0">
      <selection activeCell="T15" sqref="T15"/>
    </sheetView>
  </sheetViews>
  <sheetFormatPr defaultColWidth="9.14285714285714" defaultRowHeight="15"/>
  <cols>
    <col min="1" max="1" width="10" customWidth="1"/>
    <col min="2" max="2" width="12.5714285714286" customWidth="1"/>
    <col min="5" max="5" width="9.85714285714286" customWidth="1"/>
    <col min="17" max="18" width="10.2857142857143" customWidth="1"/>
  </cols>
  <sheetData>
    <row r="1" spans="1:21">
      <c r="A1" s="27" t="s">
        <v>149</v>
      </c>
      <c r="B1" s="27" t="s">
        <v>150</v>
      </c>
      <c r="D1" s="27" t="s">
        <v>151</v>
      </c>
      <c r="E1" s="27" t="s">
        <v>9</v>
      </c>
      <c r="G1" s="27" t="s">
        <v>152</v>
      </c>
      <c r="H1" s="27" t="s">
        <v>153</v>
      </c>
      <c r="I1" s="27" t="s">
        <v>30</v>
      </c>
      <c r="K1" s="27" t="s">
        <v>154</v>
      </c>
      <c r="M1" s="27" t="s">
        <v>155</v>
      </c>
      <c r="N1" s="27" t="s">
        <v>156</v>
      </c>
      <c r="T1" s="60" t="s">
        <v>157</v>
      </c>
      <c r="U1" s="60"/>
    </row>
    <row r="2" spans="1:21">
      <c r="A2" s="27" t="s">
        <v>158</v>
      </c>
      <c r="B2" s="59">
        <v>32354</v>
      </c>
      <c r="C2">
        <f>MONTH(B2)</f>
        <v>7</v>
      </c>
      <c r="D2" s="27">
        <v>1</v>
      </c>
      <c r="E2" s="27">
        <f>COUNTIF(C2:C25,D2)</f>
        <v>1</v>
      </c>
      <c r="G2" s="27" t="s">
        <v>158</v>
      </c>
      <c r="H2" s="27"/>
      <c r="I2" s="27">
        <v>2014</v>
      </c>
      <c r="K2" s="27" t="s">
        <v>159</v>
      </c>
      <c r="M2" s="27" t="s">
        <v>154</v>
      </c>
      <c r="N2" s="27">
        <v>929</v>
      </c>
      <c r="Q2" s="27" t="s">
        <v>155</v>
      </c>
      <c r="R2" s="27" t="s">
        <v>160</v>
      </c>
      <c r="T2" s="60"/>
      <c r="U2" s="60"/>
    </row>
    <row r="3" spans="1:21">
      <c r="A3" s="27" t="s">
        <v>161</v>
      </c>
      <c r="B3" s="59">
        <v>32448</v>
      </c>
      <c r="C3">
        <f t="shared" ref="C3:C25" si="0">MONTH(B3)</f>
        <v>11</v>
      </c>
      <c r="D3" s="27">
        <v>2</v>
      </c>
      <c r="E3" s="27">
        <f t="shared" ref="E3:E13" si="1">COUNTIF(C3:C26,D3)</f>
        <v>2</v>
      </c>
      <c r="G3" s="27" t="s">
        <v>161</v>
      </c>
      <c r="H3" s="27"/>
      <c r="I3" s="27">
        <v>3085</v>
      </c>
      <c r="K3" s="27" t="s">
        <v>162</v>
      </c>
      <c r="M3" s="27" t="s">
        <v>159</v>
      </c>
      <c r="N3" s="27">
        <v>245</v>
      </c>
      <c r="Q3" s="27" t="s">
        <v>154</v>
      </c>
      <c r="R3" s="29">
        <f>_xlfn.MAXIFS($N$2:$N$10,$M$2:$M$10,$Q$3)</f>
        <v>929</v>
      </c>
      <c r="T3" s="27" t="s">
        <v>155</v>
      </c>
      <c r="U3" s="27" t="s">
        <v>156</v>
      </c>
    </row>
    <row r="4" spans="1:21">
      <c r="A4" s="27" t="s">
        <v>163</v>
      </c>
      <c r="B4" s="59">
        <v>32326</v>
      </c>
      <c r="C4">
        <f t="shared" si="0"/>
        <v>7</v>
      </c>
      <c r="D4" s="27">
        <v>3</v>
      </c>
      <c r="E4" s="27">
        <f t="shared" si="1"/>
        <v>1</v>
      </c>
      <c r="G4" s="27" t="s">
        <v>163</v>
      </c>
      <c r="H4" s="27"/>
      <c r="I4" s="27"/>
      <c r="K4" s="27" t="s">
        <v>164</v>
      </c>
      <c r="M4" s="27" t="s">
        <v>159</v>
      </c>
      <c r="N4" s="27">
        <v>398</v>
      </c>
      <c r="R4" s="27">
        <f t="array" ref="R4">MAX(IF($M$2:$M$10=$Q$3,$N$2:$N$10))</f>
        <v>929</v>
      </c>
      <c r="T4" s="27" t="s">
        <v>154</v>
      </c>
      <c r="U4" s="27">
        <v>929</v>
      </c>
    </row>
    <row r="5" spans="1:21">
      <c r="A5" s="27" t="s">
        <v>165</v>
      </c>
      <c r="B5" s="59">
        <v>32327</v>
      </c>
      <c r="C5">
        <f t="shared" si="0"/>
        <v>7</v>
      </c>
      <c r="D5" s="27">
        <v>4</v>
      </c>
      <c r="E5" s="27">
        <f t="shared" si="1"/>
        <v>1</v>
      </c>
      <c r="G5" s="27" t="s">
        <v>165</v>
      </c>
      <c r="H5" s="27"/>
      <c r="I5" s="27"/>
      <c r="M5" s="27" t="s">
        <v>162</v>
      </c>
      <c r="N5" s="27">
        <v>444</v>
      </c>
      <c r="T5" s="27" t="s">
        <v>159</v>
      </c>
      <c r="U5" s="27">
        <v>245</v>
      </c>
    </row>
    <row r="6" spans="1:21">
      <c r="A6" s="27" t="s">
        <v>166</v>
      </c>
      <c r="B6" s="59">
        <v>44200</v>
      </c>
      <c r="C6">
        <f t="shared" si="0"/>
        <v>1</v>
      </c>
      <c r="D6" s="27">
        <v>5</v>
      </c>
      <c r="E6" s="27">
        <f t="shared" si="1"/>
        <v>2</v>
      </c>
      <c r="G6" s="27" t="s">
        <v>166</v>
      </c>
      <c r="H6" s="27"/>
      <c r="I6" s="27"/>
      <c r="M6" s="27" t="s">
        <v>154</v>
      </c>
      <c r="N6" s="27">
        <v>255</v>
      </c>
      <c r="T6" s="27" t="s">
        <v>159</v>
      </c>
      <c r="U6" s="27">
        <v>398</v>
      </c>
    </row>
    <row r="7" spans="1:21">
      <c r="A7" s="27" t="s">
        <v>167</v>
      </c>
      <c r="B7" s="59">
        <v>44323</v>
      </c>
      <c r="C7">
        <f t="shared" si="0"/>
        <v>5</v>
      </c>
      <c r="D7" s="27">
        <v>6</v>
      </c>
      <c r="E7" s="27">
        <f t="shared" si="1"/>
        <v>2</v>
      </c>
      <c r="G7" s="27" t="s">
        <v>168</v>
      </c>
      <c r="H7" s="27"/>
      <c r="I7" s="27">
        <v>2031</v>
      </c>
      <c r="M7" s="27" t="s">
        <v>164</v>
      </c>
      <c r="N7" s="27">
        <v>399</v>
      </c>
      <c r="T7" s="27" t="s">
        <v>162</v>
      </c>
      <c r="U7" s="27">
        <v>444</v>
      </c>
    </row>
    <row r="8" spans="1:21">
      <c r="A8" s="27" t="s">
        <v>169</v>
      </c>
      <c r="B8" s="59">
        <v>44259</v>
      </c>
      <c r="C8">
        <f t="shared" si="0"/>
        <v>3</v>
      </c>
      <c r="D8" s="27">
        <v>7</v>
      </c>
      <c r="E8" s="27">
        <f t="shared" si="1"/>
        <v>1</v>
      </c>
      <c r="I8" t="str">
        <f t="array" ref="I8">INDEX($G$1:$G$7,MATCH(2031,I1:I7,0))</f>
        <v>kanika </v>
      </c>
      <c r="M8" s="27" t="s">
        <v>162</v>
      </c>
      <c r="N8" s="27">
        <v>588</v>
      </c>
      <c r="T8" s="27" t="s">
        <v>154</v>
      </c>
      <c r="U8" s="27">
        <v>255</v>
      </c>
    </row>
    <row r="9" spans="1:21">
      <c r="A9" s="27" t="s">
        <v>170</v>
      </c>
      <c r="B9" s="59">
        <v>44413</v>
      </c>
      <c r="C9">
        <f t="shared" si="0"/>
        <v>8</v>
      </c>
      <c r="D9" s="27">
        <v>8</v>
      </c>
      <c r="E9" s="27">
        <f t="shared" si="1"/>
        <v>3</v>
      </c>
      <c r="G9" t="s">
        <v>161</v>
      </c>
      <c r="M9" s="27" t="s">
        <v>154</v>
      </c>
      <c r="N9" s="27">
        <v>528</v>
      </c>
      <c r="T9" s="27" t="s">
        <v>164</v>
      </c>
      <c r="U9" s="27">
        <v>399</v>
      </c>
    </row>
    <row r="10" spans="1:21">
      <c r="A10" s="27" t="s">
        <v>171</v>
      </c>
      <c r="B10" s="59">
        <v>44230</v>
      </c>
      <c r="C10">
        <f t="shared" si="0"/>
        <v>2</v>
      </c>
      <c r="D10" s="27">
        <v>9</v>
      </c>
      <c r="E10" s="27">
        <f t="shared" si="1"/>
        <v>2</v>
      </c>
      <c r="M10" s="27" t="s">
        <v>164</v>
      </c>
      <c r="N10" s="27">
        <v>454</v>
      </c>
      <c r="T10" s="27" t="s">
        <v>162</v>
      </c>
      <c r="U10" s="27">
        <v>588</v>
      </c>
    </row>
    <row r="11" spans="1:21">
      <c r="A11" s="27" t="s">
        <v>172</v>
      </c>
      <c r="B11" s="59">
        <v>44384</v>
      </c>
      <c r="C11">
        <f t="shared" si="0"/>
        <v>7</v>
      </c>
      <c r="D11" s="27">
        <v>10</v>
      </c>
      <c r="E11" s="27">
        <f t="shared" si="1"/>
        <v>2</v>
      </c>
      <c r="T11" s="27" t="s">
        <v>154</v>
      </c>
      <c r="U11" s="27">
        <v>528</v>
      </c>
    </row>
    <row r="12" spans="1:21">
      <c r="A12" s="27" t="s">
        <v>173</v>
      </c>
      <c r="B12" s="59">
        <v>19207</v>
      </c>
      <c r="C12">
        <f t="shared" si="0"/>
        <v>8</v>
      </c>
      <c r="D12" s="27">
        <v>11</v>
      </c>
      <c r="E12" s="27">
        <f t="shared" si="1"/>
        <v>1</v>
      </c>
      <c r="T12" s="27" t="s">
        <v>164</v>
      </c>
      <c r="U12" s="27">
        <v>454</v>
      </c>
    </row>
    <row r="13" spans="1:6">
      <c r="A13" s="27" t="s">
        <v>174</v>
      </c>
      <c r="B13" s="59">
        <v>19026</v>
      </c>
      <c r="C13">
        <f t="shared" si="0"/>
        <v>2</v>
      </c>
      <c r="D13" s="27">
        <v>12</v>
      </c>
      <c r="E13" s="27">
        <f t="shared" si="1"/>
        <v>2</v>
      </c>
      <c r="F13">
        <f>MAX($E$2:$E$13)</f>
        <v>3</v>
      </c>
    </row>
    <row r="14" spans="1:20">
      <c r="A14" s="27" t="s">
        <v>175</v>
      </c>
      <c r="B14" s="59">
        <v>19301</v>
      </c>
      <c r="C14">
        <f t="shared" si="0"/>
        <v>11</v>
      </c>
      <c r="T14" t="b">
        <f>MIN(U4:U12)=U4</f>
        <v>0</v>
      </c>
    </row>
    <row r="15" spans="1:3">
      <c r="A15" s="27" t="s">
        <v>176</v>
      </c>
      <c r="B15" s="59">
        <v>19271</v>
      </c>
      <c r="C15">
        <f t="shared" si="0"/>
        <v>10</v>
      </c>
    </row>
    <row r="16" spans="1:3">
      <c r="A16" s="27" t="s">
        <v>177</v>
      </c>
      <c r="B16" s="59">
        <v>19150</v>
      </c>
      <c r="C16">
        <f t="shared" si="0"/>
        <v>6</v>
      </c>
    </row>
    <row r="17" spans="1:3">
      <c r="A17" s="27" t="s">
        <v>178</v>
      </c>
      <c r="B17" s="59">
        <v>19273</v>
      </c>
      <c r="C17">
        <f t="shared" si="0"/>
        <v>10</v>
      </c>
    </row>
    <row r="18" spans="1:3">
      <c r="A18" s="27" t="s">
        <v>179</v>
      </c>
      <c r="B18" s="59">
        <v>19152</v>
      </c>
      <c r="C18">
        <f t="shared" si="0"/>
        <v>6</v>
      </c>
    </row>
    <row r="19" spans="1:3">
      <c r="A19" s="27" t="s">
        <v>180</v>
      </c>
      <c r="B19" s="59">
        <v>19245</v>
      </c>
      <c r="C19">
        <f t="shared" si="0"/>
        <v>9</v>
      </c>
    </row>
    <row r="20" spans="1:3">
      <c r="A20" s="27" t="s">
        <v>181</v>
      </c>
      <c r="B20" s="59">
        <v>19246</v>
      </c>
      <c r="C20">
        <f t="shared" si="0"/>
        <v>9</v>
      </c>
    </row>
    <row r="21" spans="1:3">
      <c r="A21" s="27" t="s">
        <v>182</v>
      </c>
      <c r="B21" s="59">
        <v>19338</v>
      </c>
      <c r="C21">
        <f t="shared" si="0"/>
        <v>12</v>
      </c>
    </row>
    <row r="22" spans="1:3">
      <c r="A22" s="27" t="s">
        <v>183</v>
      </c>
      <c r="B22" s="59">
        <v>19125</v>
      </c>
      <c r="C22">
        <f t="shared" si="0"/>
        <v>5</v>
      </c>
    </row>
    <row r="23" spans="1:3">
      <c r="A23" s="27" t="s">
        <v>184</v>
      </c>
      <c r="B23" s="59">
        <v>19340</v>
      </c>
      <c r="C23">
        <f t="shared" si="0"/>
        <v>12</v>
      </c>
    </row>
    <row r="24" spans="1:3">
      <c r="A24" s="27" t="s">
        <v>185</v>
      </c>
      <c r="B24" s="59">
        <v>19218</v>
      </c>
      <c r="C24">
        <f t="shared" si="0"/>
        <v>8</v>
      </c>
    </row>
    <row r="25" spans="1:3">
      <c r="A25" s="27" t="s">
        <v>186</v>
      </c>
      <c r="B25" s="59">
        <v>19103</v>
      </c>
      <c r="C25">
        <f t="shared" si="0"/>
        <v>4</v>
      </c>
    </row>
  </sheetData>
  <mergeCells count="1">
    <mergeCell ref="T1:U2"/>
  </mergeCells>
  <conditionalFormatting sqref="G1:I7">
    <cfRule type="expression" dxfId="2" priority="7">
      <formula>$G$9=$G1:$I7</formula>
    </cfRule>
  </conditionalFormatting>
  <conditionalFormatting sqref="M2:N10">
    <cfRule type="expression" dxfId="3" priority="6">
      <formula>$R$3=$N2:$N10</formula>
    </cfRule>
  </conditionalFormatting>
  <dataValidations count="2">
    <dataValidation type="list" allowBlank="1" showInputMessage="1" showErrorMessage="1" sqref="G9">
      <formula1>$G$1:$G$7</formula1>
    </dataValidation>
    <dataValidation type="list" allowBlank="1" showInputMessage="1" showErrorMessage="1" sqref="Q3">
      <formula1>$K$1:$K$4</formula1>
    </dataValidation>
  </dataValidations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e84a827d-ae8d-4ec7-8c78-46c994f97f1e}">
            <xm:f>NOT(ISERROR(SEARCH(MAX($E$2:$E$13),D2)))</xm:f>
            <xm:f>MAX($E$2:$E$13)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D2:E13</xm:sqref>
        </x14:conditionalFormatting>
        <x14:conditionalFormatting xmlns:xm="http://schemas.microsoft.com/office/excel/2006/main">
          <x14:cfRule type="containsText" priority="1" operator="containsText" id="{ca16d166-8cec-47e1-b9a7-cb33047d21f1}">
            <xm:f>NOT(ISERROR(SEARCH(MIN($U$4:$U$12),T3)))</xm:f>
            <xm:f>MIN($U$4:$U$12)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T3:U12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F12" sqref="F12"/>
    </sheetView>
  </sheetViews>
  <sheetFormatPr defaultColWidth="9.14285714285714" defaultRowHeight="15"/>
  <cols>
    <col min="1" max="2" width="20.1428571428571" customWidth="1"/>
    <col min="4" max="4" width="31.4285714285714" customWidth="1"/>
    <col min="5" max="5" width="10.2857142857143"/>
    <col min="10" max="10" width="7" customWidth="1"/>
    <col min="11" max="13" width="10.2857142857143" customWidth="1"/>
  </cols>
  <sheetData>
    <row r="1" spans="1:7">
      <c r="A1" t="s">
        <v>187</v>
      </c>
      <c r="B1" t="str">
        <f>SUBSTITUTE(A1,98,"")</f>
        <v>deeksha</v>
      </c>
      <c r="D1" s="27"/>
      <c r="E1" s="27"/>
      <c r="F1" s="27" t="s">
        <v>188</v>
      </c>
      <c r="G1" s="27" t="s">
        <v>189</v>
      </c>
    </row>
    <row r="2" spans="4:13">
      <c r="D2" s="27" t="s">
        <v>190</v>
      </c>
      <c r="E2" s="27">
        <f t="shared" ref="E2:E7" si="0">IF(ISNUMBER(ISNUMBER(FIND(" is",D2)))&amp;ISNUMBER(FIND(" the",D2))="falsefalse","n",IF(AND(ISNUMBER(FIND(" is",D2)),ISNUMBER(FIND(" the",D2))),2,1))</f>
        <v>2</v>
      </c>
      <c r="F2" s="27">
        <f t="shared" ref="F2:F7" si="1">IF(ISNUMBER(FIND(" is",D2)),1,"")</f>
        <v>1</v>
      </c>
      <c r="G2" s="27">
        <f t="shared" ref="G2:G7" si="2">IF(ISNUMBER(FIND(" the",D2)),1,"")</f>
        <v>1</v>
      </c>
      <c r="J2" s="58" t="s">
        <v>191</v>
      </c>
      <c r="K2" s="58" t="s">
        <v>192</v>
      </c>
      <c r="L2" s="58" t="s">
        <v>192</v>
      </c>
      <c r="M2" s="58" t="s">
        <v>192</v>
      </c>
    </row>
    <row r="3" spans="4:13">
      <c r="D3" s="27" t="s">
        <v>193</v>
      </c>
      <c r="E3" s="27" t="str">
        <f t="shared" si="0"/>
        <v>n</v>
      </c>
      <c r="F3" s="27" t="str">
        <f t="shared" si="1"/>
        <v/>
      </c>
      <c r="G3" s="27" t="str">
        <f t="shared" si="2"/>
        <v/>
      </c>
      <c r="J3" s="27" t="s">
        <v>188</v>
      </c>
      <c r="K3" s="45">
        <f>SUM(F2:F7)</f>
        <v>3</v>
      </c>
      <c r="L3" s="27">
        <f>SUMPRODUCT(--ISNUMBER(FIND(" is",$D$2:$D$7)))</f>
        <v>3</v>
      </c>
      <c r="M3" s="27">
        <f t="array" ref="M3">COUNT(FIND(" is",$D$2:$D$7))</f>
        <v>3</v>
      </c>
    </row>
    <row r="4" spans="4:13">
      <c r="D4" s="27" t="s">
        <v>194</v>
      </c>
      <c r="E4" s="27">
        <f t="shared" si="0"/>
        <v>1</v>
      </c>
      <c r="F4" s="27" t="str">
        <f t="shared" si="1"/>
        <v/>
      </c>
      <c r="G4" s="27">
        <f t="shared" si="2"/>
        <v>1</v>
      </c>
      <c r="J4" s="27" t="s">
        <v>189</v>
      </c>
      <c r="K4" s="45">
        <f>SUM(G2:G7)</f>
        <v>4</v>
      </c>
      <c r="L4" s="27">
        <f>SUMPRODUCT(--ISNUMBER(FIND(" the",$D$2:$D$7)))</f>
        <v>4</v>
      </c>
      <c r="M4" s="27">
        <f t="array" ref="M4">COUNT(FIND(" the",$D$2:$D$7))</f>
        <v>4</v>
      </c>
    </row>
    <row r="5" spans="4:7">
      <c r="D5" s="27" t="s">
        <v>195</v>
      </c>
      <c r="E5" s="27">
        <f t="shared" si="0"/>
        <v>2</v>
      </c>
      <c r="F5" s="27">
        <f t="shared" si="1"/>
        <v>1</v>
      </c>
      <c r="G5" s="27">
        <f t="shared" si="2"/>
        <v>1</v>
      </c>
    </row>
    <row r="6" spans="4:7">
      <c r="D6" s="27" t="s">
        <v>196</v>
      </c>
      <c r="E6" s="27">
        <f t="shared" si="0"/>
        <v>2</v>
      </c>
      <c r="F6" s="27">
        <f t="shared" si="1"/>
        <v>1</v>
      </c>
      <c r="G6" s="27">
        <f t="shared" si="2"/>
        <v>1</v>
      </c>
    </row>
    <row r="7" spans="4:7">
      <c r="D7" s="27" t="s">
        <v>197</v>
      </c>
      <c r="E7" s="27" t="str">
        <f t="shared" si="0"/>
        <v>n</v>
      </c>
      <c r="F7" s="27" t="str">
        <f t="shared" si="1"/>
        <v/>
      </c>
      <c r="G7" s="27" t="str">
        <f t="shared" si="2"/>
        <v/>
      </c>
    </row>
    <row r="10" spans="4:5">
      <c r="D10" s="24">
        <v>40558</v>
      </c>
      <c r="E10" s="32">
        <f>EOMONTH(D10,-1)+1</f>
        <v>40544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opLeftCell="G10" workbookViewId="0">
      <selection activeCell="R9" sqref="R9"/>
    </sheetView>
  </sheetViews>
  <sheetFormatPr defaultColWidth="9.14285714285714" defaultRowHeight="15"/>
  <cols>
    <col min="1" max="1" width="10" customWidth="1"/>
    <col min="5" max="5" width="12.5714285714286" customWidth="1"/>
    <col min="6" max="6" width="10.5714285714286" customWidth="1"/>
    <col min="7" max="7" width="21.8571428571429" customWidth="1"/>
    <col min="9" max="9" width="14.4285714285714" customWidth="1"/>
    <col min="10" max="11" width="18.8571428571429" customWidth="1"/>
    <col min="12" max="12" width="21.1428571428571" customWidth="1"/>
    <col min="13" max="13" width="6.71428571428571" customWidth="1"/>
    <col min="14" max="15" width="10.5714285714286" customWidth="1"/>
    <col min="16" max="17" width="6.71428571428571" customWidth="1"/>
  </cols>
  <sheetData>
    <row r="1" spans="1:17">
      <c r="A1" s="27" t="s">
        <v>170</v>
      </c>
      <c r="B1" s="27"/>
      <c r="D1" s="47" t="s">
        <v>198</v>
      </c>
      <c r="E1" s="47" t="s">
        <v>199</v>
      </c>
      <c r="F1" s="47" t="s">
        <v>200</v>
      </c>
      <c r="G1" s="47" t="s">
        <v>201</v>
      </c>
      <c r="I1" s="52" t="s">
        <v>202</v>
      </c>
      <c r="J1" s="53"/>
      <c r="L1" s="47" t="s">
        <v>203</v>
      </c>
      <c r="M1" s="47" t="s">
        <v>204</v>
      </c>
      <c r="O1" s="47" t="s">
        <v>203</v>
      </c>
      <c r="P1" s="47" t="s">
        <v>204</v>
      </c>
      <c r="Q1" s="47" t="s">
        <v>204</v>
      </c>
    </row>
    <row r="2" spans="1:17">
      <c r="A2" s="27" t="s">
        <v>205</v>
      </c>
      <c r="B2" s="27"/>
      <c r="D2" s="27" t="s">
        <v>206</v>
      </c>
      <c r="E2" s="27" t="s">
        <v>207</v>
      </c>
      <c r="F2" s="45">
        <v>1155</v>
      </c>
      <c r="G2" s="48" t="str">
        <f>IF(D2=$G$14,H14&amp;F2*$I$14,IF(D2=$G$15,H15&amp;F2*$I$15,IF(D2=$G$16,H16&amp;F2*$I$16)))</f>
        <v>₹61850.25</v>
      </c>
      <c r="I2" s="27" t="s">
        <v>208</v>
      </c>
      <c r="J2" s="27" t="s">
        <v>209</v>
      </c>
      <c r="L2" s="27" t="s">
        <v>210</v>
      </c>
      <c r="M2" s="27">
        <v>1769</v>
      </c>
      <c r="O2" s="27" t="s">
        <v>211</v>
      </c>
      <c r="P2" s="54">
        <f>VLOOKUP(O2&amp;" "&amp;O3&amp;" "&amp;O4,L1:M8,2,0)</f>
        <v>1769</v>
      </c>
      <c r="Q2" s="31">
        <f>VLOOKUP(_xlfn.TEXTJOIN(" ",1,O2:O4),$L$1:$M$8,2,0)</f>
        <v>1769</v>
      </c>
    </row>
    <row r="3" spans="1:17">
      <c r="A3" s="27" t="s">
        <v>212</v>
      </c>
      <c r="B3" s="27"/>
      <c r="D3" s="27" t="s">
        <v>213</v>
      </c>
      <c r="E3" s="27" t="s">
        <v>214</v>
      </c>
      <c r="F3" s="45">
        <v>2698</v>
      </c>
      <c r="G3" s="48" t="str">
        <f t="shared" ref="G3:G11" si="0">IF(D3=$G$14,"₤"&amp;F3*$I$14,IF(D3=$G$15,"₹"&amp;F3*$I$15,IF(D3=$G$16,"¥"&amp;F3*$I$16)))</f>
        <v>₤1699.74</v>
      </c>
      <c r="I3" s="27" t="s">
        <v>208</v>
      </c>
      <c r="J3" s="27" t="s">
        <v>215</v>
      </c>
      <c r="L3" s="27" t="s">
        <v>216</v>
      </c>
      <c r="M3" s="27">
        <v>2785</v>
      </c>
      <c r="O3" s="27" t="s">
        <v>217</v>
      </c>
      <c r="P3" s="55"/>
      <c r="Q3" s="31"/>
    </row>
    <row r="4" spans="1:17">
      <c r="A4" s="27" t="s">
        <v>218</v>
      </c>
      <c r="B4" s="27"/>
      <c r="D4" s="27" t="s">
        <v>219</v>
      </c>
      <c r="E4" s="27" t="s">
        <v>220</v>
      </c>
      <c r="F4" s="45">
        <v>3587</v>
      </c>
      <c r="G4" s="48" t="str">
        <f t="shared" si="0"/>
        <v>¥356906.5</v>
      </c>
      <c r="I4" s="27" t="s">
        <v>208</v>
      </c>
      <c r="J4" s="27" t="s">
        <v>221</v>
      </c>
      <c r="L4" s="27" t="s">
        <v>222</v>
      </c>
      <c r="M4" s="27">
        <v>2459</v>
      </c>
      <c r="O4" s="27" t="s">
        <v>223</v>
      </c>
      <c r="P4" s="56"/>
      <c r="Q4" s="31"/>
    </row>
    <row r="5" spans="1:13">
      <c r="A5" s="27" t="s">
        <v>224</v>
      </c>
      <c r="B5" s="27"/>
      <c r="D5" s="27" t="s">
        <v>219</v>
      </c>
      <c r="E5" s="27" t="s">
        <v>225</v>
      </c>
      <c r="F5" s="45">
        <v>1702</v>
      </c>
      <c r="G5" s="48" t="str">
        <f t="shared" si="0"/>
        <v>¥169349</v>
      </c>
      <c r="L5" s="27" t="s">
        <v>226</v>
      </c>
      <c r="M5" s="27">
        <v>2369</v>
      </c>
    </row>
    <row r="6" spans="4:13">
      <c r="D6" s="27" t="s">
        <v>213</v>
      </c>
      <c r="E6" s="27" t="s">
        <v>227</v>
      </c>
      <c r="F6" s="45">
        <v>4589</v>
      </c>
      <c r="G6" s="48" t="str">
        <f t="shared" si="0"/>
        <v>₤2891.07</v>
      </c>
      <c r="L6" s="27" t="s">
        <v>228</v>
      </c>
      <c r="M6" s="27">
        <v>2987</v>
      </c>
    </row>
    <row r="7" spans="4:13">
      <c r="D7" s="27" t="s">
        <v>206</v>
      </c>
      <c r="E7" s="27" t="s">
        <v>229</v>
      </c>
      <c r="F7" s="45">
        <v>4378</v>
      </c>
      <c r="G7" s="48" t="str">
        <f t="shared" si="0"/>
        <v>₹234441.9</v>
      </c>
      <c r="L7" s="27" t="s">
        <v>230</v>
      </c>
      <c r="M7" s="27">
        <v>1685</v>
      </c>
    </row>
    <row r="8" spans="4:13">
      <c r="D8" s="27" t="s">
        <v>213</v>
      </c>
      <c r="E8" s="27" t="s">
        <v>231</v>
      </c>
      <c r="F8" s="45">
        <v>698</v>
      </c>
      <c r="G8" s="48" t="str">
        <f t="shared" si="0"/>
        <v>₤439.74</v>
      </c>
      <c r="L8" s="27" t="s">
        <v>232</v>
      </c>
      <c r="M8" s="27">
        <v>2145</v>
      </c>
    </row>
    <row r="9" spans="4:7">
      <c r="D9" s="27" t="s">
        <v>206</v>
      </c>
      <c r="E9" s="27" t="s">
        <v>233</v>
      </c>
      <c r="F9" s="45">
        <v>2718</v>
      </c>
      <c r="G9" s="48" t="str">
        <f t="shared" si="0"/>
        <v>₹145548.9</v>
      </c>
    </row>
    <row r="10" spans="4:7">
      <c r="D10" s="27" t="s">
        <v>219</v>
      </c>
      <c r="E10" s="27" t="s">
        <v>234</v>
      </c>
      <c r="F10" s="45">
        <v>2498</v>
      </c>
      <c r="G10" s="48" t="str">
        <f t="shared" si="0"/>
        <v>¥248551</v>
      </c>
    </row>
    <row r="11" spans="4:7">
      <c r="D11" s="27" t="s">
        <v>213</v>
      </c>
      <c r="E11" s="27" t="s">
        <v>235</v>
      </c>
      <c r="F11" s="45">
        <v>658</v>
      </c>
      <c r="G11" s="48" t="str">
        <f t="shared" si="0"/>
        <v>₤414.54</v>
      </c>
    </row>
    <row r="13" spans="7:9">
      <c r="G13" s="47" t="s">
        <v>198</v>
      </c>
      <c r="H13" s="47" t="s">
        <v>236</v>
      </c>
      <c r="I13" s="47" t="s">
        <v>202</v>
      </c>
    </row>
    <row r="14" spans="7:9">
      <c r="G14" s="49" t="s">
        <v>213</v>
      </c>
      <c r="H14" s="50" t="s">
        <v>237</v>
      </c>
      <c r="I14" s="49">
        <v>0.63</v>
      </c>
    </row>
    <row r="15" spans="7:9">
      <c r="G15" s="49" t="s">
        <v>206</v>
      </c>
      <c r="H15" s="50" t="s">
        <v>238</v>
      </c>
      <c r="I15" s="49">
        <v>53.55</v>
      </c>
    </row>
    <row r="16" spans="7:9">
      <c r="G16" s="49" t="s">
        <v>219</v>
      </c>
      <c r="H16" s="50" t="s">
        <v>239</v>
      </c>
      <c r="I16" s="57">
        <v>99.5</v>
      </c>
    </row>
    <row r="18" spans="8:8">
      <c r="H18" s="51"/>
    </row>
  </sheetData>
  <mergeCells count="3">
    <mergeCell ref="I1:J1"/>
    <mergeCell ref="P2:P4"/>
    <mergeCell ref="Q2:Q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opLeftCell="A2" workbookViewId="0">
      <selection activeCell="F13" sqref="F13"/>
    </sheetView>
  </sheetViews>
  <sheetFormatPr defaultColWidth="9.14285714285714" defaultRowHeight="15"/>
  <cols>
    <col min="1" max="1" width="12.5714285714286" customWidth="1"/>
    <col min="2" max="2" width="14" customWidth="1"/>
    <col min="3" max="3" width="15.8571428571429" customWidth="1"/>
    <col min="4" max="4" width="11.4285714285714" customWidth="1"/>
    <col min="5" max="5" width="12.5714285714286" customWidth="1"/>
    <col min="6" max="6" width="29.1428571428571" customWidth="1"/>
    <col min="7" max="7" width="30.2857142857143" customWidth="1"/>
    <col min="9" max="10" width="6.42857142857143" customWidth="1"/>
    <col min="13" max="13" width="17.7142857142857" customWidth="1"/>
  </cols>
  <sheetData>
    <row r="1" ht="60" spans="1:7">
      <c r="A1" s="41" t="s">
        <v>240</v>
      </c>
      <c r="B1" s="42" t="s">
        <v>241</v>
      </c>
      <c r="C1" s="42" t="s">
        <v>242</v>
      </c>
      <c r="E1" s="41" t="s">
        <v>240</v>
      </c>
      <c r="F1" s="42" t="s">
        <v>243</v>
      </c>
      <c r="G1" s="42" t="s">
        <v>244</v>
      </c>
    </row>
    <row r="2" spans="1:7">
      <c r="A2" s="27">
        <v>123456789</v>
      </c>
      <c r="B2" s="27" t="str">
        <f>LEFT(A2,3)&amp;"-"&amp;MID(A2,4,3)&amp;"-"&amp;RIGHT(A2,3)</f>
        <v>123-456-789</v>
      </c>
      <c r="C2" s="27" t="str">
        <f>REPLACE(REPLACE(A2,4,0,"-"),8,0,"-")</f>
        <v>123-456-789</v>
      </c>
      <c r="E2" s="27" t="s">
        <v>245</v>
      </c>
      <c r="F2" s="27" t="str">
        <f>REPLACE(REPLACE(REPLACE(E2,1,2,"Project "),FIND(", ",REPLACE(E2,1,2,"Project "))+2,2,"Milestone "),25,1,"Task ")</f>
        <v>Project 1, Milestone 1, Task 1</v>
      </c>
      <c r="G2" s="27" t="str">
        <f>SUBSTITUTE(SUBSTITUTE(SUBSTITUTE(E2,"PR","Project "),"ML","Milestone "),"T","Task ")</f>
        <v>Project 1, Milestone 1, Task 1</v>
      </c>
    </row>
    <row r="3" spans="1:7">
      <c r="A3" s="27">
        <v>987456123</v>
      </c>
      <c r="B3" s="27" t="str">
        <f>LEFT(A3,3)&amp;"-"&amp;MID(A3,4,3)&amp;"-"&amp;RIGHT(A3,3)</f>
        <v>987-456-123</v>
      </c>
      <c r="C3" s="27" t="str">
        <f>REPLACE(REPLACE(A3,4,0,"-"),8,0,"-")</f>
        <v>987-456-123</v>
      </c>
      <c r="E3" s="27" t="s">
        <v>246</v>
      </c>
      <c r="F3" s="27" t="str">
        <f t="shared" ref="F3:F8" si="0">REPLACE(REPLACE(REPLACE(E3,1,2,"Project "),FIND(", ",REPLACE(E3,1,2,"Project "))+2,2,"Milestone "),25,1,"Task ")</f>
        <v>Project 1, Milestone 2, Task 2</v>
      </c>
      <c r="G3" s="27" t="str">
        <f t="shared" ref="G3:G8" si="1">SUBSTITUTE(SUBSTITUTE(SUBSTITUTE(E3,"PR","Project "),"ML","Milestone "),"T","Task ")</f>
        <v>Project 1, Milestone 2, Task 2</v>
      </c>
    </row>
    <row r="4" spans="1:7">
      <c r="A4" s="27">
        <v>987654321</v>
      </c>
      <c r="B4" s="27" t="str">
        <f>LEFT(A4,3)&amp;"-"&amp;MID(A4,4,3)&amp;"-"&amp;RIGHT(A4,3)</f>
        <v>987-654-321</v>
      </c>
      <c r="C4" s="27" t="str">
        <f>REPLACE(REPLACE(A4,4,0,"-"),8,0,"-")</f>
        <v>987-654-321</v>
      </c>
      <c r="E4" s="27" t="s">
        <v>247</v>
      </c>
      <c r="F4" s="27" t="str">
        <f t="shared" si="0"/>
        <v>Project 2, Milestone 1, Task 3</v>
      </c>
      <c r="G4" s="27" t="str">
        <f t="shared" si="1"/>
        <v>Project 2, Milestone 1, Task 3</v>
      </c>
    </row>
    <row r="5" spans="1:7">
      <c r="A5" s="27">
        <v>856974123</v>
      </c>
      <c r="B5" s="27" t="str">
        <f>LEFT(A5,3)&amp;"-"&amp;MID(A5,4,3)&amp;"-"&amp;RIGHT(A5,3)</f>
        <v>856-974-123</v>
      </c>
      <c r="C5" s="27" t="str">
        <f>REPLACE(REPLACE(A5,4,0,"-"),8,0,"-")</f>
        <v>856-974-123</v>
      </c>
      <c r="E5" s="27" t="s">
        <v>248</v>
      </c>
      <c r="F5" s="27" t="str">
        <f t="shared" si="0"/>
        <v>Project 3, Milestone 3, Task 1</v>
      </c>
      <c r="G5" s="27" t="str">
        <f t="shared" si="1"/>
        <v>Project 3, Milestone 3, Task 1</v>
      </c>
    </row>
    <row r="6" spans="1:10">
      <c r="A6" s="27">
        <v>357951456</v>
      </c>
      <c r="B6" s="27" t="str">
        <f>LEFT(A6,3)&amp;"-"&amp;MID(A6,4,3)&amp;"-"&amp;RIGHT(A6,3)</f>
        <v>357-951-456</v>
      </c>
      <c r="C6" s="27" t="str">
        <f>REPLACE(REPLACE(A6,4,0,"-"),8,0,"-")</f>
        <v>357-951-456</v>
      </c>
      <c r="E6" s="27" t="s">
        <v>249</v>
      </c>
      <c r="F6" s="27" t="str">
        <f t="shared" si="0"/>
        <v>Project 1, Milestone 1, Task 4</v>
      </c>
      <c r="G6" s="27" t="str">
        <f t="shared" si="1"/>
        <v>Project 1, Milestone 1, Task 4</v>
      </c>
      <c r="I6" s="27" t="s">
        <v>250</v>
      </c>
      <c r="J6" s="27" t="s">
        <v>251</v>
      </c>
    </row>
    <row r="7" spans="5:10">
      <c r="E7" s="27" t="s">
        <v>252</v>
      </c>
      <c r="F7" s="27" t="str">
        <f t="shared" si="0"/>
        <v>Project 2, Milestone 2, Task 3</v>
      </c>
      <c r="G7" s="27" t="str">
        <f t="shared" si="1"/>
        <v>Project 2, Milestone 2, Task 3</v>
      </c>
      <c r="I7" s="27">
        <v>524</v>
      </c>
      <c r="J7" s="27">
        <v>325</v>
      </c>
    </row>
    <row r="8" spans="5:10">
      <c r="E8" s="27" t="s">
        <v>249</v>
      </c>
      <c r="F8" s="27" t="str">
        <f t="shared" si="0"/>
        <v>Project 1, Milestone 1, Task 4</v>
      </c>
      <c r="G8" s="27" t="str">
        <f t="shared" si="1"/>
        <v>Project 1, Milestone 1, Task 4</v>
      </c>
      <c r="I8" s="27">
        <v>128</v>
      </c>
      <c r="J8" s="27">
        <v>841</v>
      </c>
    </row>
    <row r="9" spans="1:10">
      <c r="A9" s="41" t="s">
        <v>253</v>
      </c>
      <c r="B9" s="41" t="s">
        <v>254</v>
      </c>
      <c r="I9" s="27">
        <v>456</v>
      </c>
      <c r="J9" s="27">
        <v>123</v>
      </c>
    </row>
    <row r="10" spans="1:10">
      <c r="A10" s="43">
        <v>43952</v>
      </c>
      <c r="B10" s="27">
        <v>26</v>
      </c>
      <c r="I10" s="27">
        <v>111</v>
      </c>
      <c r="J10" s="27">
        <v>258</v>
      </c>
    </row>
    <row r="11" spans="1:10">
      <c r="A11" s="43">
        <v>43953</v>
      </c>
      <c r="B11" s="27">
        <v>10</v>
      </c>
      <c r="D11" s="41" t="s">
        <v>255</v>
      </c>
      <c r="E11" s="44">
        <v>43961</v>
      </c>
      <c r="I11" s="27">
        <v>231</v>
      </c>
      <c r="J11" s="27">
        <v>145</v>
      </c>
    </row>
    <row r="12" spans="1:10">
      <c r="A12" s="43">
        <v>43954</v>
      </c>
      <c r="B12" s="27">
        <v>2</v>
      </c>
      <c r="D12" s="41" t="s">
        <v>256</v>
      </c>
      <c r="E12" s="44">
        <v>43967</v>
      </c>
      <c r="I12" s="27">
        <v>458</v>
      </c>
      <c r="J12" s="27">
        <v>357</v>
      </c>
    </row>
    <row r="13" spans="1:10">
      <c r="A13" s="43">
        <v>43955</v>
      </c>
      <c r="B13" s="27">
        <v>13</v>
      </c>
      <c r="D13" s="27" t="s">
        <v>257</v>
      </c>
      <c r="E13" s="45">
        <f>SUMIFS(B10:B39,A10:A39,"&gt;="&amp;E11,A10:A39,"&lt;="&amp;E12)</f>
        <v>111</v>
      </c>
      <c r="F13">
        <f>SUMIFS($B$10:$B$39,$A$10:$A$39,"&gt;="&amp;E11,$A$10:$A$39,"&lt;="&amp;E12)</f>
        <v>111</v>
      </c>
      <c r="I13" s="27">
        <v>762</v>
      </c>
      <c r="J13" s="27">
        <v>951</v>
      </c>
    </row>
    <row r="14" spans="1:10">
      <c r="A14" s="43">
        <v>43956</v>
      </c>
      <c r="B14" s="27">
        <v>11</v>
      </c>
      <c r="I14" s="27">
        <v>159</v>
      </c>
      <c r="J14" s="27">
        <v>222</v>
      </c>
    </row>
    <row r="15" spans="1:10">
      <c r="A15" s="43">
        <v>43957</v>
      </c>
      <c r="B15" s="27">
        <v>3</v>
      </c>
      <c r="F15" s="32"/>
      <c r="I15" s="27">
        <v>753</v>
      </c>
      <c r="J15" s="27">
        <v>147</v>
      </c>
    </row>
    <row r="16" spans="1:10">
      <c r="A16" s="43">
        <v>43958</v>
      </c>
      <c r="B16" s="27">
        <v>16</v>
      </c>
      <c r="D16">
        <f>INDEX($B$10:$B$39,MATCH(9.9999E+307,$B$10:$B$39))</f>
        <v>7</v>
      </c>
      <c r="I16" s="27">
        <v>148</v>
      </c>
      <c r="J16" s="27">
        <v>256</v>
      </c>
    </row>
    <row r="17" spans="1:2">
      <c r="A17" s="43">
        <v>43959</v>
      </c>
      <c r="B17" s="27">
        <v>7</v>
      </c>
    </row>
    <row r="18" spans="1:2">
      <c r="A18" s="43">
        <v>43960</v>
      </c>
      <c r="B18" s="27">
        <v>23</v>
      </c>
    </row>
    <row r="19" spans="1:2">
      <c r="A19" s="43">
        <v>43961</v>
      </c>
      <c r="B19" s="27">
        <v>23</v>
      </c>
    </row>
    <row r="20" spans="1:2">
      <c r="A20" s="43">
        <v>43962</v>
      </c>
      <c r="B20" s="27">
        <v>12</v>
      </c>
    </row>
    <row r="21" spans="1:2">
      <c r="A21" s="43">
        <v>43963</v>
      </c>
      <c r="B21" s="27">
        <v>4</v>
      </c>
    </row>
    <row r="22" spans="1:2">
      <c r="A22" s="43">
        <v>43964</v>
      </c>
      <c r="B22" s="27">
        <v>20</v>
      </c>
    </row>
    <row r="23" spans="1:2">
      <c r="A23" s="43">
        <v>43965</v>
      </c>
      <c r="B23" s="27">
        <v>21</v>
      </c>
    </row>
    <row r="24" spans="1:2">
      <c r="A24" s="43">
        <v>43966</v>
      </c>
      <c r="B24" s="27">
        <v>21</v>
      </c>
    </row>
    <row r="25" spans="1:2">
      <c r="A25" s="43">
        <v>43967</v>
      </c>
      <c r="B25" s="27">
        <v>10</v>
      </c>
    </row>
    <row r="26" spans="1:2">
      <c r="A26" s="43">
        <v>43968</v>
      </c>
      <c r="B26" s="27">
        <v>13</v>
      </c>
    </row>
    <row r="27" spans="1:2">
      <c r="A27" s="43">
        <v>43969</v>
      </c>
      <c r="B27" s="27">
        <v>12</v>
      </c>
    </row>
    <row r="28" spans="1:2">
      <c r="A28" s="43">
        <v>43970</v>
      </c>
      <c r="B28" s="27">
        <v>24</v>
      </c>
    </row>
    <row r="29" spans="1:2">
      <c r="A29" s="43">
        <v>43971</v>
      </c>
      <c r="B29" s="27">
        <v>12</v>
      </c>
    </row>
    <row r="30" spans="1:2">
      <c r="A30" s="43">
        <v>43972</v>
      </c>
      <c r="B30" s="27">
        <v>17</v>
      </c>
    </row>
    <row r="31" spans="1:2">
      <c r="A31" s="43">
        <v>43973</v>
      </c>
      <c r="B31" s="27">
        <v>19</v>
      </c>
    </row>
    <row r="32" spans="1:2">
      <c r="A32" s="43">
        <v>43974</v>
      </c>
      <c r="B32" s="27">
        <v>15</v>
      </c>
    </row>
    <row r="33" spans="1:2">
      <c r="A33" s="43">
        <v>43975</v>
      </c>
      <c r="B33" s="27">
        <v>4</v>
      </c>
    </row>
    <row r="34" spans="1:2">
      <c r="A34" s="43">
        <v>43976</v>
      </c>
      <c r="B34" s="27">
        <v>3</v>
      </c>
    </row>
    <row r="35" spans="1:2">
      <c r="A35" s="43">
        <v>43977</v>
      </c>
      <c r="B35" s="27">
        <v>9</v>
      </c>
    </row>
    <row r="36" spans="1:2">
      <c r="A36" s="43">
        <v>43978</v>
      </c>
      <c r="B36" s="27">
        <v>4</v>
      </c>
    </row>
    <row r="37" spans="1:2">
      <c r="A37" s="43">
        <v>43979</v>
      </c>
      <c r="B37" s="27">
        <v>16</v>
      </c>
    </row>
    <row r="38" spans="1:2">
      <c r="A38" s="43">
        <v>43980</v>
      </c>
      <c r="B38" s="27">
        <v>5</v>
      </c>
    </row>
    <row r="39" spans="1:2">
      <c r="A39" s="43">
        <v>43981</v>
      </c>
      <c r="B39" s="27">
        <v>7</v>
      </c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</sheetData>
  <conditionalFormatting sqref="I7:I16">
    <cfRule type="expression" dxfId="2" priority="1">
      <formula>IF($I7&gt;$J7,TRUE(),FALSE())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8" sqref="B8"/>
    </sheetView>
  </sheetViews>
  <sheetFormatPr defaultColWidth="9.14285714285714" defaultRowHeight="15" outlineLevelRow="7" outlineLevelCol="4"/>
  <cols>
    <col min="1" max="1" width="2.57142857142857" customWidth="1"/>
    <col min="2" max="2" width="8.28571428571429" customWidth="1"/>
    <col min="3" max="3" width="2.57142857142857" customWidth="1"/>
    <col min="6" max="6" width="10" customWidth="1"/>
  </cols>
  <sheetData>
    <row r="1" spans="1:3">
      <c r="A1" s="31" t="s">
        <v>258</v>
      </c>
      <c r="B1" s="31"/>
      <c r="C1" s="31"/>
    </row>
    <row r="2" spans="1:3">
      <c r="A2" s="27">
        <f>IF(B2="","",COUNTA($B$2:B2))</f>
        <v>1</v>
      </c>
      <c r="B2" s="27" t="s">
        <v>259</v>
      </c>
      <c r="C2" s="27">
        <f>IF(ISTEXT(B2),COUNTA($B$2:B2),"")</f>
        <v>1</v>
      </c>
    </row>
    <row r="3" spans="1:5">
      <c r="A3" s="27" t="str">
        <f>IF(B3="","",COUNTA($B$2:B3))</f>
        <v/>
      </c>
      <c r="B3" s="27"/>
      <c r="C3" s="27" t="str">
        <f>IF(ISTEXT(B3),COUNTA($B$2:B3),"")</f>
        <v/>
      </c>
      <c r="E3" t="str">
        <f ca="1">CHAR(RANDBETWEEN(CODE("A"),CODE("Z")))</f>
        <v>B</v>
      </c>
    </row>
    <row r="4" spans="1:3">
      <c r="A4" s="27">
        <f>IF(B4="","",COUNTA($B$2:B4))</f>
        <v>2</v>
      </c>
      <c r="B4" s="27" t="s">
        <v>260</v>
      </c>
      <c r="C4" s="27">
        <f>IF(ISTEXT(B4),COUNTA($B$2:B4),"")</f>
        <v>2</v>
      </c>
    </row>
    <row r="5" spans="1:3">
      <c r="A5" s="27">
        <f>IF(B5="","",COUNTA($B$2:B5))</f>
        <v>3</v>
      </c>
      <c r="B5" s="27" t="s">
        <v>261</v>
      </c>
      <c r="C5" s="27">
        <f>IF(ISTEXT(B5),COUNTA($B$2:B5),"")</f>
        <v>3</v>
      </c>
    </row>
    <row r="6" spans="1:3">
      <c r="A6" s="27" t="str">
        <f>IF(B6="","",COUNTA($B$2:B6))</f>
        <v/>
      </c>
      <c r="B6" s="27"/>
      <c r="C6" s="27" t="str">
        <f>IF(ISTEXT(B6),COUNTA($B$2:B6),"")</f>
        <v/>
      </c>
    </row>
    <row r="7" spans="1:3">
      <c r="A7" s="27">
        <f>IF(B7="","",COUNTA($B$2:B7))</f>
        <v>4</v>
      </c>
      <c r="B7" s="27" t="s">
        <v>262</v>
      </c>
      <c r="C7" s="27">
        <f>IF(ISTEXT(B7),COUNTA($B$2:B7),"")</f>
        <v>4</v>
      </c>
    </row>
    <row r="8" spans="1:3">
      <c r="A8" s="27"/>
      <c r="B8" s="27">
        <f>COUNTA(B2:B7)</f>
        <v>4</v>
      </c>
      <c r="C8" s="27"/>
    </row>
  </sheetData>
  <mergeCells count="1">
    <mergeCell ref="A1:C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G22" sqref="F20:G22"/>
    </sheetView>
  </sheetViews>
  <sheetFormatPr defaultColWidth="9.14285714285714" defaultRowHeight="15"/>
  <cols>
    <col min="1" max="1" width="21.8571428571429" customWidth="1"/>
    <col min="6" max="6" width="17.2857142857143" customWidth="1"/>
    <col min="7" max="8" width="11.4285714285714" customWidth="1"/>
  </cols>
  <sheetData>
    <row r="1" spans="1:4">
      <c r="A1" s="38" t="s">
        <v>263</v>
      </c>
      <c r="B1" s="38" t="s">
        <v>264</v>
      </c>
      <c r="C1" s="38" t="s">
        <v>265</v>
      </c>
      <c r="D1" s="38" t="s">
        <v>266</v>
      </c>
    </row>
    <row r="2" spans="1:6">
      <c r="A2" s="39" t="s">
        <v>267</v>
      </c>
      <c r="B2" s="39" t="s">
        <v>268</v>
      </c>
      <c r="C2" s="39" t="s">
        <v>82</v>
      </c>
      <c r="D2" s="39" t="s">
        <v>268</v>
      </c>
      <c r="F2" s="40" t="s">
        <v>269</v>
      </c>
    </row>
    <row r="3" spans="1:11">
      <c r="A3" s="39" t="s">
        <v>270</v>
      </c>
      <c r="B3" s="39" t="s">
        <v>271</v>
      </c>
      <c r="C3" s="39" t="s">
        <v>268</v>
      </c>
      <c r="D3" s="39" t="s">
        <v>271</v>
      </c>
      <c r="F3" s="40" t="s">
        <v>272</v>
      </c>
      <c r="J3" s="27">
        <v>221144</v>
      </c>
      <c r="K3" s="27" t="str">
        <f>TEXT(J3,"00\/00\/00")</f>
        <v>22/11/44</v>
      </c>
    </row>
    <row r="4" spans="1:11">
      <c r="A4" s="39" t="s">
        <v>273</v>
      </c>
      <c r="B4" s="39" t="s">
        <v>82</v>
      </c>
      <c r="C4" s="39" t="s">
        <v>271</v>
      </c>
      <c r="D4" s="39" t="s">
        <v>268</v>
      </c>
      <c r="F4" s="40" t="s">
        <v>274</v>
      </c>
      <c r="J4" s="27">
        <v>332255</v>
      </c>
      <c r="K4" s="27" t="str">
        <f t="shared" ref="K4:K9" si="0">TEXT(J4,"00\/00\/00")</f>
        <v>33/22/55</v>
      </c>
    </row>
    <row r="5" spans="1:11">
      <c r="A5" s="39" t="s">
        <v>275</v>
      </c>
      <c r="B5" s="39" t="s">
        <v>271</v>
      </c>
      <c r="C5" s="39" t="s">
        <v>82</v>
      </c>
      <c r="D5" s="39" t="s">
        <v>271</v>
      </c>
      <c r="J5" s="27">
        <v>124569</v>
      </c>
      <c r="K5" s="27" t="str">
        <f t="shared" si="0"/>
        <v>12/45/69</v>
      </c>
    </row>
    <row r="6" spans="1:11">
      <c r="A6" s="39" t="s">
        <v>276</v>
      </c>
      <c r="B6" s="39" t="s">
        <v>271</v>
      </c>
      <c r="C6" s="39" t="s">
        <v>271</v>
      </c>
      <c r="D6" s="39" t="s">
        <v>82</v>
      </c>
      <c r="G6" s="34" t="s">
        <v>277</v>
      </c>
      <c r="H6" s="34" t="s">
        <v>278</v>
      </c>
      <c r="J6" s="27">
        <v>789564</v>
      </c>
      <c r="K6" s="27" t="str">
        <f t="shared" si="0"/>
        <v>78/95/64</v>
      </c>
    </row>
    <row r="7" spans="1:11">
      <c r="A7" s="39" t="s">
        <v>279</v>
      </c>
      <c r="B7" s="39" t="s">
        <v>268</v>
      </c>
      <c r="C7" s="39" t="s">
        <v>268</v>
      </c>
      <c r="D7" s="39" t="s">
        <v>271</v>
      </c>
      <c r="F7" s="27" t="s">
        <v>280</v>
      </c>
      <c r="G7" s="27">
        <f>COUNTIF($B$2:$D$21,"P")</f>
        <v>17</v>
      </c>
      <c r="H7" s="27"/>
      <c r="J7" s="27">
        <v>231456</v>
      </c>
      <c r="K7" s="27" t="str">
        <f t="shared" si="0"/>
        <v>23/14/56</v>
      </c>
    </row>
    <row r="8" spans="1:11">
      <c r="A8" s="39" t="s">
        <v>281</v>
      </c>
      <c r="B8" s="39" t="s">
        <v>268</v>
      </c>
      <c r="C8" s="39" t="s">
        <v>271</v>
      </c>
      <c r="D8" s="39" t="s">
        <v>268</v>
      </c>
      <c r="F8" s="27" t="s">
        <v>282</v>
      </c>
      <c r="G8" s="27">
        <f>COUNTIF($B$2:$D$21,"A")</f>
        <v>15</v>
      </c>
      <c r="H8" s="27"/>
      <c r="J8" s="27">
        <v>147852</v>
      </c>
      <c r="K8" s="27" t="str">
        <f t="shared" si="0"/>
        <v>14/78/52</v>
      </c>
    </row>
    <row r="9" spans="1:11">
      <c r="A9" s="39" t="s">
        <v>283</v>
      </c>
      <c r="B9" s="39" t="s">
        <v>268</v>
      </c>
      <c r="C9" s="39" t="s">
        <v>271</v>
      </c>
      <c r="D9" s="39" t="s">
        <v>271</v>
      </c>
      <c r="J9" s="27">
        <v>325896</v>
      </c>
      <c r="K9" s="27" t="str">
        <f t="shared" si="0"/>
        <v>32/58/96</v>
      </c>
    </row>
    <row r="10" spans="1:4">
      <c r="A10" s="39" t="s">
        <v>284</v>
      </c>
      <c r="B10" s="39" t="s">
        <v>271</v>
      </c>
      <c r="C10" s="39" t="s">
        <v>268</v>
      </c>
      <c r="D10" s="39" t="s">
        <v>271</v>
      </c>
    </row>
    <row r="11" spans="1:4">
      <c r="A11" s="39" t="s">
        <v>285</v>
      </c>
      <c r="B11" s="39" t="s">
        <v>271</v>
      </c>
      <c r="C11" s="39" t="s">
        <v>271</v>
      </c>
      <c r="D11" s="39" t="s">
        <v>82</v>
      </c>
    </row>
    <row r="12" spans="1:4">
      <c r="A12" s="39" t="s">
        <v>286</v>
      </c>
      <c r="B12" s="39" t="s">
        <v>82</v>
      </c>
      <c r="C12" s="39" t="s">
        <v>271</v>
      </c>
      <c r="D12" s="39" t="s">
        <v>268</v>
      </c>
    </row>
    <row r="13" spans="1:4">
      <c r="A13" s="39" t="s">
        <v>287</v>
      </c>
      <c r="B13" s="39" t="s">
        <v>271</v>
      </c>
      <c r="C13" s="39" t="s">
        <v>271</v>
      </c>
      <c r="D13" s="39" t="s">
        <v>271</v>
      </c>
    </row>
    <row r="14" spans="1:4">
      <c r="A14" s="39" t="s">
        <v>288</v>
      </c>
      <c r="B14" s="39" t="s">
        <v>268</v>
      </c>
      <c r="C14" s="39" t="s">
        <v>268</v>
      </c>
      <c r="D14" s="39" t="s">
        <v>271</v>
      </c>
    </row>
    <row r="15" spans="1:4">
      <c r="A15" s="39" t="s">
        <v>289</v>
      </c>
      <c r="B15" s="39" t="s">
        <v>271</v>
      </c>
      <c r="C15" s="39" t="s">
        <v>271</v>
      </c>
      <c r="D15" s="39" t="s">
        <v>82</v>
      </c>
    </row>
    <row r="16" spans="1:4">
      <c r="A16" s="39" t="s">
        <v>290</v>
      </c>
      <c r="B16" s="39" t="s">
        <v>268</v>
      </c>
      <c r="C16" s="39" t="s">
        <v>82</v>
      </c>
      <c r="D16" s="39" t="s">
        <v>271</v>
      </c>
    </row>
    <row r="17" spans="1:4">
      <c r="A17" s="39" t="s">
        <v>291</v>
      </c>
      <c r="B17" s="39" t="s">
        <v>82</v>
      </c>
      <c r="C17" s="39" t="s">
        <v>271</v>
      </c>
      <c r="D17" s="39" t="s">
        <v>268</v>
      </c>
    </row>
    <row r="18" spans="1:4">
      <c r="A18" s="39" t="s">
        <v>292</v>
      </c>
      <c r="B18" s="39" t="s">
        <v>271</v>
      </c>
      <c r="C18" s="39" t="s">
        <v>271</v>
      </c>
      <c r="D18" s="39" t="s">
        <v>82</v>
      </c>
    </row>
    <row r="19" spans="1:4">
      <c r="A19" s="39" t="s">
        <v>293</v>
      </c>
      <c r="B19" s="39" t="s">
        <v>82</v>
      </c>
      <c r="C19" s="39" t="s">
        <v>268</v>
      </c>
      <c r="D19" s="39" t="s">
        <v>271</v>
      </c>
    </row>
    <row r="20" spans="1:4">
      <c r="A20" s="39" t="s">
        <v>294</v>
      </c>
      <c r="B20" s="39" t="s">
        <v>82</v>
      </c>
      <c r="C20" s="39" t="s">
        <v>268</v>
      </c>
      <c r="D20" s="39" t="s">
        <v>82</v>
      </c>
    </row>
    <row r="21" spans="1:4">
      <c r="A21" s="39" t="s">
        <v>295</v>
      </c>
      <c r="B21" s="39" t="s">
        <v>271</v>
      </c>
      <c r="C21" s="39" t="s">
        <v>82</v>
      </c>
      <c r="D21" s="39" t="s">
        <v>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H13" sqref="H13"/>
    </sheetView>
  </sheetViews>
  <sheetFormatPr defaultColWidth="9.14285714285714" defaultRowHeight="15" outlineLevelCol="7"/>
  <cols>
    <col min="2" max="2" width="12.2857142857143" customWidth="1"/>
    <col min="3" max="3" width="10.5714285714286" customWidth="1"/>
    <col min="5" max="5" width="18.4285714285714" customWidth="1"/>
    <col min="6" max="6" width="19" customWidth="1"/>
    <col min="7" max="8" width="18.5714285714286" customWidth="1"/>
    <col min="10" max="10" width="22.1428571428571" customWidth="1"/>
    <col min="11" max="11" width="10.4285714285714" customWidth="1"/>
    <col min="13" max="13" width="18.1428571428571" customWidth="1"/>
    <col min="14" max="14" width="19" customWidth="1"/>
    <col min="15" max="16" width="18.5714285714286" customWidth="1"/>
  </cols>
  <sheetData>
    <row r="1" spans="1:8">
      <c r="A1" s="27" t="s">
        <v>296</v>
      </c>
      <c r="B1" s="27" t="s">
        <v>297</v>
      </c>
      <c r="C1" s="27" t="s">
        <v>298</v>
      </c>
      <c r="E1" s="33" t="s">
        <v>299</v>
      </c>
      <c r="F1" s="33"/>
      <c r="G1" s="33"/>
      <c r="H1" s="33"/>
    </row>
    <row r="2" spans="1:8">
      <c r="A2" s="27">
        <v>1</v>
      </c>
      <c r="B2" s="27" t="s">
        <v>300</v>
      </c>
      <c r="C2" s="27">
        <v>3367</v>
      </c>
      <c r="E2" s="34" t="s">
        <v>301</v>
      </c>
      <c r="F2" s="34" t="s">
        <v>302</v>
      </c>
      <c r="G2" s="34" t="s">
        <v>303</v>
      </c>
      <c r="H2" s="34" t="s">
        <v>304</v>
      </c>
    </row>
    <row r="3" spans="1:8">
      <c r="A3" s="27">
        <v>1</v>
      </c>
      <c r="B3" s="27" t="s">
        <v>305</v>
      </c>
      <c r="C3" s="27">
        <v>132</v>
      </c>
      <c r="E3" s="35">
        <f>SUMIF($A$2:$A$29,COLUMN()-4,$C$2:$C$29)</f>
        <v>12232</v>
      </c>
      <c r="F3" s="35">
        <f>SUMIF($A$2:$A$29,COLUMN()-4,$C$2:$C$29)</f>
        <v>7268</v>
      </c>
      <c r="G3" s="35">
        <f>SUMIF($A$2:$A$29,COLUMN()-4,$C$2:$C$29)</f>
        <v>12702</v>
      </c>
      <c r="H3" s="35">
        <f>SUMIF($A$2:$A$29,COLUMN()-4,$C$2:$C$29)</f>
        <v>13642</v>
      </c>
    </row>
    <row r="4" spans="1:3">
      <c r="A4" s="27">
        <v>1</v>
      </c>
      <c r="B4" s="27" t="s">
        <v>306</v>
      </c>
      <c r="C4" s="27">
        <v>4872</v>
      </c>
    </row>
    <row r="5" spans="1:8">
      <c r="A5" s="27">
        <v>1</v>
      </c>
      <c r="B5" s="27" t="s">
        <v>307</v>
      </c>
      <c r="C5" s="27">
        <v>1248</v>
      </c>
      <c r="E5" s="36" t="s">
        <v>308</v>
      </c>
      <c r="F5" s="36"/>
      <c r="G5" s="36"/>
      <c r="H5" s="36"/>
    </row>
    <row r="6" spans="1:8">
      <c r="A6" s="27">
        <v>1</v>
      </c>
      <c r="B6" s="27" t="s">
        <v>309</v>
      </c>
      <c r="C6" s="27">
        <v>29</v>
      </c>
      <c r="E6" s="37" t="s">
        <v>310</v>
      </c>
      <c r="F6" s="37" t="s">
        <v>311</v>
      </c>
      <c r="G6" s="37" t="s">
        <v>312</v>
      </c>
      <c r="H6" s="37" t="s">
        <v>313</v>
      </c>
    </row>
    <row r="7" spans="1:8">
      <c r="A7" s="27">
        <v>1</v>
      </c>
      <c r="B7" s="27" t="s">
        <v>314</v>
      </c>
      <c r="C7" s="27">
        <v>2525</v>
      </c>
      <c r="E7" s="37">
        <f>SUMIFS($C$2:$C$29,$A$2:$A$29,COLUMN()-4,$B$2:$B$29,"Monday")</f>
        <v>3367</v>
      </c>
      <c r="F7" s="37">
        <f>SUMIFS($C$2:$C$29,$A$2:$A$29,COLUMN()-4,$B$2:$B$29,"Monday")</f>
        <v>1947</v>
      </c>
      <c r="G7" s="37">
        <f>SUMIFS($C$2:$C$29,$A$2:$A$29,COLUMN()-4,$B$2:$B$29,"Monday")</f>
        <v>338</v>
      </c>
      <c r="H7" s="37">
        <f>SUMIFS($C$2:$C$29,$A$2:$A$29,COLUMN()-4,$B$2:$B$29,"Monday")</f>
        <v>394</v>
      </c>
    </row>
    <row r="8" spans="1:3">
      <c r="A8" s="27">
        <v>1</v>
      </c>
      <c r="B8" s="27" t="s">
        <v>315</v>
      </c>
      <c r="C8" s="27">
        <v>59</v>
      </c>
    </row>
    <row r="9" spans="1:3">
      <c r="A9" s="27">
        <v>2</v>
      </c>
      <c r="B9" s="27" t="s">
        <v>300</v>
      </c>
      <c r="C9" s="27">
        <v>1947</v>
      </c>
    </row>
    <row r="10" spans="1:3">
      <c r="A10" s="27">
        <v>2</v>
      </c>
      <c r="B10" s="27" t="s">
        <v>305</v>
      </c>
      <c r="C10" s="27">
        <v>2268</v>
      </c>
    </row>
    <row r="11" spans="1:3">
      <c r="A11" s="27">
        <v>2</v>
      </c>
      <c r="B11" s="27" t="s">
        <v>306</v>
      </c>
      <c r="C11" s="27">
        <v>628</v>
      </c>
    </row>
    <row r="12" spans="1:3">
      <c r="A12" s="27">
        <v>2</v>
      </c>
      <c r="B12" s="27" t="s">
        <v>307</v>
      </c>
      <c r="C12" s="27">
        <v>77</v>
      </c>
    </row>
    <row r="13" spans="1:3">
      <c r="A13" s="27">
        <v>2</v>
      </c>
      <c r="B13" s="27" t="s">
        <v>309</v>
      </c>
      <c r="C13" s="27">
        <v>341</v>
      </c>
    </row>
    <row r="14" spans="1:3">
      <c r="A14" s="27">
        <v>2</v>
      </c>
      <c r="B14" s="27" t="s">
        <v>314</v>
      </c>
      <c r="C14" s="27">
        <v>0</v>
      </c>
    </row>
    <row r="15" spans="1:3">
      <c r="A15" s="27">
        <v>2</v>
      </c>
      <c r="B15" s="27" t="s">
        <v>315</v>
      </c>
      <c r="C15" s="27">
        <v>2007</v>
      </c>
    </row>
    <row r="16" spans="1:3">
      <c r="A16" s="27">
        <v>3</v>
      </c>
      <c r="B16" s="27" t="s">
        <v>300</v>
      </c>
      <c r="C16" s="27">
        <v>338</v>
      </c>
    </row>
    <row r="17" spans="1:3">
      <c r="A17" s="27">
        <v>3</v>
      </c>
      <c r="B17" s="27" t="s">
        <v>305</v>
      </c>
      <c r="C17" s="27">
        <v>1196</v>
      </c>
    </row>
    <row r="18" spans="1:3">
      <c r="A18" s="27">
        <v>3</v>
      </c>
      <c r="B18" s="27" t="s">
        <v>306</v>
      </c>
      <c r="C18" s="27">
        <v>0</v>
      </c>
    </row>
    <row r="19" spans="1:3">
      <c r="A19" s="27">
        <v>3</v>
      </c>
      <c r="B19" s="27" t="s">
        <v>307</v>
      </c>
      <c r="C19" s="27">
        <v>180</v>
      </c>
    </row>
    <row r="20" spans="1:3">
      <c r="A20" s="27">
        <v>3</v>
      </c>
      <c r="B20" s="27" t="s">
        <v>309</v>
      </c>
      <c r="C20" s="27">
        <v>3784</v>
      </c>
    </row>
    <row r="21" spans="1:3">
      <c r="A21" s="27">
        <v>3</v>
      </c>
      <c r="B21" s="27" t="s">
        <v>314</v>
      </c>
      <c r="C21" s="27">
        <v>4414</v>
      </c>
    </row>
    <row r="22" spans="1:3">
      <c r="A22" s="27">
        <v>3</v>
      </c>
      <c r="B22" s="27" t="s">
        <v>315</v>
      </c>
      <c r="C22" s="27">
        <v>2790</v>
      </c>
    </row>
    <row r="23" spans="1:3">
      <c r="A23" s="27">
        <v>4</v>
      </c>
      <c r="B23" s="27" t="s">
        <v>300</v>
      </c>
      <c r="C23" s="27">
        <v>394</v>
      </c>
    </row>
    <row r="24" spans="1:3">
      <c r="A24" s="27">
        <v>4</v>
      </c>
      <c r="B24" s="27" t="s">
        <v>305</v>
      </c>
      <c r="C24" s="27">
        <v>4743</v>
      </c>
    </row>
    <row r="25" spans="1:3">
      <c r="A25" s="27">
        <v>4</v>
      </c>
      <c r="B25" s="27" t="s">
        <v>306</v>
      </c>
      <c r="C25" s="27">
        <v>3417</v>
      </c>
    </row>
    <row r="26" spans="1:3">
      <c r="A26" s="27">
        <v>4</v>
      </c>
      <c r="B26" s="27" t="s">
        <v>307</v>
      </c>
      <c r="C26" s="27">
        <v>2337</v>
      </c>
    </row>
    <row r="27" spans="1:3">
      <c r="A27" s="27">
        <v>4</v>
      </c>
      <c r="B27" s="27" t="s">
        <v>309</v>
      </c>
      <c r="C27" s="27">
        <v>0</v>
      </c>
    </row>
    <row r="28" spans="1:3">
      <c r="A28" s="27">
        <v>4</v>
      </c>
      <c r="B28" s="27" t="s">
        <v>314</v>
      </c>
      <c r="C28" s="27">
        <v>207</v>
      </c>
    </row>
    <row r="29" spans="1:3">
      <c r="A29" s="27">
        <v>4</v>
      </c>
      <c r="B29" s="27" t="s">
        <v>315</v>
      </c>
      <c r="C29" s="27">
        <v>2544</v>
      </c>
    </row>
  </sheetData>
  <mergeCells count="2">
    <mergeCell ref="E1:H1"/>
    <mergeCell ref="E5:H5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opLeftCell="G1" workbookViewId="0">
      <selection activeCell="L13" sqref="L13"/>
    </sheetView>
  </sheetViews>
  <sheetFormatPr defaultColWidth="9.14285714285714" defaultRowHeight="15"/>
  <cols>
    <col min="1" max="1" width="14.4285714285714" customWidth="1"/>
    <col min="2" max="2" width="6.57142857142857" customWidth="1"/>
    <col min="3" max="3" width="6.71428571428571" customWidth="1"/>
    <col min="4" max="4" width="9" customWidth="1"/>
    <col min="7" max="7" width="11" customWidth="1"/>
    <col min="9" max="9" width="11.7142857142857" customWidth="1"/>
    <col min="12" max="12" width="11.7142857142857" customWidth="1"/>
    <col min="16" max="16" width="17" customWidth="1"/>
    <col min="17" max="17" width="10.2857142857143"/>
    <col min="20" max="20" width="10.2857142857143"/>
  </cols>
  <sheetData>
    <row r="1" spans="1:21">
      <c r="A1" s="29" t="s">
        <v>316</v>
      </c>
      <c r="B1" s="29" t="s">
        <v>317</v>
      </c>
      <c r="C1" s="29" t="s">
        <v>204</v>
      </c>
      <c r="D1" s="29" t="s">
        <v>318</v>
      </c>
      <c r="F1" s="30" t="s">
        <v>319</v>
      </c>
      <c r="G1" s="30" t="s">
        <v>320</v>
      </c>
      <c r="I1" t="s">
        <v>321</v>
      </c>
      <c r="J1">
        <v>12000</v>
      </c>
      <c r="K1">
        <f>COUNTIF($I$2:I6,I2)</f>
        <v>2</v>
      </c>
      <c r="L1" s="29" t="s">
        <v>322</v>
      </c>
      <c r="N1">
        <f>LARGE(C2:C10,2)</f>
        <v>15000</v>
      </c>
      <c r="P1" s="29" t="s">
        <v>152</v>
      </c>
      <c r="Q1" s="29" t="s">
        <v>152</v>
      </c>
      <c r="R1" s="29" t="s">
        <v>323</v>
      </c>
      <c r="T1" s="32">
        <v>44416</v>
      </c>
      <c r="U1" t="str">
        <f>TEXT(T1,"ddd")</f>
        <v>Sun</v>
      </c>
    </row>
    <row r="2" spans="1:21">
      <c r="A2" s="27" t="s">
        <v>324</v>
      </c>
      <c r="B2" s="27" t="s">
        <v>82</v>
      </c>
      <c r="C2" s="27">
        <v>15000</v>
      </c>
      <c r="D2" s="27">
        <f>IF(OR(B2="A",B2="B"),C2/10,C2)</f>
        <v>1500</v>
      </c>
      <c r="F2" s="31">
        <v>80</v>
      </c>
      <c r="G2" s="31" t="str">
        <f>IF(F2&gt;150,"Excellent",IF(F2&gt;=101,"Very Good",IF(F2&gt;=71,"Good","Fail")))</f>
        <v>Good</v>
      </c>
      <c r="I2" t="s">
        <v>325</v>
      </c>
      <c r="J2">
        <v>12000</v>
      </c>
      <c r="K2">
        <f>COUNTIF($I$2:I7,I3)</f>
        <v>2</v>
      </c>
      <c r="L2" s="29" t="str">
        <f>IF(SUMIF(I2:I3,VLOOKUP(L1,I2:I6,1,0),J1:J2)=0,"not exist",SUMIF(I2:I3,VLOOKUP(L1,I2:I6,1,0),J1:J2))</f>
        <v>not exist</v>
      </c>
      <c r="P2" s="27" t="s">
        <v>326</v>
      </c>
      <c r="Q2" s="27" t="str">
        <f>LEFT(P2,FIND("(",P2)-1)</f>
        <v>mohanlal</v>
      </c>
      <c r="R2" s="27" t="str">
        <f>MID(P2,FIND("(",P2)+1,FIND(")",P2)-1-FIND("(",P2))</f>
        <v>22330</v>
      </c>
      <c r="T2" s="32">
        <v>44417</v>
      </c>
      <c r="U2" t="str">
        <f t="shared" ref="U2:U12" si="0">TEXT(T2,"ddd")</f>
        <v>Mon</v>
      </c>
    </row>
    <row r="3" spans="1:21">
      <c r="A3" s="27" t="s">
        <v>327</v>
      </c>
      <c r="B3" s="27" t="s">
        <v>85</v>
      </c>
      <c r="C3" s="27">
        <v>10000</v>
      </c>
      <c r="D3" s="27">
        <f t="shared" ref="D3:D10" si="1">IF(OR(B3="A",B3="B"),C3/10,C3)</f>
        <v>1000</v>
      </c>
      <c r="F3" s="31">
        <v>45</v>
      </c>
      <c r="G3" s="31" t="str">
        <f t="shared" ref="G3:G13" si="2">IF(F3&gt;150,"Excellent",IF(F3&gt;=101,"Very Good",IF(F3&gt;=71,"Good","Fail")))</f>
        <v>Fail</v>
      </c>
      <c r="I3" t="s">
        <v>325</v>
      </c>
      <c r="J3">
        <v>4000</v>
      </c>
      <c r="K3">
        <f>COUNTIF($I$2:I8,I4)</f>
        <v>2</v>
      </c>
      <c r="P3" s="27" t="s">
        <v>328</v>
      </c>
      <c r="Q3" s="27" t="str">
        <f>LEFT(P3,FIND("(",P3)-1)</f>
        <v>lalsingh</v>
      </c>
      <c r="R3" s="27" t="str">
        <f>MID(P3,FIND("(",P3)+1,FIND(")",P3)-1-FIND("(",P3))</f>
        <v>238900</v>
      </c>
      <c r="T3" s="32">
        <v>44418</v>
      </c>
      <c r="U3" t="str">
        <f t="shared" si="0"/>
        <v>Tue</v>
      </c>
    </row>
    <row r="4" spans="1:21">
      <c r="A4" s="27" t="s">
        <v>329</v>
      </c>
      <c r="B4" s="27" t="s">
        <v>82</v>
      </c>
      <c r="C4" s="27">
        <v>18000</v>
      </c>
      <c r="D4" s="27">
        <f t="shared" si="1"/>
        <v>1800</v>
      </c>
      <c r="F4" s="31">
        <v>67</v>
      </c>
      <c r="G4" s="31" t="str">
        <f t="shared" si="2"/>
        <v>Fail</v>
      </c>
      <c r="I4" t="s">
        <v>330</v>
      </c>
      <c r="J4">
        <v>2000</v>
      </c>
      <c r="K4">
        <f>COUNTIF($I$2:I9,I5)</f>
        <v>1</v>
      </c>
      <c r="T4" s="32">
        <v>44419</v>
      </c>
      <c r="U4" t="str">
        <f t="shared" si="0"/>
        <v>Wed</v>
      </c>
    </row>
    <row r="5" spans="1:21">
      <c r="A5" s="27" t="s">
        <v>331</v>
      </c>
      <c r="B5" s="27" t="s">
        <v>86</v>
      </c>
      <c r="C5" s="27">
        <v>7000</v>
      </c>
      <c r="D5" s="27">
        <f t="shared" si="1"/>
        <v>7000</v>
      </c>
      <c r="F5" s="31">
        <v>70</v>
      </c>
      <c r="G5" s="31" t="str">
        <f t="shared" si="2"/>
        <v>Fail</v>
      </c>
      <c r="I5" t="s">
        <v>322</v>
      </c>
      <c r="J5">
        <v>7000</v>
      </c>
      <c r="K5">
        <f>COUNTIF($I$2:I10,I6)</f>
        <v>1</v>
      </c>
      <c r="T5" s="32">
        <v>44420</v>
      </c>
      <c r="U5" t="str">
        <f t="shared" si="0"/>
        <v>Thu</v>
      </c>
    </row>
    <row r="6" spans="1:21">
      <c r="A6" s="27" t="s">
        <v>332</v>
      </c>
      <c r="B6" s="27" t="s">
        <v>82</v>
      </c>
      <c r="C6" s="27">
        <v>12000</v>
      </c>
      <c r="D6" s="27">
        <f t="shared" si="1"/>
        <v>1200</v>
      </c>
      <c r="F6" s="31">
        <v>150</v>
      </c>
      <c r="G6" s="31" t="str">
        <f t="shared" si="2"/>
        <v>Very Good</v>
      </c>
      <c r="I6" t="s">
        <v>333</v>
      </c>
      <c r="K6">
        <f>COUNTIF($I$2:I11,I7)</f>
        <v>2</v>
      </c>
      <c r="T6" s="32">
        <v>44421</v>
      </c>
      <c r="U6" t="str">
        <f t="shared" si="0"/>
        <v>Fri</v>
      </c>
    </row>
    <row r="7" spans="1:21">
      <c r="A7" s="27" t="s">
        <v>334</v>
      </c>
      <c r="B7" s="27" t="s">
        <v>85</v>
      </c>
      <c r="C7" s="27">
        <v>9000</v>
      </c>
      <c r="D7" s="27">
        <f t="shared" si="1"/>
        <v>900</v>
      </c>
      <c r="F7" s="31">
        <v>110</v>
      </c>
      <c r="G7" s="31" t="str">
        <f t="shared" si="2"/>
        <v>Very Good</v>
      </c>
      <c r="I7" t="s">
        <v>330</v>
      </c>
      <c r="T7" s="32">
        <v>44422</v>
      </c>
      <c r="U7" t="str">
        <f t="shared" si="0"/>
        <v>Sat</v>
      </c>
    </row>
    <row r="8" spans="1:21">
      <c r="A8" s="27" t="s">
        <v>335</v>
      </c>
      <c r="B8" s="27" t="s">
        <v>82</v>
      </c>
      <c r="C8" s="27">
        <v>13000</v>
      </c>
      <c r="D8" s="27">
        <f t="shared" si="1"/>
        <v>1300</v>
      </c>
      <c r="F8" s="31">
        <v>89</v>
      </c>
      <c r="G8" s="31" t="str">
        <f t="shared" si="2"/>
        <v>Good</v>
      </c>
      <c r="P8" s="32">
        <f ca="1">TODAY()</f>
        <v>44497</v>
      </c>
      <c r="Q8" s="32">
        <f ca="1">EOMONTH(P8,-2)+1</f>
        <v>44440</v>
      </c>
      <c r="T8" s="32">
        <v>44423</v>
      </c>
      <c r="U8" t="str">
        <f t="shared" si="0"/>
        <v>Sun</v>
      </c>
    </row>
    <row r="9" spans="1:21">
      <c r="A9" s="27" t="s">
        <v>336</v>
      </c>
      <c r="B9" s="27" t="s">
        <v>85</v>
      </c>
      <c r="C9" s="27">
        <v>9000</v>
      </c>
      <c r="D9" s="27">
        <f t="shared" si="1"/>
        <v>900</v>
      </c>
      <c r="F9" s="31">
        <v>172</v>
      </c>
      <c r="G9" s="31" t="str">
        <f t="shared" si="2"/>
        <v>Excellent</v>
      </c>
      <c r="T9" s="32">
        <v>44424</v>
      </c>
      <c r="U9" t="str">
        <f t="shared" si="0"/>
        <v>Mon</v>
      </c>
    </row>
    <row r="10" spans="1:21">
      <c r="A10" s="27" t="s">
        <v>337</v>
      </c>
      <c r="B10" s="27" t="s">
        <v>86</v>
      </c>
      <c r="C10" s="27">
        <v>6000</v>
      </c>
      <c r="D10" s="27">
        <f t="shared" si="1"/>
        <v>6000</v>
      </c>
      <c r="F10" s="31">
        <v>59</v>
      </c>
      <c r="G10" s="31" t="str">
        <f t="shared" si="2"/>
        <v>Fail</v>
      </c>
      <c r="T10" s="32">
        <v>44425</v>
      </c>
      <c r="U10" t="str">
        <f t="shared" si="0"/>
        <v>Tue</v>
      </c>
    </row>
    <row r="11" spans="6:21">
      <c r="F11" s="31">
        <v>90</v>
      </c>
      <c r="G11" s="31" t="str">
        <f t="shared" si="2"/>
        <v>Good</v>
      </c>
      <c r="T11" s="32">
        <v>44426</v>
      </c>
      <c r="U11" t="str">
        <f t="shared" si="0"/>
        <v>Wed</v>
      </c>
    </row>
    <row r="12" spans="6:21">
      <c r="F12" s="31">
        <v>120</v>
      </c>
      <c r="G12" s="31" t="str">
        <f t="shared" si="2"/>
        <v>Very Good</v>
      </c>
      <c r="T12" s="32">
        <v>44427</v>
      </c>
      <c r="U12" t="str">
        <f t="shared" si="0"/>
        <v>Thu</v>
      </c>
    </row>
    <row r="13" spans="6:7">
      <c r="F13" s="31">
        <v>157</v>
      </c>
      <c r="G13" s="31" t="str">
        <f t="shared" si="2"/>
        <v>Excellent</v>
      </c>
    </row>
    <row r="16" spans="20:20">
      <c r="T16" t="b">
        <f>OR(TEXT(T1,"ddd")="sat",TEXT(T1,"ddd")="sun")</f>
        <v>1</v>
      </c>
    </row>
  </sheetData>
  <conditionalFormatting sqref="T1:T12">
    <cfRule type="expression" dxfId="5" priority="1">
      <formula>OR(TEXT(T1,"ddd")="sat",TEXT(T1,"ddd")="sun")</formula>
    </cfRule>
  </conditionalFormatting>
  <dataValidations count="1">
    <dataValidation type="list" allowBlank="1" showInputMessage="1" showErrorMessage="1" sqref="L1">
      <formula1>$I$3:$I$6</formula1>
    </dataValidation>
  </dataValidations>
  <pageMargins left="0.75" right="0.75" top="1" bottom="1" header="0.5" footer="0.5"/>
  <headerFooter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I8" sqref="I8"/>
    </sheetView>
  </sheetViews>
  <sheetFormatPr defaultColWidth="9.14285714285714" defaultRowHeight="15"/>
  <cols>
    <col min="1" max="1" width="10"/>
    <col min="3" max="3" width="10.2857142857143"/>
    <col min="9" max="9" width="12.2857142857143" customWidth="1"/>
    <col min="10" max="10" width="14.1428571428571" customWidth="1"/>
    <col min="13" max="13" width="37.4285714285714" customWidth="1"/>
  </cols>
  <sheetData>
    <row r="1" spans="1:13">
      <c r="A1" s="24">
        <v>42309</v>
      </c>
      <c r="B1">
        <f>DATEDIF(A1,A2,"d")</f>
        <v>228</v>
      </c>
      <c r="C1" s="25">
        <f>DAY(EOMONTH(A1,0))</f>
        <v>30</v>
      </c>
      <c r="H1" s="26" t="s">
        <v>338</v>
      </c>
      <c r="I1" s="26" t="s">
        <v>339</v>
      </c>
      <c r="J1" s="26" t="s">
        <v>340</v>
      </c>
      <c r="M1" s="28" t="s">
        <v>341</v>
      </c>
    </row>
    <row r="2" spans="1:13">
      <c r="A2" s="24">
        <v>42537</v>
      </c>
      <c r="H2" s="27" t="s">
        <v>342</v>
      </c>
      <c r="I2" s="27" t="s">
        <v>342</v>
      </c>
      <c r="J2" s="26" t="str">
        <f>IF(H2=I2,"MATCHED","NOT MATCHD")</f>
        <v>MATCHED</v>
      </c>
      <c r="M2" s="27">
        <f>COUNTIF($H$2:$H$8,"SH*")</f>
        <v>2</v>
      </c>
    </row>
    <row r="3" spans="8:13">
      <c r="H3" s="27" t="s">
        <v>343</v>
      </c>
      <c r="I3" s="27" t="s">
        <v>344</v>
      </c>
      <c r="J3" s="26" t="str">
        <f t="shared" ref="J3:J8" si="0">IF(H3=I3,"MATCHED","NOT MATCHD")</f>
        <v>NOT MATCHD</v>
      </c>
      <c r="M3" s="26" t="s">
        <v>345</v>
      </c>
    </row>
    <row r="4" spans="1:13">
      <c r="A4" s="27" t="s">
        <v>77</v>
      </c>
      <c r="B4" s="27" t="s">
        <v>9</v>
      </c>
      <c r="H4" s="27" t="s">
        <v>346</v>
      </c>
      <c r="I4" s="27" t="s">
        <v>347</v>
      </c>
      <c r="J4" s="26" t="str">
        <f t="shared" si="0"/>
        <v>NOT MATCHD</v>
      </c>
      <c r="M4" s="27">
        <f>COUNTIF($I$2:$I$8,"?????")</f>
        <v>3</v>
      </c>
    </row>
    <row r="5" spans="1:10">
      <c r="A5" s="27" t="s">
        <v>348</v>
      </c>
      <c r="B5" s="27">
        <f>IF(A5="BLUE",COUNTIF($A$5:A5,A5),"")</f>
        <v>1</v>
      </c>
      <c r="D5">
        <f>WEEKDAY(A2)</f>
        <v>5</v>
      </c>
      <c r="H5" s="27" t="s">
        <v>349</v>
      </c>
      <c r="I5" s="27" t="s">
        <v>350</v>
      </c>
      <c r="J5" s="26" t="str">
        <f t="shared" si="0"/>
        <v>NOT MATCHD</v>
      </c>
    </row>
    <row r="6" spans="1:10">
      <c r="A6" s="27" t="s">
        <v>351</v>
      </c>
      <c r="B6" s="27" t="str">
        <f>IF(A6="BLUE",COUNTIF($A$5:A6,A6),"")</f>
        <v/>
      </c>
      <c r="H6" s="27" t="s">
        <v>352</v>
      </c>
      <c r="I6" s="27" t="s">
        <v>352</v>
      </c>
      <c r="J6" s="26" t="str">
        <f t="shared" si="0"/>
        <v>MATCHED</v>
      </c>
    </row>
    <row r="7" spans="1:10">
      <c r="A7" s="27" t="s">
        <v>353</v>
      </c>
      <c r="B7" s="27" t="str">
        <f>IF(A7="BLUE",COUNTIF($A$5:A7,A7),"")</f>
        <v/>
      </c>
      <c r="H7" s="27" t="s">
        <v>354</v>
      </c>
      <c r="I7" s="27" t="s">
        <v>355</v>
      </c>
      <c r="J7" s="26" t="str">
        <f t="shared" si="0"/>
        <v>NOT MATCHD</v>
      </c>
    </row>
    <row r="8" spans="1:10">
      <c r="A8" s="27" t="s">
        <v>351</v>
      </c>
      <c r="B8" s="27" t="str">
        <f>IF(A8="BLUE",COUNTIF($A$5:A8,A8),"")</f>
        <v/>
      </c>
      <c r="H8" s="27" t="s">
        <v>35</v>
      </c>
      <c r="I8" s="27" t="s">
        <v>35</v>
      </c>
      <c r="J8" s="26" t="str">
        <f t="shared" si="0"/>
        <v>MATCHED</v>
      </c>
    </row>
    <row r="9" spans="1:2">
      <c r="A9" s="27" t="s">
        <v>348</v>
      </c>
      <c r="B9" s="27">
        <f>IF(A9="BLUE",COUNTIF($A$5:A9,A9),"")</f>
        <v>2</v>
      </c>
    </row>
    <row r="10" spans="1:2">
      <c r="A10" s="27" t="s">
        <v>348</v>
      </c>
      <c r="B10" s="27">
        <f>IF(A10="BLUE",COUNTIF($A$5:A10,A10),"")</f>
        <v>3</v>
      </c>
    </row>
    <row r="11" spans="1:2">
      <c r="A11" s="27" t="s">
        <v>353</v>
      </c>
      <c r="B11" s="27" t="str">
        <f>IF(A11="BLUE",COUNTIF($A$5:A11,A11),"")</f>
        <v/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workbookViewId="0">
      <selection activeCell="R6" sqref="R6"/>
    </sheetView>
  </sheetViews>
  <sheetFormatPr defaultColWidth="9.14285714285714" defaultRowHeight="15"/>
  <cols>
    <col min="1" max="1" width="9" customWidth="1"/>
    <col min="3" max="3" width="9" customWidth="1"/>
    <col min="6" max="6" width="5.71428571428571" customWidth="1"/>
    <col min="7" max="15" width="4.71428571428571" customWidth="1"/>
    <col min="16" max="16" width="5.71428571428571" customWidth="1"/>
    <col min="18" max="18" width="6.85714285714286" customWidth="1"/>
    <col min="19" max="19" width="8.14285714285714" customWidth="1"/>
    <col min="20" max="25" width="6.85714285714286" customWidth="1"/>
  </cols>
  <sheetData>
    <row r="1" ht="18.75" spans="1:16">
      <c r="A1" s="1" t="s">
        <v>356</v>
      </c>
      <c r="F1" s="2"/>
      <c r="G1" s="3"/>
      <c r="H1" s="4" t="s">
        <v>357</v>
      </c>
      <c r="I1" s="4"/>
      <c r="J1" s="4"/>
      <c r="K1" s="4"/>
      <c r="L1" s="4"/>
      <c r="M1" s="4"/>
      <c r="N1" s="4"/>
      <c r="O1" s="3"/>
      <c r="P1" s="16"/>
    </row>
    <row r="2" ht="18.75" spans="1:16">
      <c r="A2" s="5">
        <v>12</v>
      </c>
      <c r="F2" s="6"/>
      <c r="G2" s="7"/>
      <c r="H2" s="8"/>
      <c r="I2" s="8"/>
      <c r="J2" s="8"/>
      <c r="K2" s="8"/>
      <c r="L2" s="8"/>
      <c r="M2" s="8"/>
      <c r="N2" s="8"/>
      <c r="O2" s="7"/>
      <c r="P2" s="9"/>
    </row>
    <row r="3" ht="18.75" spans="1:16">
      <c r="A3" s="5">
        <v>11</v>
      </c>
      <c r="F3" s="6"/>
      <c r="G3" s="7"/>
      <c r="H3" s="8"/>
      <c r="I3" s="8"/>
      <c r="J3" s="8"/>
      <c r="K3" s="8"/>
      <c r="L3" s="8"/>
      <c r="M3" s="8"/>
      <c r="N3" s="8"/>
      <c r="O3" s="7"/>
      <c r="P3" s="9"/>
    </row>
    <row r="4" ht="18.75" spans="1:16">
      <c r="A4" s="5">
        <v>10</v>
      </c>
      <c r="F4" s="6"/>
      <c r="G4" s="7"/>
      <c r="H4" s="9"/>
      <c r="I4" s="9"/>
      <c r="J4" s="9"/>
      <c r="K4" s="9"/>
      <c r="L4" s="9"/>
      <c r="M4" s="9"/>
      <c r="N4" s="9"/>
      <c r="O4" s="7"/>
      <c r="P4" s="9"/>
    </row>
    <row r="5" ht="18.75" spans="1:16">
      <c r="A5" s="5">
        <v>17</v>
      </c>
      <c r="F5" s="6"/>
      <c r="G5" s="7"/>
      <c r="H5" s="9"/>
      <c r="I5" s="9"/>
      <c r="J5" s="9"/>
      <c r="K5" s="9"/>
      <c r="L5" s="9"/>
      <c r="M5" s="9"/>
      <c r="N5" s="9"/>
      <c r="O5" s="7"/>
      <c r="P5" s="9"/>
    </row>
    <row r="6" ht="18.75" spans="1:26">
      <c r="A6" s="5">
        <v>18</v>
      </c>
      <c r="F6" s="9"/>
      <c r="G6" s="10"/>
      <c r="H6" s="11">
        <v>1</v>
      </c>
      <c r="I6" s="11">
        <v>2</v>
      </c>
      <c r="J6" s="11">
        <v>3</v>
      </c>
      <c r="K6" s="11">
        <v>4</v>
      </c>
      <c r="L6" s="11">
        <v>5</v>
      </c>
      <c r="M6" s="11">
        <v>6</v>
      </c>
      <c r="N6" s="11">
        <v>7</v>
      </c>
      <c r="O6" s="10"/>
      <c r="P6" s="9"/>
      <c r="R6" s="23" t="b">
        <f>IF(OR($A$2=G6,$A$3=G6,$A$4=G6,$A$5=G6,$A$6=G6,$A$7=G6,$A$8=G6),TRUE(),FALSE())</f>
        <v>0</v>
      </c>
      <c r="S6" s="23" t="b">
        <f>IF(OR($A$2=H6,$A$3=H6,$A$4=H6,$A$5=H6,$A$6=H6,$A$7=H6,$A$8=H6),TRUE(),FALSE())</f>
        <v>0</v>
      </c>
      <c r="T6" s="23" t="b">
        <f>IF(OR($A$2=I6,$A$3=I6,$A$4=I6,$A$5=I6,$A$6=I6,$A$7=I6,$A$8=I6),TRUE(),FALSE())</f>
        <v>0</v>
      </c>
      <c r="U6" s="23" t="b">
        <f>IF(OR($A$2=J6,$A$3=J6,$A$4=J6,$A$5=J6,$A$6=J6,$A$7=J6,$A$8=J6),TRUE(),FALSE())</f>
        <v>0</v>
      </c>
      <c r="V6" s="23" t="b">
        <f>IF(OR($A$2=K6,$A$3=K6,$A$4=K6,$A$5=K6,$A$6=K6,$A$7=K6,$A$8=K6),TRUE(),FALSE())</f>
        <v>0</v>
      </c>
      <c r="W6" s="23" t="b">
        <f>IF(OR($A$2=L6,$A$3=L6,$A$4=L6,$A$5=L6,$A$6=L6,$A$7=L6,$A$8=L6),TRUE(),FALSE())</f>
        <v>0</v>
      </c>
      <c r="X6" s="23" t="b">
        <f>IF(OR($A$2=M6,$A$3=M6,$A$4=M6,$A$5=M6,$A$6=M6,$A$7=M6,$A$8=M6),TRUE(),FALSE())</f>
        <v>0</v>
      </c>
      <c r="Y6" s="23" t="b">
        <f>IF(OR($A$2=N6,$A$3=N6,$A$4=N6,$A$5=N6,$A$6=N6,$A$7=N6,$A$8=N6),TRUE(),FALSE())</f>
        <v>0</v>
      </c>
      <c r="Z6" s="23" t="b">
        <f>IF(OR($A$2=O6,$A$3=O6,$A$4=O6,$A$5=O6,$A$6=O6,$A$7=O6,$A$8=O6),TRUE(),FALSE())</f>
        <v>0</v>
      </c>
    </row>
    <row r="7" ht="18.75" spans="1:26">
      <c r="A7" s="5">
        <v>19</v>
      </c>
      <c r="F7" s="9"/>
      <c r="G7" s="10"/>
      <c r="H7" s="11">
        <v>14</v>
      </c>
      <c r="I7" s="11">
        <v>13</v>
      </c>
      <c r="J7" s="11">
        <v>12</v>
      </c>
      <c r="K7" s="11">
        <v>11</v>
      </c>
      <c r="L7" s="11">
        <v>10</v>
      </c>
      <c r="M7" s="11">
        <v>9</v>
      </c>
      <c r="N7" s="11">
        <v>8</v>
      </c>
      <c r="O7" s="10"/>
      <c r="P7" s="9"/>
      <c r="R7" s="23" t="b">
        <f>IF(OR($A$2=G7,$A$3=G7,$A$4=G7,$A$5=G7,$A$6=G7,$A$7=G7,$A$8=G7),TRUE(),FALSE())</f>
        <v>0</v>
      </c>
      <c r="S7" s="23" t="b">
        <f>IF(OR($A$2=H7,$A$3=H7,$A$4=H7,$A$5=H7,$A$6=H7,$A$7=H7,$A$8=H7),TRUE(),FALSE())</f>
        <v>0</v>
      </c>
      <c r="T7" s="23" t="b">
        <f>IF(OR($A$2=I7,$A$3=I7,$A$4=I7,$A$5=I7,$A$6=I7,$A$7=I7,$A$8=I7),TRUE(),FALSE())</f>
        <v>0</v>
      </c>
      <c r="U7" s="23" t="b">
        <f>IF(OR($A$2=J7,$A$3=J7,$A$4=J7,$A$5=J7,$A$6=J7,$A$7=J7,$A$8=J7),TRUE(),FALSE())</f>
        <v>1</v>
      </c>
      <c r="V7" s="23" t="b">
        <f>IF(OR($A$2=K7,$A$3=K7,$A$4=K7,$A$5=K7,$A$6=K7,$A$7=K7,$A$8=K7),TRUE(),FALSE())</f>
        <v>1</v>
      </c>
      <c r="W7" s="23" t="b">
        <f>IF(OR($A$2=L7,$A$3=L7,$A$4=L7,$A$5=L7,$A$6=L7,$A$7=L7,$A$8=L7),TRUE(),FALSE())</f>
        <v>1</v>
      </c>
      <c r="X7" s="23" t="b">
        <f>IF(OR($A$2=M7,$A$3=M7,$A$4=M7,$A$5=M7,$A$6=M7,$A$7=M7,$A$8=M7),TRUE(),FALSE())</f>
        <v>0</v>
      </c>
      <c r="Y7" s="23" t="b">
        <f>IF(OR($A$2=N7,$A$3=N7,$A$4=N7,$A$5=N7,$A$6=N7,$A$7=N7,$A$8=N7),TRUE(),FALSE())</f>
        <v>0</v>
      </c>
      <c r="Z7" s="23" t="b">
        <f>IF(OR($A$2=O7,$A$3=O7,$A$4=O7,$A$5=O7,$A$6=O7,$A$7=O7,$A$8=O7),TRUE(),FALSE())</f>
        <v>0</v>
      </c>
    </row>
    <row r="8" ht="18.75" spans="1:26">
      <c r="A8" s="5">
        <v>49</v>
      </c>
      <c r="F8" s="12" t="s">
        <v>358</v>
      </c>
      <c r="G8" s="10"/>
      <c r="H8" s="11">
        <v>15</v>
      </c>
      <c r="I8" s="11">
        <v>16</v>
      </c>
      <c r="J8" s="11">
        <v>17</v>
      </c>
      <c r="K8" s="11">
        <v>18</v>
      </c>
      <c r="L8" s="11">
        <v>19</v>
      </c>
      <c r="M8" s="11">
        <v>20</v>
      </c>
      <c r="N8" s="11">
        <v>21</v>
      </c>
      <c r="O8" s="10"/>
      <c r="P8" s="17" t="s">
        <v>358</v>
      </c>
      <c r="R8" s="23" t="b">
        <f>IF(OR($A$2=G8,$A$3=G8,$A$4=G8,$A$5=G8,$A$6=G8,$A$7=G8,$A$8=G8),TRUE(),FALSE())</f>
        <v>0</v>
      </c>
      <c r="S8" s="23" t="b">
        <f>IF(OR($A$2=H8,$A$3=H8,$A$4=H8,$A$5=H8,$A$6=H8,$A$7=H8,$A$8=H8),TRUE(),FALSE())</f>
        <v>0</v>
      </c>
      <c r="T8" s="23" t="b">
        <f>IF(OR($A$2=I8,$A$3=I8,$A$4=I8,$A$5=I8,$A$6=I8,$A$7=I8,$A$8=I8),TRUE(),FALSE())</f>
        <v>0</v>
      </c>
      <c r="U8" s="23" t="b">
        <f>IF(OR($A$2=J8,$A$3=J8,$A$4=J8,$A$5=J8,$A$6=J8,$A$7=J8,$A$8=J8),TRUE(),FALSE())</f>
        <v>1</v>
      </c>
      <c r="V8" s="23" t="b">
        <f>IF(OR($A$2=K8,$A$3=K8,$A$4=K8,$A$5=K8,$A$6=K8,$A$7=K8,$A$8=K8),TRUE(),FALSE())</f>
        <v>1</v>
      </c>
      <c r="W8" s="23" t="b">
        <f>IF(OR($A$2=L8,$A$3=L8,$A$4=L8,$A$5=L8,$A$6=L8,$A$7=L8,$A$8=L8),TRUE(),FALSE())</f>
        <v>1</v>
      </c>
      <c r="X8" s="23" t="b">
        <f>IF(OR($A$2=M8,$A$3=M8,$A$4=M8,$A$5=M8,$A$6=M8,$A$7=M8,$A$8=M8),TRUE(),FALSE())</f>
        <v>0</v>
      </c>
      <c r="Y8" s="23" t="b">
        <f>IF(OR($A$2=N8,$A$3=N8,$A$4=N8,$A$5=N8,$A$6=N8,$A$7=N8,$A$8=N8),TRUE(),FALSE())</f>
        <v>0</v>
      </c>
      <c r="Z8" s="23" t="b">
        <f>IF(OR($A$2=O8,$A$3=O8,$A$4=O8,$A$5=O8,$A$6=O8,$A$7=O8,$A$8=O8),TRUE(),FALSE())</f>
        <v>0</v>
      </c>
    </row>
    <row r="9" ht="18.75" spans="6:26">
      <c r="F9" s="12"/>
      <c r="G9" s="10"/>
      <c r="H9" s="10"/>
      <c r="I9" s="10"/>
      <c r="J9" s="10"/>
      <c r="K9" s="10"/>
      <c r="L9" s="10"/>
      <c r="M9" s="10"/>
      <c r="N9" s="10"/>
      <c r="O9" s="10"/>
      <c r="P9" s="17"/>
      <c r="R9" s="23" t="b">
        <f>IF(OR($A$2=G9,$A$3=G9,$A$4=G9,$A$5=G9,$A$6=G9,$A$7=G9,$A$8=G9),TRUE(),FALSE())</f>
        <v>0</v>
      </c>
      <c r="S9" s="23" t="b">
        <f>IF(OR($A$2=H9,$A$3=H9,$A$4=H9,$A$5=H9,$A$6=H9,$A$7=H9,$A$8=H9),TRUE(),FALSE())</f>
        <v>0</v>
      </c>
      <c r="T9" s="23" t="b">
        <f>IF(OR($A$2=I9,$A$3=I9,$A$4=I9,$A$5=I9,$A$6=I9,$A$7=I9,$A$8=I9),TRUE(),FALSE())</f>
        <v>0</v>
      </c>
      <c r="U9" s="23" t="b">
        <f>IF(OR($A$2=J9,$A$3=J9,$A$4=J9,$A$5=J9,$A$6=J9,$A$7=J9,$A$8=J9),TRUE(),FALSE())</f>
        <v>0</v>
      </c>
      <c r="V9" s="23" t="b">
        <f>IF(OR($A$2=K9,$A$3=K9,$A$4=K9,$A$5=K9,$A$6=K9,$A$7=K9,$A$8=K9),TRUE(),FALSE())</f>
        <v>0</v>
      </c>
      <c r="W9" s="23" t="b">
        <f>IF(OR($A$2=L9,$A$3=L9,$A$4=L9,$A$5=L9,$A$6=L9,$A$7=L9,$A$8=L9),TRUE(),FALSE())</f>
        <v>0</v>
      </c>
      <c r="X9" s="23" t="b">
        <f>IF(OR($A$2=M9,$A$3=M9,$A$4=M9,$A$5=M9,$A$6=M9,$A$7=M9,$A$8=M9),TRUE(),FALSE())</f>
        <v>0</v>
      </c>
      <c r="Y9" s="23" t="b">
        <f>IF(OR($A$2=N9,$A$3=N9,$A$4=N9,$A$5=N9,$A$6=N9,$A$7=N9,$A$8=N9),TRUE(),FALSE())</f>
        <v>0</v>
      </c>
      <c r="Z9" s="23" t="b">
        <f>IF(OR($A$2=O9,$A$3=O9,$A$4=O9,$A$5=O9,$A$6=O9,$A$7=O9,$A$8=O9),TRUE(),FALSE())</f>
        <v>0</v>
      </c>
    </row>
    <row r="10" ht="18.75" spans="6:26">
      <c r="F10" s="13"/>
      <c r="G10" s="11">
        <v>29</v>
      </c>
      <c r="H10" s="11">
        <v>28</v>
      </c>
      <c r="I10" s="11">
        <v>27</v>
      </c>
      <c r="J10" s="11">
        <v>26</v>
      </c>
      <c r="K10" s="10"/>
      <c r="L10" s="11">
        <v>25</v>
      </c>
      <c r="M10" s="11">
        <v>24</v>
      </c>
      <c r="N10" s="11">
        <v>23</v>
      </c>
      <c r="O10" s="11">
        <v>22</v>
      </c>
      <c r="P10" s="18"/>
      <c r="R10" s="23" t="b">
        <f>IF(OR($A$2=G10,$A$3=G10,$A$4=G10,$A$5=G10,$A$6=G10,$A$7=G10,$A$8=G10),TRUE(),FALSE())</f>
        <v>0</v>
      </c>
      <c r="S10" s="23" t="b">
        <f>IF(OR($A$2=H10,$A$3=H10,$A$4=H10,$A$5=H10,$A$6=H10,$A$7=H10,$A$8=H10),TRUE(),FALSE())</f>
        <v>0</v>
      </c>
      <c r="T10" s="23" t="b">
        <f>IF(OR($A$2=I10,$A$3=I10,$A$4=I10,$A$5=I10,$A$6=I10,$A$7=I10,$A$8=I10),TRUE(),FALSE())</f>
        <v>0</v>
      </c>
      <c r="U10" s="23" t="b">
        <f>IF(OR($A$2=J10,$A$3=J10,$A$4=J10,$A$5=J10,$A$6=J10,$A$7=J10,$A$8=J10),TRUE(),FALSE())</f>
        <v>0</v>
      </c>
      <c r="V10" s="23" t="b">
        <f>IF(OR($A$2=K10,$A$3=K10,$A$4=K10,$A$5=K10,$A$6=K10,$A$7=K10,$A$8=K10),TRUE(),FALSE())</f>
        <v>0</v>
      </c>
      <c r="W10" s="23" t="b">
        <f>IF(OR($A$2=L10,$A$3=L10,$A$4=L10,$A$5=L10,$A$6=L10,$A$7=L10,$A$8=L10),TRUE(),FALSE())</f>
        <v>0</v>
      </c>
      <c r="X10" s="23" t="b">
        <f>IF(OR($A$2=M10,$A$3=M10,$A$4=M10,$A$5=M10,$A$6=M10,$A$7=M10,$A$8=M10),TRUE(),FALSE())</f>
        <v>0</v>
      </c>
      <c r="Y10" s="23" t="b">
        <f>IF(OR($A$2=N10,$A$3=N10,$A$4=N10,$A$5=N10,$A$6=N10,$A$7=N10,$A$8=N10),TRUE(),FALSE())</f>
        <v>0</v>
      </c>
      <c r="Z10" s="23" t="b">
        <f>IF(OR($A$2=O10,$A$3=O10,$A$4=O10,$A$5=O10,$A$6=O10,$A$7=O10,$A$8=O10),TRUE(),FALSE())</f>
        <v>0</v>
      </c>
    </row>
    <row r="11" ht="18.75" spans="6:26">
      <c r="F11" s="13"/>
      <c r="G11" s="11">
        <v>30</v>
      </c>
      <c r="H11" s="11">
        <v>31</v>
      </c>
      <c r="I11" s="11">
        <v>32</v>
      </c>
      <c r="J11" s="11">
        <v>33</v>
      </c>
      <c r="K11" s="10"/>
      <c r="L11" s="11">
        <v>34</v>
      </c>
      <c r="M11" s="11">
        <v>35</v>
      </c>
      <c r="N11" s="11">
        <v>36</v>
      </c>
      <c r="O11" s="11">
        <v>37</v>
      </c>
      <c r="P11" s="18"/>
      <c r="R11" s="23" t="b">
        <f>IF(OR($A$2=G11,$A$3=G11,$A$4=G11,$A$5=G11,$A$6=G11,$A$7=G11,$A$8=G11),TRUE(),FALSE())</f>
        <v>0</v>
      </c>
      <c r="S11" s="23" t="b">
        <f>IF(OR($A$2=H11,$A$3=H11,$A$4=H11,$A$5=H11,$A$6=H11,$A$7=H11,$A$8=H11),TRUE(),FALSE())</f>
        <v>0</v>
      </c>
      <c r="T11" s="23" t="b">
        <f>IF(OR($A$2=I11,$A$3=I11,$A$4=I11,$A$5=I11,$A$6=I11,$A$7=I11,$A$8=I11),TRUE(),FALSE())</f>
        <v>0</v>
      </c>
      <c r="U11" s="23" t="b">
        <f>IF(OR($A$2=J11,$A$3=J11,$A$4=J11,$A$5=J11,$A$6=J11,$A$7=J11,$A$8=J11),TRUE(),FALSE())</f>
        <v>0</v>
      </c>
      <c r="V11" s="23" t="b">
        <f>IF(OR($A$2=K11,$A$3=K11,$A$4=K11,$A$5=K11,$A$6=K11,$A$7=K11,$A$8=K11),TRUE(),FALSE())</f>
        <v>0</v>
      </c>
      <c r="W11" s="23" t="b">
        <f>IF(OR($A$2=L11,$A$3=L11,$A$4=L11,$A$5=L11,$A$6=L11,$A$7=L11,$A$8=L11),TRUE(),FALSE())</f>
        <v>0</v>
      </c>
      <c r="X11" s="23" t="b">
        <f>IF(OR($A$2=M11,$A$3=M11,$A$4=M11,$A$5=M11,$A$6=M11,$A$7=M11,$A$8=M11),TRUE(),FALSE())</f>
        <v>0</v>
      </c>
      <c r="Y11" s="23" t="b">
        <f>IF(OR($A$2=N11,$A$3=N11,$A$4=N11,$A$5=N11,$A$6=N11,$A$7=N11,$A$8=N11),TRUE(),FALSE())</f>
        <v>0</v>
      </c>
      <c r="Z11" s="23" t="b">
        <f>IF(OR($A$2=O11,$A$3=O11,$A$4=O11,$A$5=O11,$A$6=O11,$A$7=O11,$A$8=O11),TRUE(),FALSE())</f>
        <v>0</v>
      </c>
    </row>
    <row r="12" ht="18.75" spans="6:26">
      <c r="F12" s="13"/>
      <c r="G12" s="11">
        <v>45</v>
      </c>
      <c r="H12" s="11">
        <v>44</v>
      </c>
      <c r="I12" s="11">
        <v>43</v>
      </c>
      <c r="J12" s="11">
        <v>42</v>
      </c>
      <c r="K12" s="10"/>
      <c r="L12" s="11">
        <v>41</v>
      </c>
      <c r="M12" s="11">
        <v>40</v>
      </c>
      <c r="N12" s="11">
        <v>39</v>
      </c>
      <c r="O12" s="11">
        <v>38</v>
      </c>
      <c r="P12" s="18"/>
      <c r="R12" s="23" t="b">
        <f>IF(OR($A$2=G12,$A$3=G12,$A$4=G12,$A$5=G12,$A$6=G12,$A$7=G12,$A$8=G12),TRUE(),FALSE())</f>
        <v>0</v>
      </c>
      <c r="S12" s="23" t="b">
        <f>IF(OR($A$2=H12,$A$3=H12,$A$4=H12,$A$5=H12,$A$6=H12,$A$7=H12,$A$8=H12),TRUE(),FALSE())</f>
        <v>0</v>
      </c>
      <c r="T12" s="23" t="b">
        <f>IF(OR($A$2=I12,$A$3=I12,$A$4=I12,$A$5=I12,$A$6=I12,$A$7=I12,$A$8=I12),TRUE(),FALSE())</f>
        <v>0</v>
      </c>
      <c r="U12" s="23" t="b">
        <f>IF(OR($A$2=J12,$A$3=J12,$A$4=J12,$A$5=J12,$A$6=J12,$A$7=J12,$A$8=J12),TRUE(),FALSE())</f>
        <v>0</v>
      </c>
      <c r="V12" s="23" t="b">
        <f>IF(OR($A$2=K12,$A$3=K12,$A$4=K12,$A$5=K12,$A$6=K12,$A$7=K12,$A$8=K12),TRUE(),FALSE())</f>
        <v>0</v>
      </c>
      <c r="W12" s="23" t="b">
        <f>IF(OR($A$2=L12,$A$3=L12,$A$4=L12,$A$5=L12,$A$6=L12,$A$7=L12,$A$8=L12),TRUE(),FALSE())</f>
        <v>0</v>
      </c>
      <c r="X12" s="23" t="b">
        <f>IF(OR($A$2=M12,$A$3=M12,$A$4=M12,$A$5=M12,$A$6=M12,$A$7=M12,$A$8=M12),TRUE(),FALSE())</f>
        <v>0</v>
      </c>
      <c r="Y12" s="23" t="b">
        <f>IF(OR($A$2=N12,$A$3=N12,$A$4=N12,$A$5=N12,$A$6=N12,$A$7=N12,$A$8=N12),TRUE(),FALSE())</f>
        <v>0</v>
      </c>
      <c r="Z12" s="23" t="b">
        <f>IF(OR($A$2=O12,$A$3=O12,$A$4=O12,$A$5=O12,$A$6=O12,$A$7=O12,$A$8=O12),TRUE(),FALSE())</f>
        <v>0</v>
      </c>
    </row>
    <row r="13" ht="18.75" spans="6:26">
      <c r="F13" s="13"/>
      <c r="G13" s="11">
        <v>46</v>
      </c>
      <c r="H13" s="11">
        <v>47</v>
      </c>
      <c r="I13" s="11">
        <v>48</v>
      </c>
      <c r="J13" s="11">
        <v>49</v>
      </c>
      <c r="K13" s="19"/>
      <c r="L13" s="20">
        <v>50</v>
      </c>
      <c r="M13" s="20">
        <v>51</v>
      </c>
      <c r="N13" s="20">
        <v>52</v>
      </c>
      <c r="O13" s="20">
        <v>53</v>
      </c>
      <c r="P13" s="18"/>
      <c r="R13" s="23" t="b">
        <f>IF(OR($A$2=G13,$A$3=G13,$A$4=G13,$A$5=G13,$A$6=G13,$A$7=G13,$A$8=G13),TRUE(),FALSE())</f>
        <v>0</v>
      </c>
      <c r="S13" s="23" t="b">
        <f>IF(OR($A$2=H13,$A$3=H13,$A$4=H13,$A$5=H13,$A$6=H13,$A$7=H13,$A$8=H13),TRUE(),FALSE())</f>
        <v>0</v>
      </c>
      <c r="T13" s="23" t="b">
        <f>IF(OR($A$2=I13,$A$3=I13,$A$4=I13,$A$5=I13,$A$6=I13,$A$7=I13,$A$8=I13),TRUE(),FALSE())</f>
        <v>0</v>
      </c>
      <c r="U13" s="23" t="b">
        <f>IF(OR($A$2=J13,$A$3=J13,$A$4=J13,$A$5=J13,$A$6=J13,$A$7=J13,$A$8=J13),TRUE(),FALSE())</f>
        <v>1</v>
      </c>
      <c r="V13" s="23" t="b">
        <f>IF(OR($A$2=K13,$A$3=K13,$A$4=K13,$A$5=K13,$A$6=K13,$A$7=K13,$A$8=K13),TRUE(),FALSE())</f>
        <v>0</v>
      </c>
      <c r="W13" s="23" t="b">
        <f>IF(OR($A$2=L13,$A$3=L13,$A$4=L13,$A$5=L13,$A$6=L13,$A$7=L13,$A$8=L13),TRUE(),FALSE())</f>
        <v>0</v>
      </c>
      <c r="X13" s="23" t="b">
        <f>IF(OR($A$2=M13,$A$3=M13,$A$4=M13,$A$5=M13,$A$6=M13,$A$7=M13,$A$8=M13),TRUE(),FALSE())</f>
        <v>0</v>
      </c>
      <c r="Y13" s="23" t="b">
        <f>IF(OR($A$2=N13,$A$3=N13,$A$4=N13,$A$5=N13,$A$6=N13,$A$7=N13,$A$8=N13),TRUE(),FALSE())</f>
        <v>0</v>
      </c>
      <c r="Z13" s="23" t="b">
        <f>IF(OR($A$2=O13,$A$3=O13,$A$4=O13,$A$5=O13,$A$6=O13,$A$7=O13,$A$8=O13),TRUE(),FALSE())</f>
        <v>0</v>
      </c>
    </row>
    <row r="14" ht="18.75" spans="6:16">
      <c r="F14" s="14"/>
      <c r="G14" s="15"/>
      <c r="H14" s="15"/>
      <c r="I14" s="15"/>
      <c r="J14" s="21" t="s">
        <v>359</v>
      </c>
      <c r="K14" s="21"/>
      <c r="L14" s="21"/>
      <c r="M14" s="15"/>
      <c r="N14" s="15"/>
      <c r="O14" s="15"/>
      <c r="P14" s="22"/>
    </row>
  </sheetData>
  <mergeCells count="4">
    <mergeCell ref="J14:L14"/>
    <mergeCell ref="F8:F9"/>
    <mergeCell ref="P8:P9"/>
    <mergeCell ref="H1:N3"/>
  </mergeCells>
  <conditionalFormatting sqref="G6:O13">
    <cfRule type="expression" dxfId="6" priority="1">
      <formula>IF(OR($A$2=G6,$A$3=G6,$A$4=G6,$A$5=G6,$A$6=G6,$A$7=G6,$A$8=G6),TRUE(),FALSE())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Sheet8</vt:lpstr>
      <vt:lpstr>Sheet7</vt:lpstr>
      <vt:lpstr>Sheet3 (2)</vt:lpstr>
      <vt:lpstr>Sheet9</vt:lpstr>
      <vt:lpstr>Sheet4 (2)</vt:lpstr>
      <vt:lpstr>CANDLE STICK TRADING CHART</vt:lpstr>
      <vt:lpstr>PRACTICE QUESTIONS</vt:lpstr>
      <vt:lpstr>Sheet10</vt:lpstr>
      <vt:lpstr>Sheet11</vt:lpstr>
      <vt:lpstr>Sheet12</vt:lpstr>
      <vt:lpstr>Sheet13</vt:lpstr>
      <vt:lpstr>Sheet17</vt:lpstr>
      <vt:lpstr>Sheet18</vt:lpstr>
      <vt:lpstr>interview cracker1</vt:lpstr>
      <vt:lpstr>interview cracker2</vt:lpstr>
      <vt:lpstr>cinema_hall_ticket_booking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2021-05-05T11:11:00Z</dcterms:created>
  <dcterms:modified xsi:type="dcterms:W3CDTF">2021-10-28T15:19:49Z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