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340" documentId="8_{AA9D238F-84FD-471E-9957-2705ECBCD3A9}" xr6:coauthVersionLast="47" xr6:coauthVersionMax="47" xr10:uidLastSave="{7F42FBFA-9081-49C7-A66B-2506EA785645}"/>
  <bookViews>
    <workbookView xWindow="240" yWindow="105" windowWidth="14805" windowHeight="8010" firstSheet="2" xr2:uid="{00000000-000D-0000-FFFF-FFFF00000000}"/>
  </bookViews>
  <sheets>
    <sheet name="Attendence" sheetId="1" r:id="rId1"/>
    <sheet name="Salary" sheetId="3" r:id="rId2"/>
    <sheet name="Total Attendence + Salary Slip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B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1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AZ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Y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1" i="2"/>
  <c r="BD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C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Q1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BF1" i="2"/>
  <c r="BE1" i="2"/>
  <c r="BA1" i="2"/>
  <c r="AZ1" i="2"/>
  <c r="AY1" i="2"/>
  <c r="AX1" i="2"/>
  <c r="AW1" i="2"/>
  <c r="AV1" i="2"/>
  <c r="AU1" i="2"/>
  <c r="AT1" i="2"/>
  <c r="AS1" i="2"/>
  <c r="BD1" i="2"/>
  <c r="BC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" i="2"/>
  <c r="C1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R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W1" i="2"/>
  <c r="V1" i="2"/>
  <c r="U1" i="2"/>
  <c r="T1" i="2"/>
  <c r="S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AO30" i="1"/>
  <c r="AJ30" i="1"/>
  <c r="AI30" i="1"/>
  <c r="AH30" i="1"/>
  <c r="AL30" i="1" s="1"/>
  <c r="AO29" i="1"/>
  <c r="AJ29" i="1"/>
  <c r="AI29" i="1"/>
  <c r="AH29" i="1"/>
  <c r="AL29" i="1" s="1"/>
  <c r="AO28" i="1"/>
  <c r="AJ28" i="1"/>
  <c r="AI28" i="1"/>
  <c r="AH28" i="1"/>
  <c r="AL28" i="1" s="1"/>
  <c r="AO27" i="1"/>
  <c r="AJ27" i="1"/>
  <c r="AI27" i="1"/>
  <c r="AH27" i="1"/>
  <c r="AL27" i="1" s="1"/>
  <c r="AS26" i="1"/>
  <c r="AZ26" i="1" s="1"/>
  <c r="BB26" i="1" s="1"/>
  <c r="AO26" i="1"/>
  <c r="AK26" i="1"/>
  <c r="AJ26" i="1"/>
  <c r="AI26" i="1"/>
  <c r="AH26" i="1"/>
  <c r="AS25" i="1"/>
  <c r="AZ25" i="1" s="1"/>
  <c r="BB25" i="1" s="1"/>
  <c r="AR25" i="1"/>
  <c r="AO25" i="1"/>
  <c r="AJ25" i="1"/>
  <c r="AI25" i="1"/>
  <c r="AH25" i="1"/>
  <c r="AL25" i="1" s="1"/>
  <c r="AK25" i="1" s="1"/>
  <c r="AS24" i="1"/>
  <c r="AZ24" i="1" s="1"/>
  <c r="BB24" i="1" s="1"/>
  <c r="AR24" i="1"/>
  <c r="AO24" i="1"/>
  <c r="AJ24" i="1"/>
  <c r="AI24" i="1"/>
  <c r="AH24" i="1"/>
  <c r="AL24" i="1" s="1"/>
  <c r="AK24" i="1" s="1"/>
  <c r="AS23" i="1"/>
  <c r="AZ23" i="1" s="1"/>
  <c r="BB23" i="1" s="1"/>
  <c r="AR23" i="1"/>
  <c r="AO23" i="1"/>
  <c r="AJ23" i="1"/>
  <c r="AI23" i="1"/>
  <c r="AH23" i="1"/>
  <c r="AL23" i="1" s="1"/>
  <c r="AK23" i="1" s="1"/>
  <c r="AS22" i="1"/>
  <c r="AZ22" i="1" s="1"/>
  <c r="BB22" i="1" s="1"/>
  <c r="AR22" i="1"/>
  <c r="AO22" i="1"/>
  <c r="AK22" i="1"/>
  <c r="AJ22" i="1"/>
  <c r="AI22" i="1"/>
  <c r="AH22" i="1"/>
  <c r="AO21" i="1"/>
  <c r="AJ21" i="1"/>
  <c r="AI21" i="1"/>
  <c r="AH21" i="1"/>
  <c r="AL21" i="1" s="1"/>
  <c r="AO20" i="1"/>
  <c r="AJ20" i="1"/>
  <c r="AI20" i="1"/>
  <c r="AH20" i="1"/>
  <c r="AL20" i="1" s="1"/>
  <c r="AO19" i="1"/>
  <c r="AJ19" i="1"/>
  <c r="AI19" i="1"/>
  <c r="AH19" i="1"/>
  <c r="AL19" i="1" s="1"/>
  <c r="AO18" i="1"/>
  <c r="AJ18" i="1"/>
  <c r="AI18" i="1"/>
  <c r="AH18" i="1"/>
  <c r="AL18" i="1" s="1"/>
  <c r="AO17" i="1"/>
  <c r="AJ17" i="1"/>
  <c r="AI17" i="1"/>
  <c r="AH17" i="1"/>
  <c r="AL17" i="1" s="1"/>
  <c r="AO16" i="1"/>
  <c r="AJ16" i="1"/>
  <c r="AI16" i="1"/>
  <c r="AH16" i="1"/>
  <c r="AL16" i="1" s="1"/>
  <c r="AS15" i="1"/>
  <c r="AZ15" i="1" s="1"/>
  <c r="BB15" i="1" s="1"/>
  <c r="AR15" i="1"/>
  <c r="AO15" i="1"/>
  <c r="AJ15" i="1"/>
  <c r="AI15" i="1"/>
  <c r="AH15" i="1"/>
  <c r="AL15" i="1" s="1"/>
  <c r="AK15" i="1" s="1"/>
  <c r="AS14" i="1"/>
  <c r="AZ14" i="1" s="1"/>
  <c r="BB14" i="1" s="1"/>
  <c r="AR14" i="1"/>
  <c r="AO14" i="1"/>
  <c r="AJ14" i="1"/>
  <c r="AI14" i="1"/>
  <c r="AH14" i="1"/>
  <c r="AL14" i="1" s="1"/>
  <c r="AK14" i="1" s="1"/>
  <c r="AO13" i="1"/>
  <c r="AJ13" i="1"/>
  <c r="AI13" i="1"/>
  <c r="AH13" i="1"/>
  <c r="AL13" i="1" s="1"/>
  <c r="AS12" i="1"/>
  <c r="AZ12" i="1" s="1"/>
  <c r="BB12" i="1" s="1"/>
  <c r="AR12" i="1"/>
  <c r="AO12" i="1"/>
  <c r="AJ12" i="1"/>
  <c r="AI12" i="1"/>
  <c r="AH12" i="1"/>
  <c r="AL12" i="1" s="1"/>
  <c r="AK12" i="1" s="1"/>
  <c r="AO11" i="1"/>
  <c r="AJ11" i="1"/>
  <c r="AI11" i="1"/>
  <c r="AH11" i="1"/>
  <c r="AL11" i="1" s="1"/>
  <c r="AO10" i="1"/>
  <c r="AJ10" i="1"/>
  <c r="AI10" i="1"/>
  <c r="AH10" i="1"/>
  <c r="AL10" i="1" s="1"/>
  <c r="AS9" i="1"/>
  <c r="AZ9" i="1" s="1"/>
  <c r="BB9" i="1" s="1"/>
  <c r="AR9" i="1"/>
  <c r="AO9" i="1"/>
  <c r="AJ9" i="1"/>
  <c r="AI9" i="1"/>
  <c r="AH9" i="1"/>
  <c r="AL9" i="1" s="1"/>
  <c r="AK9" i="1" s="1"/>
  <c r="AS8" i="1"/>
  <c r="AZ8" i="1" s="1"/>
  <c r="BB8" i="1" s="1"/>
  <c r="AR8" i="1"/>
  <c r="AJ8" i="1"/>
  <c r="AI8" i="1"/>
  <c r="AH8" i="1"/>
  <c r="AL8" i="1" s="1"/>
  <c r="AK8" i="1" s="1"/>
  <c r="AX7" i="1"/>
  <c r="AS7" i="1"/>
  <c r="AZ7" i="1" s="1"/>
  <c r="BB7" i="1" s="1"/>
  <c r="AR7" i="1"/>
  <c r="AO7" i="1"/>
  <c r="AJ7" i="1"/>
  <c r="AI7" i="1"/>
  <c r="AH7" i="1"/>
  <c r="AL7" i="1" s="1"/>
  <c r="AK7" i="1" s="1"/>
  <c r="AX6" i="1"/>
  <c r="AS6" i="1"/>
  <c r="AZ6" i="1" s="1"/>
  <c r="BB6" i="1" s="1"/>
  <c r="AR6" i="1"/>
  <c r="AO6" i="1"/>
  <c r="AJ6" i="1"/>
  <c r="AI6" i="1"/>
  <c r="AH6" i="1"/>
  <c r="AL6" i="1" s="1"/>
  <c r="AK6" i="1" s="1"/>
  <c r="AX5" i="1"/>
  <c r="AS5" i="1"/>
  <c r="AZ5" i="1" s="1"/>
  <c r="BB5" i="1" s="1"/>
  <c r="AR5" i="1"/>
  <c r="AO5" i="1"/>
  <c r="AJ5" i="1"/>
  <c r="AI5" i="1"/>
  <c r="AL5" i="1"/>
  <c r="AK5" i="1" l="1"/>
  <c r="F2" i="2" s="1"/>
  <c r="G2" i="2"/>
  <c r="AP10" i="1"/>
  <c r="AK10" i="1"/>
  <c r="AP11" i="1"/>
  <c r="AK11" i="1"/>
  <c r="AP13" i="1"/>
  <c r="AK13" i="1"/>
  <c r="AP16" i="1"/>
  <c r="AK16" i="1"/>
  <c r="AP17" i="1"/>
  <c r="AK17" i="1"/>
  <c r="AP18" i="1"/>
  <c r="AK18" i="1"/>
  <c r="AP19" i="1"/>
  <c r="AK19" i="1"/>
  <c r="AP20" i="1"/>
  <c r="AK20" i="1"/>
  <c r="AP21" i="1"/>
  <c r="AK21" i="1"/>
  <c r="AP27" i="1"/>
  <c r="AK27" i="1"/>
  <c r="AP28" i="1"/>
  <c r="AK28" i="1"/>
  <c r="AP29" i="1"/>
  <c r="AK29" i="1"/>
  <c r="AP30" i="1"/>
  <c r="AK30" i="1"/>
  <c r="AS30" i="1" l="1"/>
  <c r="AZ30" i="1" s="1"/>
  <c r="BB30" i="1" s="1"/>
  <c r="AR30" i="1"/>
  <c r="AS29" i="1"/>
  <c r="AZ29" i="1" s="1"/>
  <c r="BB29" i="1" s="1"/>
  <c r="AR29" i="1"/>
  <c r="AS28" i="1"/>
  <c r="AZ28" i="1" s="1"/>
  <c r="BB28" i="1" s="1"/>
  <c r="AR28" i="1"/>
  <c r="AS27" i="1"/>
  <c r="AZ27" i="1" s="1"/>
  <c r="BB27" i="1" s="1"/>
  <c r="AR27" i="1"/>
  <c r="AS21" i="1"/>
  <c r="AZ21" i="1" s="1"/>
  <c r="BB21" i="1" s="1"/>
  <c r="AR21" i="1"/>
  <c r="AS20" i="1"/>
  <c r="AZ20" i="1" s="1"/>
  <c r="BB20" i="1" s="1"/>
  <c r="AR20" i="1"/>
  <c r="AS19" i="1"/>
  <c r="AZ19" i="1" s="1"/>
  <c r="BB19" i="1" s="1"/>
  <c r="AR19" i="1"/>
  <c r="AS18" i="1"/>
  <c r="AZ18" i="1" s="1"/>
  <c r="BB18" i="1" s="1"/>
  <c r="AR18" i="1"/>
  <c r="AS17" i="1"/>
  <c r="AZ17" i="1" s="1"/>
  <c r="BB17" i="1" s="1"/>
  <c r="AR17" i="1"/>
  <c r="AS16" i="1"/>
  <c r="AZ16" i="1" s="1"/>
  <c r="BB16" i="1" s="1"/>
  <c r="AR16" i="1"/>
  <c r="AS13" i="1"/>
  <c r="AZ13" i="1" s="1"/>
  <c r="BB13" i="1" s="1"/>
  <c r="AR13" i="1"/>
  <c r="AS11" i="1"/>
  <c r="AZ11" i="1" s="1"/>
  <c r="BB11" i="1" s="1"/>
  <c r="AR11" i="1"/>
  <c r="AS10" i="1"/>
  <c r="AZ10" i="1" s="1"/>
  <c r="BB10" i="1" s="1"/>
  <c r="AR10" i="1"/>
</calcChain>
</file>

<file path=xl/sharedStrings.xml><?xml version="1.0" encoding="utf-8"?>
<sst xmlns="http://schemas.openxmlformats.org/spreadsheetml/2006/main" count="1225" uniqueCount="158">
  <si>
    <t>RVS MEDIA INDIA PVT LTD. ATTENDENCE / SALARY REPORT FOR THE M/O JULY 2024</t>
  </si>
  <si>
    <t>Employee Id</t>
  </si>
  <si>
    <t>Employee Name</t>
  </si>
  <si>
    <t>Total SL</t>
  </si>
  <si>
    <t>Total HD</t>
  </si>
  <si>
    <t>Total FL</t>
  </si>
  <si>
    <t>TOTAL WORKING DAYS</t>
  </si>
  <si>
    <t>Leaves Taken</t>
  </si>
  <si>
    <t>Paid Leave Balance For This Month</t>
  </si>
  <si>
    <t>Leaves To Adjust From Paid Leave Balance</t>
  </si>
  <si>
    <t>Paid Leave Balance Remaining</t>
  </si>
  <si>
    <t>Number of Leaves to deduct</t>
  </si>
  <si>
    <t>Number Of Extra Days</t>
  </si>
  <si>
    <t>Total Days to Pay</t>
  </si>
  <si>
    <t>Deduction for Unpaid Leaves</t>
  </si>
  <si>
    <t>Other Deductions(Loans/Retention)</t>
  </si>
  <si>
    <t>TDS Deduction</t>
  </si>
  <si>
    <t>ESI Deduction</t>
  </si>
  <si>
    <t>EPF Deduction</t>
  </si>
  <si>
    <t>Extra Days</t>
  </si>
  <si>
    <t>Bonus/Extra days</t>
  </si>
  <si>
    <t>Total Deduction</t>
  </si>
  <si>
    <t xml:space="preserve">Gross Salary </t>
  </si>
  <si>
    <t>Payable Salary this Month</t>
  </si>
  <si>
    <t>Bank Name</t>
  </si>
  <si>
    <t>Days</t>
  </si>
  <si>
    <t>Thur</t>
  </si>
  <si>
    <t>Fri</t>
  </si>
  <si>
    <t>Sat</t>
  </si>
  <si>
    <t>sun</t>
  </si>
  <si>
    <t>Mon</t>
  </si>
  <si>
    <t>Tue</t>
  </si>
  <si>
    <t>wed</t>
  </si>
  <si>
    <t>Emp Code</t>
  </si>
  <si>
    <t>19OL</t>
  </si>
  <si>
    <t>RVSAMD001</t>
  </si>
  <si>
    <t xml:space="preserve"> Nilesh Patel (Remote)</t>
  </si>
  <si>
    <t>P</t>
  </si>
  <si>
    <t>HD</t>
  </si>
  <si>
    <t>H</t>
  </si>
  <si>
    <t>OL</t>
  </si>
  <si>
    <t>L</t>
  </si>
  <si>
    <t>SL</t>
  </si>
  <si>
    <t>SBI</t>
  </si>
  <si>
    <t>RVS047</t>
  </si>
  <si>
    <t xml:space="preserve"> Mandeep Singh</t>
  </si>
  <si>
    <t>ICICI</t>
  </si>
  <si>
    <t>RVSCHD007</t>
  </si>
  <si>
    <t xml:space="preserve"> Sakshi Salhotra</t>
  </si>
  <si>
    <t>RVS056</t>
  </si>
  <si>
    <t xml:space="preserve"> Jasjeet Khipal</t>
  </si>
  <si>
    <t>p</t>
  </si>
  <si>
    <t>RVS074</t>
  </si>
  <si>
    <t xml:space="preserve"> Shubham Verma (Remote)</t>
  </si>
  <si>
    <t>RVSCHD013</t>
  </si>
  <si>
    <t xml:space="preserve"> Vinay Kumar</t>
  </si>
  <si>
    <t>RVS091</t>
  </si>
  <si>
    <t xml:space="preserve">Shaik Shabbir Ali </t>
  </si>
  <si>
    <t>RVS098</t>
  </si>
  <si>
    <t>Jaskirat Singh</t>
  </si>
  <si>
    <t>RVS100</t>
  </si>
  <si>
    <t>Kavita Rani</t>
  </si>
  <si>
    <t>RVSCHD017</t>
  </si>
  <si>
    <t>Balwinder kumar</t>
  </si>
  <si>
    <t>RVS CHD019</t>
  </si>
  <si>
    <t>Utkarsh Rathi</t>
  </si>
  <si>
    <t>RVSCHD018</t>
  </si>
  <si>
    <t>Syed Imtiyaz</t>
  </si>
  <si>
    <t>RVSCHD020</t>
  </si>
  <si>
    <t>Akhil Pathania</t>
  </si>
  <si>
    <t>SBI / AXIS</t>
  </si>
  <si>
    <t>RVSCHD024</t>
  </si>
  <si>
    <t>Bhanu Partap singh</t>
  </si>
  <si>
    <t>RVSCHD027</t>
  </si>
  <si>
    <t>Chhavi garg</t>
  </si>
  <si>
    <t>RVSCHD028</t>
  </si>
  <si>
    <t xml:space="preserve">Vishal Sharma </t>
  </si>
  <si>
    <t>RVSCHD029</t>
  </si>
  <si>
    <t>ANANDA  BALU HYALIJ</t>
  </si>
  <si>
    <t>ol</t>
  </si>
  <si>
    <t>RVSCHD035</t>
  </si>
  <si>
    <t xml:space="preserve">Harsh </t>
  </si>
  <si>
    <t>RVSCHD033</t>
  </si>
  <si>
    <t>Palkin</t>
  </si>
  <si>
    <t>RVSCHD036</t>
  </si>
  <si>
    <t>Mehak Gupta</t>
  </si>
  <si>
    <t>RVSCHD037</t>
  </si>
  <si>
    <t>Harjot Kaur</t>
  </si>
  <si>
    <t>RVSCHD038</t>
  </si>
  <si>
    <t>Ankita</t>
  </si>
  <si>
    <t>RVSCHD039</t>
  </si>
  <si>
    <t>Sanjay</t>
  </si>
  <si>
    <t>RVSCHD041</t>
  </si>
  <si>
    <t>Brijesh  Kumar</t>
  </si>
  <si>
    <t>RVSCHD042</t>
  </si>
  <si>
    <t xml:space="preserve">Tarun Singh </t>
  </si>
  <si>
    <t>RVSCHD043</t>
  </si>
  <si>
    <t>Siya  Goyal</t>
  </si>
  <si>
    <t>Pay Slip for the month of</t>
  </si>
  <si>
    <t>Joining date</t>
  </si>
  <si>
    <t>IFSC Code</t>
  </si>
  <si>
    <t>Account Number</t>
  </si>
  <si>
    <t>Pan Card No.</t>
  </si>
  <si>
    <t>Designation</t>
  </si>
  <si>
    <t>Department</t>
  </si>
  <si>
    <t>Office Location</t>
  </si>
  <si>
    <t>Total working days this Month</t>
  </si>
  <si>
    <t>No. of Days worked</t>
  </si>
  <si>
    <t>Gross Salary</t>
  </si>
  <si>
    <t>Basic</t>
  </si>
  <si>
    <t>HRA</t>
  </si>
  <si>
    <t>DA</t>
  </si>
  <si>
    <t>Performance Allowance</t>
  </si>
  <si>
    <t>Conveince Allowance</t>
  </si>
  <si>
    <t>Other Allowance (Bonus/Extra days)</t>
  </si>
  <si>
    <t xml:space="preserve">Net Pay for the month: </t>
  </si>
  <si>
    <t>Earning in words</t>
  </si>
  <si>
    <t>CL used (Leaves Taken)</t>
  </si>
  <si>
    <t>CL opening Balance (Leave Balance For This Month)</t>
  </si>
  <si>
    <t>CL Balance (Paid Leave Balance Remaining)</t>
  </si>
  <si>
    <t>Total CL DEDUCTED (Number of Leaves to deduct)</t>
  </si>
  <si>
    <t>Profesinal Tax dedcution</t>
  </si>
  <si>
    <t xml:space="preserve"> Unpaid Leaves Deduction</t>
  </si>
  <si>
    <t>Other Deductions (Loans/Retention)</t>
  </si>
  <si>
    <t>Income TAX (TDS Deduction)</t>
  </si>
  <si>
    <t>Total Deduction this Month</t>
  </si>
  <si>
    <t>officeemail</t>
  </si>
  <si>
    <t>personalemail</t>
  </si>
  <si>
    <t>ICICI099676</t>
  </si>
  <si>
    <t>KSNF7393</t>
  </si>
  <si>
    <t>Sr.Magento Developer</t>
  </si>
  <si>
    <t>Development</t>
  </si>
  <si>
    <t>Remote</t>
  </si>
  <si>
    <t>Fourty eightthousand rupees only</t>
  </si>
  <si>
    <t>mandeep@rvsmedia.com</t>
  </si>
  <si>
    <t>mandeepmehra7@gmail.com</t>
  </si>
  <si>
    <t>ICICI099677</t>
  </si>
  <si>
    <t>EGFD4432</t>
  </si>
  <si>
    <t>Laravel Developer</t>
  </si>
  <si>
    <t>Mohali</t>
  </si>
  <si>
    <t>fourty three thousand  five hundred rupees only</t>
  </si>
  <si>
    <t>ICICI099678</t>
  </si>
  <si>
    <t>LKBD4543</t>
  </si>
  <si>
    <t>Magento Developer</t>
  </si>
  <si>
    <t>Ecommerce</t>
  </si>
  <si>
    <t>Thirty five thousand rupees only</t>
  </si>
  <si>
    <t>ICICI099679</t>
  </si>
  <si>
    <t>LKBD4544</t>
  </si>
  <si>
    <t>ICICI099680</t>
  </si>
  <si>
    <t>LKBD4545</t>
  </si>
  <si>
    <t>ICICI099681</t>
  </si>
  <si>
    <t>LKBD4546</t>
  </si>
  <si>
    <t>ICICI099682</t>
  </si>
  <si>
    <t>LKBD4547</t>
  </si>
  <si>
    <t>ICICI099683</t>
  </si>
  <si>
    <t>LKBD4548</t>
  </si>
  <si>
    <t>ICICI099684</t>
  </si>
  <si>
    <t>LKBD4549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</si>
</sst>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2">
    <font>
      <sz val="11"/>
      <color theme="1"/>
      <name val="Aptos Narrow"/>
      <family val="2"/>
      <scheme val="minor"/>
    </font>
    <font>
      <b/>
      <sz val="16"/>
      <color theme="1"/>
      <name val="Cordia New"/>
    </font>
    <font>
      <b/>
      <sz val="16"/>
      <color rgb="FF000000"/>
      <name val="Cordia New"/>
    </font>
    <font>
      <b/>
      <u/>
      <sz val="16"/>
      <color rgb="FF000000"/>
      <name val="Cordia New"/>
    </font>
    <font>
      <b/>
      <sz val="12"/>
      <color rgb="FF000000"/>
      <name val="Courier New"/>
    </font>
    <font>
      <sz val="16"/>
      <color rgb="FF000000"/>
      <name val="Cordia New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sz val="11"/>
      <color rgb="FF444444"/>
      <name val="Calibri"/>
      <charset val="1"/>
    </font>
    <font>
      <b/>
      <sz val="14"/>
      <color theme="1"/>
      <name val="Cordia New"/>
    </font>
    <font>
      <b/>
      <sz val="12"/>
      <color theme="0"/>
      <name val="Courier New"/>
    </font>
    <font>
      <b/>
      <sz val="11"/>
      <color theme="1"/>
      <name val="Aptos Display"/>
      <scheme val="major"/>
    </font>
  </fonts>
  <fills count="2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top" wrapText="1"/>
    </xf>
    <xf numFmtId="0" fontId="6" fillId="7" borderId="7" xfId="0" applyFont="1" applyFill="1" applyBorder="1" applyAlignment="1">
      <alignment horizontal="center" vertical="top" wrapText="1"/>
    </xf>
    <xf numFmtId="0" fontId="6" fillId="8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6" fillId="10" borderId="7" xfId="0" applyFont="1" applyFill="1" applyBorder="1" applyAlignment="1">
      <alignment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18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0" fillId="2" borderId="6" xfId="0" applyFill="1" applyBorder="1" applyAlignment="1">
      <alignment vertical="center"/>
    </xf>
    <xf numFmtId="0" fontId="6" fillId="19" borderId="7" xfId="0" applyFont="1" applyFill="1" applyBorder="1" applyAlignment="1">
      <alignment vertical="center"/>
    </xf>
    <xf numFmtId="0" fontId="10" fillId="19" borderId="7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164" fontId="5" fillId="11" borderId="7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15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18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15" borderId="0" xfId="0" applyFill="1" applyAlignment="1">
      <alignment wrapText="1"/>
    </xf>
    <xf numFmtId="0" fontId="0" fillId="15" borderId="0" xfId="0" applyFill="1"/>
    <xf numFmtId="0" fontId="0" fillId="0" borderId="0" xfId="0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11" borderId="7" xfId="0" applyFill="1" applyBorder="1" applyAlignment="1">
      <alignment horizontal="left" vertical="center" wrapText="1"/>
    </xf>
    <xf numFmtId="0" fontId="0" fillId="15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bgColor rgb="FFFCE4D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bgColor rgb="FFFCE4D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1"/>
  <sheetViews>
    <sheetView tabSelected="1" topLeftCell="Z2" workbookViewId="0">
      <selection activeCell="AJ2" sqref="AJ2"/>
    </sheetView>
  </sheetViews>
  <sheetFormatPr defaultRowHeight="15"/>
  <cols>
    <col min="1" max="1" width="25.28515625" customWidth="1"/>
    <col min="2" max="2" width="27.140625" customWidth="1"/>
    <col min="45" max="52" width="11.140625" customWidth="1"/>
    <col min="53" max="53" width="24.5703125" customWidth="1"/>
    <col min="54" max="54" width="27.7109375" customWidth="1"/>
    <col min="55" max="55" width="17.28515625" customWidth="1"/>
  </cols>
  <sheetData>
    <row r="1" spans="1:55" ht="23.25">
      <c r="A1" s="68" t="s">
        <v>0</v>
      </c>
      <c r="B1" s="6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2"/>
      <c r="AU1" s="3"/>
      <c r="AV1" s="3"/>
      <c r="AW1" s="3"/>
      <c r="AX1" s="3"/>
      <c r="AY1" s="3"/>
      <c r="AZ1" s="3"/>
      <c r="BA1" s="3"/>
      <c r="BB1" s="3"/>
      <c r="BC1" s="4"/>
    </row>
    <row r="2" spans="1:55" ht="87">
      <c r="A2" s="6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>
        <v>31</v>
      </c>
      <c r="AH2" s="6" t="s">
        <v>3</v>
      </c>
      <c r="AI2" s="6" t="s">
        <v>4</v>
      </c>
      <c r="AJ2" s="6" t="s">
        <v>5</v>
      </c>
      <c r="AK2" s="12" t="s">
        <v>6</v>
      </c>
      <c r="AL2" s="13" t="s">
        <v>7</v>
      </c>
      <c r="AM2" s="14" t="s">
        <v>8</v>
      </c>
      <c r="AN2" s="15" t="s">
        <v>9</v>
      </c>
      <c r="AO2" s="15" t="s">
        <v>10</v>
      </c>
      <c r="AP2" s="15" t="s">
        <v>11</v>
      </c>
      <c r="AQ2" s="15" t="s">
        <v>12</v>
      </c>
      <c r="AR2" s="13" t="s">
        <v>13</v>
      </c>
      <c r="AS2" s="13" t="s">
        <v>14</v>
      </c>
      <c r="AT2" s="13" t="s">
        <v>15</v>
      </c>
      <c r="AU2" s="16" t="s">
        <v>16</v>
      </c>
      <c r="AV2" s="16" t="s">
        <v>17</v>
      </c>
      <c r="AW2" s="16" t="s">
        <v>18</v>
      </c>
      <c r="AX2" s="17" t="s">
        <v>19</v>
      </c>
      <c r="AY2" s="17" t="s">
        <v>20</v>
      </c>
      <c r="AZ2" s="17" t="s">
        <v>21</v>
      </c>
      <c r="BA2" s="17" t="s">
        <v>22</v>
      </c>
      <c r="BB2" s="18" t="s">
        <v>23</v>
      </c>
      <c r="BC2" s="17" t="s">
        <v>24</v>
      </c>
    </row>
    <row r="3" spans="1:55" ht="24">
      <c r="A3" s="5" t="s">
        <v>25</v>
      </c>
      <c r="B3" s="6"/>
      <c r="C3" s="7" t="s">
        <v>26</v>
      </c>
      <c r="D3" s="7" t="s">
        <v>27</v>
      </c>
      <c r="E3" s="7" t="s">
        <v>28</v>
      </c>
      <c r="F3" s="7" t="s">
        <v>29</v>
      </c>
      <c r="G3" s="7" t="s">
        <v>30</v>
      </c>
      <c r="H3" s="7" t="s">
        <v>31</v>
      </c>
      <c r="I3" s="7" t="s">
        <v>32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32</v>
      </c>
      <c r="Q3" s="7" t="s">
        <v>26</v>
      </c>
      <c r="R3" s="7" t="s">
        <v>27</v>
      </c>
      <c r="S3" s="7" t="s">
        <v>28</v>
      </c>
      <c r="T3" s="7" t="s">
        <v>29</v>
      </c>
      <c r="U3" s="7" t="s">
        <v>30</v>
      </c>
      <c r="V3" s="7" t="s">
        <v>31</v>
      </c>
      <c r="W3" s="7" t="s">
        <v>32</v>
      </c>
      <c r="X3" s="7" t="s">
        <v>26</v>
      </c>
      <c r="Y3" s="7" t="s">
        <v>27</v>
      </c>
      <c r="Z3" s="7" t="s">
        <v>28</v>
      </c>
      <c r="AA3" s="7" t="s">
        <v>29</v>
      </c>
      <c r="AB3" s="7" t="s">
        <v>30</v>
      </c>
      <c r="AC3" s="7" t="s">
        <v>31</v>
      </c>
      <c r="AD3" s="7" t="s">
        <v>32</v>
      </c>
      <c r="AE3" s="7" t="s">
        <v>26</v>
      </c>
      <c r="AF3" s="7" t="s">
        <v>27</v>
      </c>
      <c r="AG3" s="7" t="s">
        <v>28</v>
      </c>
      <c r="AH3" s="11"/>
      <c r="AI3" s="6"/>
      <c r="AJ3" s="6"/>
      <c r="AK3" s="6"/>
      <c r="AL3" s="6"/>
      <c r="AM3" s="9"/>
      <c r="AN3" s="6"/>
      <c r="AO3" s="6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</row>
    <row r="4" spans="1:55" ht="87">
      <c r="A4" s="5" t="s">
        <v>33</v>
      </c>
      <c r="B4" s="6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 t="s">
        <v>34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6" t="s">
        <v>3</v>
      </c>
      <c r="AI4" s="6" t="s">
        <v>4</v>
      </c>
      <c r="AJ4" s="6" t="s">
        <v>5</v>
      </c>
      <c r="AK4" s="12" t="s">
        <v>6</v>
      </c>
      <c r="AL4" s="13" t="s">
        <v>7</v>
      </c>
      <c r="AM4" s="14" t="s">
        <v>8</v>
      </c>
      <c r="AN4" s="15" t="s">
        <v>9</v>
      </c>
      <c r="AO4" s="15" t="s">
        <v>10</v>
      </c>
      <c r="AP4" s="15" t="s">
        <v>11</v>
      </c>
      <c r="AQ4" s="15" t="s">
        <v>12</v>
      </c>
      <c r="AR4" s="13" t="s">
        <v>13</v>
      </c>
      <c r="AS4" s="13" t="s">
        <v>14</v>
      </c>
      <c r="AT4" s="13" t="s">
        <v>15</v>
      </c>
      <c r="AU4" s="16" t="s">
        <v>16</v>
      </c>
      <c r="AV4" s="16" t="s">
        <v>17</v>
      </c>
      <c r="AW4" s="16" t="s">
        <v>18</v>
      </c>
      <c r="AX4" s="17" t="s">
        <v>19</v>
      </c>
      <c r="AY4" s="17" t="s">
        <v>20</v>
      </c>
      <c r="AZ4" s="17" t="s">
        <v>21</v>
      </c>
      <c r="BA4" s="17" t="s">
        <v>22</v>
      </c>
      <c r="BB4" s="18" t="s">
        <v>23</v>
      </c>
      <c r="BC4" s="17" t="s">
        <v>24</v>
      </c>
    </row>
    <row r="5" spans="1:55" ht="24">
      <c r="A5" s="19" t="s">
        <v>35</v>
      </c>
      <c r="B5" s="20" t="s">
        <v>36</v>
      </c>
      <c r="C5" s="21" t="s">
        <v>37</v>
      </c>
      <c r="D5" s="21" t="s">
        <v>37</v>
      </c>
      <c r="E5" s="22" t="s">
        <v>37</v>
      </c>
      <c r="F5" s="22" t="s">
        <v>37</v>
      </c>
      <c r="G5" s="21" t="s">
        <v>37</v>
      </c>
      <c r="H5" s="21" t="s">
        <v>37</v>
      </c>
      <c r="I5" s="21" t="s">
        <v>37</v>
      </c>
      <c r="J5" s="21" t="s">
        <v>37</v>
      </c>
      <c r="K5" s="21" t="s">
        <v>37</v>
      </c>
      <c r="L5" s="22" t="s">
        <v>37</v>
      </c>
      <c r="M5" s="22" t="s">
        <v>37</v>
      </c>
      <c r="N5" s="21" t="s">
        <v>38</v>
      </c>
      <c r="O5" s="21" t="s">
        <v>37</v>
      </c>
      <c r="P5" s="21" t="s">
        <v>37</v>
      </c>
      <c r="Q5" s="23" t="s">
        <v>39</v>
      </c>
      <c r="R5" s="21" t="s">
        <v>37</v>
      </c>
      <c r="S5" s="22" t="s">
        <v>37</v>
      </c>
      <c r="T5" s="22" t="s">
        <v>37</v>
      </c>
      <c r="U5" s="24" t="s">
        <v>40</v>
      </c>
      <c r="V5" s="21" t="s">
        <v>37</v>
      </c>
      <c r="W5" s="21" t="s">
        <v>37</v>
      </c>
      <c r="X5" s="21" t="s">
        <v>37</v>
      </c>
      <c r="Y5" s="21" t="s">
        <v>37</v>
      </c>
      <c r="Z5" s="22" t="s">
        <v>37</v>
      </c>
      <c r="AA5" s="22" t="s">
        <v>37</v>
      </c>
      <c r="AB5" s="21" t="s">
        <v>41</v>
      </c>
      <c r="AC5" s="21" t="s">
        <v>42</v>
      </c>
      <c r="AD5" s="21" t="s">
        <v>37</v>
      </c>
      <c r="AE5" s="21" t="s">
        <v>37</v>
      </c>
      <c r="AF5" s="21" t="s">
        <v>37</v>
      </c>
      <c r="AG5" s="22" t="s">
        <v>37</v>
      </c>
      <c r="AH5" s="25">
        <v>4</v>
      </c>
      <c r="AI5" s="25">
        <f>SUM(COUNTIF(C5:AG5,"HD")*0.5)</f>
        <v>0.5</v>
      </c>
      <c r="AJ5" s="25">
        <f>COUNTIF(C5:AG5,"L")</f>
        <v>1</v>
      </c>
      <c r="AK5" s="26">
        <f>SUM($AG$2-AL5)</f>
        <v>25.5</v>
      </c>
      <c r="AL5" s="27">
        <f>SUM(AH5+AI5+AJ5)</f>
        <v>5.5</v>
      </c>
      <c r="AM5" s="28">
        <v>3.25</v>
      </c>
      <c r="AN5" s="26">
        <v>1.75</v>
      </c>
      <c r="AO5" s="29">
        <f>SUM(AM5-AN5)</f>
        <v>1.5</v>
      </c>
      <c r="AP5" s="30">
        <v>0</v>
      </c>
      <c r="AQ5" s="27">
        <v>0</v>
      </c>
      <c r="AR5" s="27">
        <f>$AG$2-AP5</f>
        <v>31</v>
      </c>
      <c r="AS5" s="31">
        <f>SUM(BA5/31)*AP5</f>
        <v>0</v>
      </c>
      <c r="AT5" s="31">
        <v>0</v>
      </c>
      <c r="AU5" s="31">
        <v>13000</v>
      </c>
      <c r="AV5" s="31">
        <v>0</v>
      </c>
      <c r="AW5" s="31">
        <v>0</v>
      </c>
      <c r="AX5" s="31">
        <f>SUM(BA5/AG2*AQ5)</f>
        <v>0</v>
      </c>
      <c r="AY5" s="31">
        <v>0</v>
      </c>
      <c r="AZ5" s="31">
        <f>AS5+AT5+AU5+AV5+AW5</f>
        <v>13000</v>
      </c>
      <c r="BA5" s="31">
        <v>50000</v>
      </c>
      <c r="BB5" s="32">
        <f>BA5-AZ5+AY5+AX5</f>
        <v>37000</v>
      </c>
      <c r="BC5" s="33" t="s">
        <v>43</v>
      </c>
    </row>
    <row r="6" spans="1:55" ht="24">
      <c r="A6" s="19" t="s">
        <v>44</v>
      </c>
      <c r="B6" s="34" t="s">
        <v>45</v>
      </c>
      <c r="C6" s="21" t="s">
        <v>37</v>
      </c>
      <c r="D6" s="21" t="s">
        <v>37</v>
      </c>
      <c r="E6" s="22" t="s">
        <v>37</v>
      </c>
      <c r="F6" s="22" t="s">
        <v>37</v>
      </c>
      <c r="G6" s="21" t="s">
        <v>37</v>
      </c>
      <c r="H6" s="21" t="s">
        <v>37</v>
      </c>
      <c r="I6" s="21" t="s">
        <v>37</v>
      </c>
      <c r="J6" s="21" t="s">
        <v>37</v>
      </c>
      <c r="K6" s="21" t="s">
        <v>37</v>
      </c>
      <c r="L6" s="22" t="s">
        <v>37</v>
      </c>
      <c r="M6" s="22" t="s">
        <v>37</v>
      </c>
      <c r="N6" s="21" t="s">
        <v>37</v>
      </c>
      <c r="O6" s="21" t="s">
        <v>37</v>
      </c>
      <c r="P6" s="21" t="s">
        <v>37</v>
      </c>
      <c r="Q6" s="23" t="s">
        <v>39</v>
      </c>
      <c r="R6" s="21" t="s">
        <v>37</v>
      </c>
      <c r="S6" s="22" t="s">
        <v>37</v>
      </c>
      <c r="T6" s="22" t="s">
        <v>37</v>
      </c>
      <c r="U6" s="22" t="s">
        <v>37</v>
      </c>
      <c r="V6" s="21" t="s">
        <v>37</v>
      </c>
      <c r="W6" s="21" t="s">
        <v>37</v>
      </c>
      <c r="X6" s="21" t="s">
        <v>37</v>
      </c>
      <c r="Y6" s="21" t="s">
        <v>37</v>
      </c>
      <c r="Z6" s="22" t="s">
        <v>37</v>
      </c>
      <c r="AA6" s="22" t="s">
        <v>37</v>
      </c>
      <c r="AB6" s="21" t="s">
        <v>37</v>
      </c>
      <c r="AC6" s="21" t="s">
        <v>37</v>
      </c>
      <c r="AD6" s="21" t="s">
        <v>37</v>
      </c>
      <c r="AE6" s="21" t="s">
        <v>41</v>
      </c>
      <c r="AF6" s="21" t="s">
        <v>37</v>
      </c>
      <c r="AG6" s="22" t="s">
        <v>37</v>
      </c>
      <c r="AH6" s="25">
        <f>SUM(COUNTIF(C6:AG6,"SL")*0.25)</f>
        <v>0</v>
      </c>
      <c r="AI6" s="25">
        <f>SUM(COUNTIF(C6:AG6,"HD")*0.5)</f>
        <v>0</v>
      </c>
      <c r="AJ6" s="25">
        <f>COUNTIF(C6:AG6,"L")</f>
        <v>1</v>
      </c>
      <c r="AK6" s="26">
        <f>SUM($AG$2-AL6)</f>
        <v>30</v>
      </c>
      <c r="AL6" s="27">
        <f>SUM(AH6+AI6+AJ6)</f>
        <v>1</v>
      </c>
      <c r="AM6" s="28">
        <v>2</v>
      </c>
      <c r="AN6" s="26">
        <v>1</v>
      </c>
      <c r="AO6" s="29">
        <f t="shared" ref="AO6:AO30" si="0">SUM(AM6-AN6)</f>
        <v>1</v>
      </c>
      <c r="AP6" s="30">
        <v>0</v>
      </c>
      <c r="AQ6" s="27">
        <v>0</v>
      </c>
      <c r="AR6" s="27">
        <f>$AG$2-AP6</f>
        <v>31</v>
      </c>
      <c r="AS6" s="31">
        <f>SUM(BA6/31)*AP6</f>
        <v>0</v>
      </c>
      <c r="AT6" s="31">
        <v>6800</v>
      </c>
      <c r="AU6" s="31">
        <v>3172</v>
      </c>
      <c r="AV6" s="31">
        <v>0</v>
      </c>
      <c r="AW6" s="31">
        <v>0</v>
      </c>
      <c r="AX6" s="31">
        <f>SUM(BA6/AG2*AQ6)</f>
        <v>0</v>
      </c>
      <c r="AY6" s="31">
        <v>0</v>
      </c>
      <c r="AZ6" s="31">
        <f>AS6+AT6+AU6+AV6+AW6</f>
        <v>9972</v>
      </c>
      <c r="BA6" s="31">
        <v>38000</v>
      </c>
      <c r="BB6" s="32">
        <f>BA6-AZ6+AY6+AX6</f>
        <v>28028</v>
      </c>
      <c r="BC6" s="33" t="s">
        <v>46</v>
      </c>
    </row>
    <row r="7" spans="1:55" ht="24">
      <c r="A7" s="19" t="s">
        <v>47</v>
      </c>
      <c r="B7" s="34" t="s">
        <v>48</v>
      </c>
      <c r="C7" s="21" t="s">
        <v>37</v>
      </c>
      <c r="D7" s="21" t="s">
        <v>37</v>
      </c>
      <c r="E7" s="22" t="s">
        <v>37</v>
      </c>
      <c r="F7" s="22" t="s">
        <v>37</v>
      </c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2" t="s">
        <v>37</v>
      </c>
      <c r="M7" s="22" t="s">
        <v>37</v>
      </c>
      <c r="N7" s="21" t="s">
        <v>37</v>
      </c>
      <c r="O7" s="21" t="s">
        <v>37</v>
      </c>
      <c r="P7" s="21" t="s">
        <v>37</v>
      </c>
      <c r="Q7" s="23" t="s">
        <v>39</v>
      </c>
      <c r="R7" s="21" t="s">
        <v>37</v>
      </c>
      <c r="S7" s="22" t="s">
        <v>37</v>
      </c>
      <c r="T7" s="22" t="s">
        <v>37</v>
      </c>
      <c r="U7" s="22" t="s">
        <v>37</v>
      </c>
      <c r="V7" s="21" t="s">
        <v>37</v>
      </c>
      <c r="W7" s="21" t="s">
        <v>37</v>
      </c>
      <c r="X7" s="21"/>
      <c r="Y7" s="21" t="s">
        <v>37</v>
      </c>
      <c r="Z7" s="22" t="s">
        <v>37</v>
      </c>
      <c r="AA7" s="22" t="s">
        <v>37</v>
      </c>
      <c r="AB7" s="21" t="s">
        <v>37</v>
      </c>
      <c r="AC7" s="21" t="s">
        <v>37</v>
      </c>
      <c r="AD7" s="21" t="s">
        <v>37</v>
      </c>
      <c r="AE7" s="21" t="s">
        <v>37</v>
      </c>
      <c r="AF7" s="21" t="s">
        <v>37</v>
      </c>
      <c r="AG7" s="22" t="s">
        <v>37</v>
      </c>
      <c r="AH7" s="25">
        <f>SUM(COUNTIF(C7:AG7,"SL")*0.25)</f>
        <v>0</v>
      </c>
      <c r="AI7" s="25">
        <f>SUM(COUNTIF(C7:AG7,"HD")*0.5)</f>
        <v>0</v>
      </c>
      <c r="AJ7" s="25">
        <f>COUNTIF(C7:AG7,"L")</f>
        <v>0</v>
      </c>
      <c r="AK7" s="26">
        <f>SUM($AG$2-AL7)</f>
        <v>31</v>
      </c>
      <c r="AL7" s="27">
        <f>SUM(AH7+AI7+AJ7)</f>
        <v>0</v>
      </c>
      <c r="AM7" s="28">
        <v>8</v>
      </c>
      <c r="AN7" s="26">
        <v>0</v>
      </c>
      <c r="AO7" s="29">
        <f t="shared" si="0"/>
        <v>8</v>
      </c>
      <c r="AP7" s="30">
        <v>0</v>
      </c>
      <c r="AQ7" s="27">
        <v>0</v>
      </c>
      <c r="AR7" s="27">
        <f>$AG$2-AP7</f>
        <v>31</v>
      </c>
      <c r="AS7" s="31">
        <f>SUM(BA7/31)*AP7</f>
        <v>0</v>
      </c>
      <c r="AT7" s="31">
        <v>0</v>
      </c>
      <c r="AU7" s="31">
        <v>0</v>
      </c>
      <c r="AV7" s="31">
        <v>0</v>
      </c>
      <c r="AW7" s="31">
        <v>0</v>
      </c>
      <c r="AX7" s="31">
        <f>SUM(BA7/AG2*AQ7)</f>
        <v>0</v>
      </c>
      <c r="AY7" s="31">
        <v>0</v>
      </c>
      <c r="AZ7" s="31">
        <f>AS7+AT7+AU7+AV7+AW7</f>
        <v>0</v>
      </c>
      <c r="BA7" s="31">
        <v>45000</v>
      </c>
      <c r="BB7" s="32">
        <f>BA7-AZ7+AY7+AX7</f>
        <v>45000</v>
      </c>
      <c r="BC7" s="33" t="s">
        <v>46</v>
      </c>
    </row>
    <row r="8" spans="1:55" ht="24">
      <c r="A8" s="19" t="s">
        <v>49</v>
      </c>
      <c r="B8" s="34" t="s">
        <v>50</v>
      </c>
      <c r="C8" s="21" t="s">
        <v>37</v>
      </c>
      <c r="D8" s="21" t="s">
        <v>37</v>
      </c>
      <c r="E8" s="22" t="s">
        <v>37</v>
      </c>
      <c r="F8" s="22" t="s">
        <v>37</v>
      </c>
      <c r="G8" s="21" t="s">
        <v>37</v>
      </c>
      <c r="H8" s="21" t="s">
        <v>41</v>
      </c>
      <c r="I8" s="21" t="s">
        <v>41</v>
      </c>
      <c r="J8" s="21" t="s">
        <v>41</v>
      </c>
      <c r="K8" s="21" t="s">
        <v>41</v>
      </c>
      <c r="L8" s="22" t="s">
        <v>37</v>
      </c>
      <c r="M8" s="22" t="s">
        <v>51</v>
      </c>
      <c r="N8" s="21" t="s">
        <v>37</v>
      </c>
      <c r="O8" s="21" t="s">
        <v>37</v>
      </c>
      <c r="P8" s="21" t="s">
        <v>37</v>
      </c>
      <c r="Q8" s="23" t="s">
        <v>39</v>
      </c>
      <c r="R8" s="21" t="s">
        <v>41</v>
      </c>
      <c r="S8" s="22" t="s">
        <v>37</v>
      </c>
      <c r="T8" s="22" t="s">
        <v>37</v>
      </c>
      <c r="U8" s="24" t="s">
        <v>40</v>
      </c>
      <c r="V8" s="21" t="s">
        <v>41</v>
      </c>
      <c r="W8" s="21" t="s">
        <v>41</v>
      </c>
      <c r="X8" s="21" t="s">
        <v>41</v>
      </c>
      <c r="Y8" s="21" t="s">
        <v>41</v>
      </c>
      <c r="Z8" s="22" t="s">
        <v>41</v>
      </c>
      <c r="AA8" s="22" t="s">
        <v>41</v>
      </c>
      <c r="AB8" s="21" t="s">
        <v>37</v>
      </c>
      <c r="AC8" s="21" t="s">
        <v>37</v>
      </c>
      <c r="AD8" s="21" t="s">
        <v>37</v>
      </c>
      <c r="AE8" s="21" t="s">
        <v>41</v>
      </c>
      <c r="AF8" s="21" t="s">
        <v>37</v>
      </c>
      <c r="AG8" s="22" t="s">
        <v>37</v>
      </c>
      <c r="AH8" s="25">
        <f>SUM(COUNTIF(C8:AG8,"SL")*0.25)</f>
        <v>0</v>
      </c>
      <c r="AI8" s="25">
        <f>SUM(COUNTIF(C8:AG8,"HD")*0.5)</f>
        <v>0</v>
      </c>
      <c r="AJ8" s="25">
        <f>COUNTIF(C8:AG8,"L")</f>
        <v>12</v>
      </c>
      <c r="AK8" s="26">
        <f>SUM($AG$2-AL8)</f>
        <v>19</v>
      </c>
      <c r="AL8" s="27">
        <f>SUM(AH8+AI8+AJ8)</f>
        <v>12</v>
      </c>
      <c r="AM8" s="28">
        <v>4</v>
      </c>
      <c r="AN8" s="26">
        <v>4</v>
      </c>
      <c r="AO8" s="29">
        <v>0</v>
      </c>
      <c r="AP8" s="30">
        <v>9</v>
      </c>
      <c r="AQ8" s="27">
        <v>0</v>
      </c>
      <c r="AR8" s="27">
        <f>$AG$2-AP8</f>
        <v>22</v>
      </c>
      <c r="AS8" s="31">
        <f>SUM(BA8/31)*AP8</f>
        <v>5806.4516129032254</v>
      </c>
      <c r="AT8" s="31">
        <v>3200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f>AS8+AT8+AU8+AV8+AW8</f>
        <v>9006.4516129032254</v>
      </c>
      <c r="BA8" s="31">
        <v>20000</v>
      </c>
      <c r="BB8" s="32">
        <f>BA8-AZ8+AY8+AX8</f>
        <v>10993.548387096775</v>
      </c>
      <c r="BC8" s="33" t="s">
        <v>46</v>
      </c>
    </row>
    <row r="9" spans="1:55" ht="24">
      <c r="A9" s="19" t="s">
        <v>52</v>
      </c>
      <c r="B9" s="20" t="s">
        <v>53</v>
      </c>
      <c r="C9" s="21" t="s">
        <v>37</v>
      </c>
      <c r="D9" s="21" t="s">
        <v>37</v>
      </c>
      <c r="E9" s="22" t="s">
        <v>37</v>
      </c>
      <c r="F9" s="22" t="s">
        <v>37</v>
      </c>
      <c r="G9" s="21" t="s">
        <v>37</v>
      </c>
      <c r="H9" s="21" t="s">
        <v>37</v>
      </c>
      <c r="I9" s="21" t="s">
        <v>37</v>
      </c>
      <c r="J9" s="21" t="s">
        <v>37</v>
      </c>
      <c r="K9" s="21" t="s">
        <v>37</v>
      </c>
      <c r="L9" s="22" t="s">
        <v>37</v>
      </c>
      <c r="M9" s="22" t="s">
        <v>37</v>
      </c>
      <c r="N9" s="21" t="s">
        <v>37</v>
      </c>
      <c r="O9" s="21" t="s">
        <v>37</v>
      </c>
      <c r="P9" s="21" t="s">
        <v>37</v>
      </c>
      <c r="Q9" s="23" t="s">
        <v>39</v>
      </c>
      <c r="R9" s="21" t="s">
        <v>37</v>
      </c>
      <c r="S9" s="22" t="s">
        <v>37</v>
      </c>
      <c r="T9" s="22" t="s">
        <v>37</v>
      </c>
      <c r="U9" s="24" t="s">
        <v>40</v>
      </c>
      <c r="V9" s="21" t="s">
        <v>37</v>
      </c>
      <c r="W9" s="21" t="s">
        <v>37</v>
      </c>
      <c r="X9" s="21" t="s">
        <v>37</v>
      </c>
      <c r="Y9" s="21" t="s">
        <v>37</v>
      </c>
      <c r="Z9" s="22" t="s">
        <v>37</v>
      </c>
      <c r="AA9" s="22" t="s">
        <v>37</v>
      </c>
      <c r="AB9" s="21" t="s">
        <v>37</v>
      </c>
      <c r="AC9" s="21" t="s">
        <v>37</v>
      </c>
      <c r="AD9" s="21" t="s">
        <v>37</v>
      </c>
      <c r="AE9" s="21" t="s">
        <v>37</v>
      </c>
      <c r="AF9" s="21" t="s">
        <v>37</v>
      </c>
      <c r="AG9" s="22" t="s">
        <v>37</v>
      </c>
      <c r="AH9" s="25">
        <f>SUM(COUNTIF(C9:AG9,"SL")*0.25)</f>
        <v>0</v>
      </c>
      <c r="AI9" s="25">
        <f>SUM(COUNTIF(C9:AG9,"HD")*0.5)</f>
        <v>0</v>
      </c>
      <c r="AJ9" s="25">
        <f>COUNTIF(C9:AG9,"L")</f>
        <v>0</v>
      </c>
      <c r="AK9" s="26">
        <f>SUM($AG$2-AL9)</f>
        <v>31</v>
      </c>
      <c r="AL9" s="27">
        <f>SUM(AH9+AI9+AJ9)</f>
        <v>0</v>
      </c>
      <c r="AM9" s="28">
        <v>1.75</v>
      </c>
      <c r="AN9" s="26">
        <v>0</v>
      </c>
      <c r="AO9" s="29">
        <f t="shared" si="0"/>
        <v>1.75</v>
      </c>
      <c r="AP9" s="30">
        <v>0</v>
      </c>
      <c r="AQ9" s="27">
        <v>0</v>
      </c>
      <c r="AR9" s="27">
        <f>$AG$2-AP9</f>
        <v>31</v>
      </c>
      <c r="AS9" s="31">
        <f>SUM(BA9/31)*AP9</f>
        <v>0</v>
      </c>
      <c r="AT9" s="31">
        <v>4800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f>AS9+AT9+AU9+AV9+AW9</f>
        <v>4800</v>
      </c>
      <c r="BA9" s="31">
        <v>100000</v>
      </c>
      <c r="BB9" s="32">
        <f>BA9-AZ9+AY9+AX9</f>
        <v>95200</v>
      </c>
      <c r="BC9" s="33" t="s">
        <v>46</v>
      </c>
    </row>
    <row r="10" spans="1:55" ht="24">
      <c r="A10" s="19" t="s">
        <v>54</v>
      </c>
      <c r="B10" s="34" t="s">
        <v>55</v>
      </c>
      <c r="C10" s="21" t="s">
        <v>37</v>
      </c>
      <c r="D10" s="21" t="s">
        <v>37</v>
      </c>
      <c r="E10" s="22" t="s">
        <v>37</v>
      </c>
      <c r="F10" s="22" t="s">
        <v>37</v>
      </c>
      <c r="G10" s="21" t="s">
        <v>42</v>
      </c>
      <c r="H10" s="21" t="s">
        <v>37</v>
      </c>
      <c r="I10" s="21" t="s">
        <v>37</v>
      </c>
      <c r="J10" s="21" t="s">
        <v>37</v>
      </c>
      <c r="K10" s="21" t="s">
        <v>37</v>
      </c>
      <c r="L10" s="22" t="s">
        <v>37</v>
      </c>
      <c r="M10" s="22" t="s">
        <v>37</v>
      </c>
      <c r="N10" s="21" t="s">
        <v>37</v>
      </c>
      <c r="O10" s="21" t="s">
        <v>41</v>
      </c>
      <c r="P10" s="21" t="s">
        <v>37</v>
      </c>
      <c r="Q10" s="23" t="s">
        <v>39</v>
      </c>
      <c r="R10" s="21" t="s">
        <v>37</v>
      </c>
      <c r="S10" s="22" t="s">
        <v>37</v>
      </c>
      <c r="T10" s="22" t="s">
        <v>37</v>
      </c>
      <c r="U10" s="22" t="s">
        <v>37</v>
      </c>
      <c r="V10" s="21" t="s">
        <v>37</v>
      </c>
      <c r="W10" s="21" t="s">
        <v>37</v>
      </c>
      <c r="X10" s="21" t="s">
        <v>37</v>
      </c>
      <c r="Y10" s="21" t="s">
        <v>37</v>
      </c>
      <c r="Z10" s="22" t="s">
        <v>37</v>
      </c>
      <c r="AA10" s="22" t="s">
        <v>37</v>
      </c>
      <c r="AB10" s="21" t="s">
        <v>37</v>
      </c>
      <c r="AC10" s="21" t="s">
        <v>37</v>
      </c>
      <c r="AD10" s="21" t="s">
        <v>37</v>
      </c>
      <c r="AE10" s="21" t="s">
        <v>37</v>
      </c>
      <c r="AF10" s="21" t="s">
        <v>41</v>
      </c>
      <c r="AG10" s="22" t="s">
        <v>37</v>
      </c>
      <c r="AH10" s="25">
        <f>SUM(COUNTIF(C10:AG10,"SL")*0.25)</f>
        <v>0.25</v>
      </c>
      <c r="AI10" s="25">
        <f>SUM(COUNTIF(C10:AG10,"HD")*0.5)</f>
        <v>0</v>
      </c>
      <c r="AJ10" s="25">
        <f>COUNTIF(C10:AG10,"L")</f>
        <v>2</v>
      </c>
      <c r="AK10" s="26">
        <f>SUM($AG$2-AL10)</f>
        <v>28.75</v>
      </c>
      <c r="AL10" s="27">
        <f>SUM(AH10+AI10+AJ10)</f>
        <v>2.25</v>
      </c>
      <c r="AM10" s="28">
        <v>1.5</v>
      </c>
      <c r="AN10" s="26">
        <v>1.5</v>
      </c>
      <c r="AO10" s="29">
        <f t="shared" si="0"/>
        <v>0</v>
      </c>
      <c r="AP10" s="30">
        <f>AL10-AN10</f>
        <v>0.75</v>
      </c>
      <c r="AQ10" s="27">
        <v>0</v>
      </c>
      <c r="AR10" s="27">
        <f>$AG$2-AP10</f>
        <v>30.25</v>
      </c>
      <c r="AS10" s="31">
        <f>SUM(BA10/31)*AP10</f>
        <v>967.74193548387098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f>AS10+AT10+AU10+AV10+AW10</f>
        <v>967.74193548387098</v>
      </c>
      <c r="BA10" s="31">
        <v>40000</v>
      </c>
      <c r="BB10" s="32">
        <f>BA10-AZ10+AY10+AX10</f>
        <v>39032.258064516129</v>
      </c>
      <c r="BC10" s="33" t="s">
        <v>46</v>
      </c>
    </row>
    <row r="11" spans="1:55" ht="24">
      <c r="A11" s="19" t="s">
        <v>56</v>
      </c>
      <c r="B11" s="34" t="s">
        <v>57</v>
      </c>
      <c r="C11" s="21" t="s">
        <v>37</v>
      </c>
      <c r="D11" s="21" t="s">
        <v>37</v>
      </c>
      <c r="E11" s="22" t="s">
        <v>37</v>
      </c>
      <c r="F11" s="22" t="s">
        <v>37</v>
      </c>
      <c r="G11" s="21" t="s">
        <v>37</v>
      </c>
      <c r="H11" s="21" t="s">
        <v>41</v>
      </c>
      <c r="I11" s="21" t="s">
        <v>37</v>
      </c>
      <c r="J11" s="21" t="s">
        <v>37</v>
      </c>
      <c r="K11" s="21" t="s">
        <v>37</v>
      </c>
      <c r="L11" s="22" t="s">
        <v>37</v>
      </c>
      <c r="M11" s="22" t="s">
        <v>37</v>
      </c>
      <c r="N11" s="21" t="s">
        <v>37</v>
      </c>
      <c r="O11" s="21" t="s">
        <v>37</v>
      </c>
      <c r="P11" s="21" t="s">
        <v>37</v>
      </c>
      <c r="Q11" s="23" t="s">
        <v>39</v>
      </c>
      <c r="R11" s="21" t="s">
        <v>37</v>
      </c>
      <c r="S11" s="22" t="s">
        <v>37</v>
      </c>
      <c r="T11" s="22" t="s">
        <v>37</v>
      </c>
      <c r="U11" s="24" t="s">
        <v>37</v>
      </c>
      <c r="V11" s="21" t="s">
        <v>37</v>
      </c>
      <c r="W11" s="21" t="s">
        <v>37</v>
      </c>
      <c r="X11" s="21" t="s">
        <v>37</v>
      </c>
      <c r="Y11" s="21" t="s">
        <v>37</v>
      </c>
      <c r="Z11" s="22" t="s">
        <v>37</v>
      </c>
      <c r="AA11" s="22" t="s">
        <v>37</v>
      </c>
      <c r="AB11" s="21" t="s">
        <v>37</v>
      </c>
      <c r="AC11" s="21" t="s">
        <v>37</v>
      </c>
      <c r="AD11" s="21" t="s">
        <v>37</v>
      </c>
      <c r="AE11" s="21" t="s">
        <v>37</v>
      </c>
      <c r="AF11" s="21" t="s">
        <v>37</v>
      </c>
      <c r="AG11" s="22" t="s">
        <v>37</v>
      </c>
      <c r="AH11" s="25">
        <f>SUM(COUNTIF(C11:AG11,"SL")*0.25)</f>
        <v>0</v>
      </c>
      <c r="AI11" s="25">
        <f>SUM(COUNTIF(C11:AG11,"HD")*0.5)</f>
        <v>0</v>
      </c>
      <c r="AJ11" s="25">
        <f>COUNTIF(C11:AG11,"L")</f>
        <v>1</v>
      </c>
      <c r="AK11" s="26">
        <f>SUM($AG$2-AL11)</f>
        <v>30</v>
      </c>
      <c r="AL11" s="27">
        <f>SUM(AH11+AI11+AJ11)</f>
        <v>1</v>
      </c>
      <c r="AM11" s="28">
        <v>2</v>
      </c>
      <c r="AN11" s="26">
        <v>1</v>
      </c>
      <c r="AO11" s="29">
        <f t="shared" si="0"/>
        <v>1</v>
      </c>
      <c r="AP11" s="30">
        <f>AL11-AN11</f>
        <v>0</v>
      </c>
      <c r="AQ11" s="27">
        <v>0</v>
      </c>
      <c r="AR11" s="27">
        <f>$AG$2-AP11</f>
        <v>31</v>
      </c>
      <c r="AS11" s="31">
        <f>SUM(BA11/31)*AP11</f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f>AS11+AT11+AU11+AV11+AW11</f>
        <v>0</v>
      </c>
      <c r="BA11" s="31">
        <v>58000</v>
      </c>
      <c r="BB11" s="32">
        <f>BA11-AZ11+AY11+AX11</f>
        <v>58000</v>
      </c>
      <c r="BC11" s="33" t="s">
        <v>46</v>
      </c>
    </row>
    <row r="12" spans="1:55" ht="24">
      <c r="A12" s="19" t="s">
        <v>58</v>
      </c>
      <c r="B12" s="34" t="s">
        <v>59</v>
      </c>
      <c r="C12" s="21" t="s">
        <v>37</v>
      </c>
      <c r="D12" s="21" t="s">
        <v>37</v>
      </c>
      <c r="E12" s="22" t="s">
        <v>37</v>
      </c>
      <c r="F12" s="22" t="s">
        <v>37</v>
      </c>
      <c r="G12" s="21" t="s">
        <v>38</v>
      </c>
      <c r="H12" s="21" t="s">
        <v>37</v>
      </c>
      <c r="I12" s="21" t="s">
        <v>37</v>
      </c>
      <c r="J12" s="21" t="s">
        <v>37</v>
      </c>
      <c r="K12" s="21" t="s">
        <v>37</v>
      </c>
      <c r="L12" s="22" t="s">
        <v>37</v>
      </c>
      <c r="M12" s="22" t="s">
        <v>37</v>
      </c>
      <c r="N12" s="21" t="s">
        <v>37</v>
      </c>
      <c r="O12" s="21" t="s">
        <v>37</v>
      </c>
      <c r="P12" s="21" t="s">
        <v>37</v>
      </c>
      <c r="Q12" s="23" t="s">
        <v>39</v>
      </c>
      <c r="R12" s="21" t="s">
        <v>37</v>
      </c>
      <c r="S12" s="22" t="s">
        <v>37</v>
      </c>
      <c r="T12" s="22" t="s">
        <v>37</v>
      </c>
      <c r="U12" s="24" t="s">
        <v>40</v>
      </c>
      <c r="V12" s="21" t="s">
        <v>37</v>
      </c>
      <c r="W12" s="21" t="s">
        <v>37</v>
      </c>
      <c r="X12" s="21" t="s">
        <v>37</v>
      </c>
      <c r="Y12" s="21" t="s">
        <v>37</v>
      </c>
      <c r="Z12" s="22" t="s">
        <v>37</v>
      </c>
      <c r="AA12" s="22" t="s">
        <v>37</v>
      </c>
      <c r="AB12" s="21" t="s">
        <v>37</v>
      </c>
      <c r="AC12" s="21" t="s">
        <v>41</v>
      </c>
      <c r="AD12" s="21" t="s">
        <v>37</v>
      </c>
      <c r="AE12" s="21" t="s">
        <v>37</v>
      </c>
      <c r="AF12" s="21" t="s">
        <v>37</v>
      </c>
      <c r="AG12" s="22" t="s">
        <v>37</v>
      </c>
      <c r="AH12" s="25">
        <f>SUM(COUNTIF(C12:AG12,"SL")*0.25)</f>
        <v>0</v>
      </c>
      <c r="AI12" s="25">
        <f>SUM(COUNTIF(C12:AG12,"HD")*0.5)</f>
        <v>0.5</v>
      </c>
      <c r="AJ12" s="25">
        <f>COUNTIF(C12:AG12,"L")</f>
        <v>1</v>
      </c>
      <c r="AK12" s="26">
        <f>SUM($AG$2-AL12)</f>
        <v>29.5</v>
      </c>
      <c r="AL12" s="27">
        <f>SUM(AH12+AI12+AJ12)</f>
        <v>1.5</v>
      </c>
      <c r="AM12" s="28">
        <v>5.75</v>
      </c>
      <c r="AN12" s="26">
        <v>1.5</v>
      </c>
      <c r="AO12" s="29">
        <f t="shared" si="0"/>
        <v>4.25</v>
      </c>
      <c r="AP12" s="30">
        <v>0</v>
      </c>
      <c r="AQ12" s="27">
        <v>0</v>
      </c>
      <c r="AR12" s="27">
        <f>$AG$2-AP12</f>
        <v>31</v>
      </c>
      <c r="AS12" s="31">
        <f>SUM(BA12/31)*AP12</f>
        <v>0</v>
      </c>
      <c r="AT12" s="31">
        <v>0</v>
      </c>
      <c r="AU12" s="31">
        <v>0</v>
      </c>
      <c r="AV12" s="31">
        <v>0</v>
      </c>
      <c r="AW12" s="31">
        <v>0</v>
      </c>
      <c r="AX12" s="31">
        <v>0</v>
      </c>
      <c r="AY12" s="31">
        <v>0</v>
      </c>
      <c r="AZ12" s="31">
        <f>AS12+AT12+AU12+AV12+AW12</f>
        <v>0</v>
      </c>
      <c r="BA12" s="31">
        <v>39800</v>
      </c>
      <c r="BB12" s="32">
        <f>BA12-AZ12+AY12+AX12</f>
        <v>39800</v>
      </c>
      <c r="BC12" s="33" t="s">
        <v>46</v>
      </c>
    </row>
    <row r="13" spans="1:55" ht="24">
      <c r="A13" s="19" t="s">
        <v>60</v>
      </c>
      <c r="B13" s="34" t="s">
        <v>61</v>
      </c>
      <c r="C13" s="21" t="s">
        <v>37</v>
      </c>
      <c r="D13" s="21" t="s">
        <v>37</v>
      </c>
      <c r="E13" s="22" t="s">
        <v>37</v>
      </c>
      <c r="F13" s="22" t="s">
        <v>37</v>
      </c>
      <c r="G13" s="21" t="s">
        <v>37</v>
      </c>
      <c r="H13" s="21" t="s">
        <v>37</v>
      </c>
      <c r="I13" s="21" t="s">
        <v>37</v>
      </c>
      <c r="J13" s="21" t="s">
        <v>37</v>
      </c>
      <c r="K13" s="21" t="s">
        <v>37</v>
      </c>
      <c r="L13" s="22" t="s">
        <v>37</v>
      </c>
      <c r="M13" s="22" t="s">
        <v>37</v>
      </c>
      <c r="N13" s="21" t="s">
        <v>37</v>
      </c>
      <c r="O13" s="21" t="s">
        <v>37</v>
      </c>
      <c r="P13" s="21" t="s">
        <v>37</v>
      </c>
      <c r="Q13" s="23" t="s">
        <v>39</v>
      </c>
      <c r="R13" s="21" t="s">
        <v>37</v>
      </c>
      <c r="S13" s="22" t="s">
        <v>37</v>
      </c>
      <c r="T13" s="22" t="s">
        <v>37</v>
      </c>
      <c r="U13" s="24" t="s">
        <v>38</v>
      </c>
      <c r="V13" s="21" t="s">
        <v>37</v>
      </c>
      <c r="W13" s="21" t="s">
        <v>37</v>
      </c>
      <c r="X13" s="21" t="s">
        <v>37</v>
      </c>
      <c r="Y13" s="21" t="s">
        <v>37</v>
      </c>
      <c r="Z13" s="22" t="s">
        <v>37</v>
      </c>
      <c r="AA13" s="22" t="s">
        <v>37</v>
      </c>
      <c r="AB13" s="21" t="s">
        <v>37</v>
      </c>
      <c r="AC13" s="21" t="s">
        <v>41</v>
      </c>
      <c r="AD13" s="21" t="s">
        <v>37</v>
      </c>
      <c r="AE13" s="21" t="s">
        <v>37</v>
      </c>
      <c r="AF13" s="21" t="s">
        <v>37</v>
      </c>
      <c r="AG13" s="22" t="s">
        <v>37</v>
      </c>
      <c r="AH13" s="25">
        <f>SUM(COUNTIF(C13:AG13,"SL")*0.25)</f>
        <v>0</v>
      </c>
      <c r="AI13" s="25">
        <f>SUM(COUNTIF(C13:AG13,"HD")*0.5)</f>
        <v>0.5</v>
      </c>
      <c r="AJ13" s="25">
        <f>COUNTIF(C13:AG13,"L")</f>
        <v>1</v>
      </c>
      <c r="AK13" s="26">
        <f>SUM($AG$2-AL13)</f>
        <v>29.5</v>
      </c>
      <c r="AL13" s="27">
        <f>SUM(AH13+AI13+AJ13)</f>
        <v>1.5</v>
      </c>
      <c r="AM13" s="28">
        <v>1</v>
      </c>
      <c r="AN13" s="26">
        <v>1</v>
      </c>
      <c r="AO13" s="29">
        <f t="shared" si="0"/>
        <v>0</v>
      </c>
      <c r="AP13" s="30">
        <f>AL13-AN13</f>
        <v>0.5</v>
      </c>
      <c r="AQ13" s="27">
        <v>0</v>
      </c>
      <c r="AR13" s="27">
        <f>$AG$2-AP13</f>
        <v>30.5</v>
      </c>
      <c r="AS13" s="31">
        <f>SUM(BA13/31)*AP13</f>
        <v>806.45161290322585</v>
      </c>
      <c r="AT13" s="31">
        <v>0</v>
      </c>
      <c r="AU13" s="31">
        <v>0</v>
      </c>
      <c r="AV13" s="31">
        <v>0</v>
      </c>
      <c r="AW13" s="31">
        <v>0</v>
      </c>
      <c r="AX13" s="31">
        <v>0</v>
      </c>
      <c r="AY13" s="31">
        <v>0</v>
      </c>
      <c r="AZ13" s="31">
        <f>AS13+AT13+AU13+AV13+AW13</f>
        <v>806.45161290322585</v>
      </c>
      <c r="BA13" s="31">
        <v>50000</v>
      </c>
      <c r="BB13" s="32">
        <f>BA13-AZ13+AY13+AX13</f>
        <v>49193.548387096773</v>
      </c>
      <c r="BC13" s="33" t="s">
        <v>46</v>
      </c>
    </row>
    <row r="14" spans="1:55" ht="24">
      <c r="A14" s="35" t="s">
        <v>62</v>
      </c>
      <c r="B14" s="34" t="s">
        <v>63</v>
      </c>
      <c r="C14" s="21" t="s">
        <v>37</v>
      </c>
      <c r="D14" s="21" t="s">
        <v>37</v>
      </c>
      <c r="E14" s="22" t="s">
        <v>37</v>
      </c>
      <c r="F14" s="22" t="s">
        <v>37</v>
      </c>
      <c r="G14" s="21" t="s">
        <v>37</v>
      </c>
      <c r="H14" s="21" t="s">
        <v>37</v>
      </c>
      <c r="I14" s="21" t="s">
        <v>38</v>
      </c>
      <c r="J14" s="21" t="s">
        <v>37</v>
      </c>
      <c r="K14" s="21" t="s">
        <v>37</v>
      </c>
      <c r="L14" s="22" t="s">
        <v>37</v>
      </c>
      <c r="M14" s="22" t="s">
        <v>37</v>
      </c>
      <c r="N14" s="21" t="s">
        <v>37</v>
      </c>
      <c r="O14" s="21" t="s">
        <v>37</v>
      </c>
      <c r="P14" s="21" t="s">
        <v>37</v>
      </c>
      <c r="Q14" s="23" t="s">
        <v>39</v>
      </c>
      <c r="R14" s="21" t="s">
        <v>51</v>
      </c>
      <c r="S14" s="22" t="s">
        <v>51</v>
      </c>
      <c r="T14" s="22" t="s">
        <v>51</v>
      </c>
      <c r="U14" s="24" t="s">
        <v>40</v>
      </c>
      <c r="V14" s="21" t="s">
        <v>51</v>
      </c>
      <c r="W14" s="21" t="s">
        <v>37</v>
      </c>
      <c r="X14" s="21" t="s">
        <v>37</v>
      </c>
      <c r="Y14" s="21" t="s">
        <v>51</v>
      </c>
      <c r="Z14" s="22" t="s">
        <v>51</v>
      </c>
      <c r="AA14" s="22" t="s">
        <v>51</v>
      </c>
      <c r="AB14" s="21" t="s">
        <v>51</v>
      </c>
      <c r="AC14" s="21" t="s">
        <v>51</v>
      </c>
      <c r="AD14" s="21" t="s">
        <v>51</v>
      </c>
      <c r="AE14" s="21" t="s">
        <v>51</v>
      </c>
      <c r="AF14" s="21" t="s">
        <v>51</v>
      </c>
      <c r="AG14" s="22" t="s">
        <v>51</v>
      </c>
      <c r="AH14" s="25">
        <f>SUM(COUNTIF(C14:AG14,"SL")*0.25)</f>
        <v>0</v>
      </c>
      <c r="AI14" s="25">
        <f>SUM(COUNTIF(C14:AG14,"HD")*0.5)</f>
        <v>0.5</v>
      </c>
      <c r="AJ14" s="25">
        <f>COUNTIF(C14:AG14,"L")</f>
        <v>0</v>
      </c>
      <c r="AK14" s="26">
        <f>SUM($AG$2-AL14)</f>
        <v>30.5</v>
      </c>
      <c r="AL14" s="27">
        <f>SUM(AH14+AI14+AJ14)</f>
        <v>0.5</v>
      </c>
      <c r="AM14" s="28">
        <v>2.25</v>
      </c>
      <c r="AN14" s="26">
        <v>0.5</v>
      </c>
      <c r="AO14" s="29">
        <f t="shared" si="0"/>
        <v>1.75</v>
      </c>
      <c r="AP14" s="30">
        <v>0</v>
      </c>
      <c r="AQ14" s="27">
        <v>0</v>
      </c>
      <c r="AR14" s="27">
        <f>$AG$2-AP14</f>
        <v>31</v>
      </c>
      <c r="AS14" s="31">
        <f>SUM(BA14/31)*AP14</f>
        <v>0</v>
      </c>
      <c r="AT14" s="31">
        <v>0</v>
      </c>
      <c r="AU14" s="31">
        <v>0</v>
      </c>
      <c r="AV14" s="31">
        <v>0</v>
      </c>
      <c r="AW14" s="31">
        <v>0</v>
      </c>
      <c r="AX14" s="31">
        <v>0</v>
      </c>
      <c r="AY14" s="31">
        <v>0</v>
      </c>
      <c r="AZ14" s="31">
        <f>AS14+AT14+AU14+AV14+AW14</f>
        <v>0</v>
      </c>
      <c r="BA14" s="31">
        <v>70000</v>
      </c>
      <c r="BB14" s="32">
        <f>BA14-AZ14+AY14+AX14</f>
        <v>70000</v>
      </c>
      <c r="BC14" s="33" t="s">
        <v>46</v>
      </c>
    </row>
    <row r="15" spans="1:55" ht="24">
      <c r="A15" s="35" t="s">
        <v>64</v>
      </c>
      <c r="B15" s="36" t="s">
        <v>65</v>
      </c>
      <c r="C15" s="21" t="s">
        <v>37</v>
      </c>
      <c r="D15" s="21" t="s">
        <v>37</v>
      </c>
      <c r="E15" s="22" t="s">
        <v>37</v>
      </c>
      <c r="F15" s="22" t="s">
        <v>37</v>
      </c>
      <c r="G15" s="21" t="s">
        <v>37</v>
      </c>
      <c r="H15" s="21" t="s">
        <v>37</v>
      </c>
      <c r="I15" s="21" t="s">
        <v>41</v>
      </c>
      <c r="J15" s="21" t="s">
        <v>38</v>
      </c>
      <c r="K15" s="21" t="s">
        <v>42</v>
      </c>
      <c r="L15" s="22" t="s">
        <v>41</v>
      </c>
      <c r="M15" s="22" t="s">
        <v>41</v>
      </c>
      <c r="N15" s="21" t="s">
        <v>41</v>
      </c>
      <c r="O15" s="21" t="s">
        <v>42</v>
      </c>
      <c r="P15" s="21" t="s">
        <v>41</v>
      </c>
      <c r="Q15" s="23" t="s">
        <v>41</v>
      </c>
      <c r="R15" s="21" t="s">
        <v>41</v>
      </c>
      <c r="S15" s="22" t="s">
        <v>41</v>
      </c>
      <c r="T15" s="22" t="s">
        <v>41</v>
      </c>
      <c r="U15" s="24" t="s">
        <v>41</v>
      </c>
      <c r="V15" s="21" t="s">
        <v>41</v>
      </c>
      <c r="W15" s="21" t="s">
        <v>42</v>
      </c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25">
        <f>SUM(COUNTIF(C15:AG15,"SL")*0.25)</f>
        <v>0.75</v>
      </c>
      <c r="AI15" s="25">
        <f>SUM(COUNTIF(C15:AG15,"HD")*0.5)</f>
        <v>0.5</v>
      </c>
      <c r="AJ15" s="25">
        <f>COUNTIF(C15:AG15,"L")</f>
        <v>11</v>
      </c>
      <c r="AK15" s="26">
        <f>SUM($AG$2-AL15)</f>
        <v>18.75</v>
      </c>
      <c r="AL15" s="27">
        <f>SUM(AH15+AI15+AJ15)</f>
        <v>12.25</v>
      </c>
      <c r="AM15" s="28">
        <v>0</v>
      </c>
      <c r="AN15" s="26">
        <v>0</v>
      </c>
      <c r="AO15" s="29">
        <f t="shared" si="0"/>
        <v>0</v>
      </c>
      <c r="AP15" s="30">
        <v>12.25</v>
      </c>
      <c r="AQ15" s="27">
        <v>0</v>
      </c>
      <c r="AR15" s="27">
        <f>$AG$2-AP15</f>
        <v>18.75</v>
      </c>
      <c r="AS15" s="31">
        <f>SUM(BA15/31)*AP15</f>
        <v>9879.032258064517</v>
      </c>
      <c r="AT15" s="31">
        <v>0</v>
      </c>
      <c r="AU15" s="31">
        <v>0</v>
      </c>
      <c r="AV15" s="31">
        <v>0</v>
      </c>
      <c r="AW15" s="31">
        <v>0</v>
      </c>
      <c r="AX15" s="31">
        <v>0</v>
      </c>
      <c r="AY15" s="31">
        <v>9685</v>
      </c>
      <c r="AZ15" s="31">
        <f>AS15+AT15+AU15+AV15+AW15</f>
        <v>9879.032258064517</v>
      </c>
      <c r="BA15" s="31">
        <v>25000</v>
      </c>
      <c r="BB15" s="32">
        <f>BA15-AZ15+AY15+AX15</f>
        <v>24805.967741935485</v>
      </c>
      <c r="BC15" s="33" t="s">
        <v>46</v>
      </c>
    </row>
    <row r="16" spans="1:55" ht="24">
      <c r="A16" s="19" t="s">
        <v>66</v>
      </c>
      <c r="B16" s="36" t="s">
        <v>67</v>
      </c>
      <c r="C16" s="21" t="s">
        <v>37</v>
      </c>
      <c r="D16" s="21" t="s">
        <v>37</v>
      </c>
      <c r="E16" s="22" t="s">
        <v>37</v>
      </c>
      <c r="F16" s="22" t="s">
        <v>37</v>
      </c>
      <c r="G16" s="21" t="s">
        <v>42</v>
      </c>
      <c r="H16" s="21" t="s">
        <v>37</v>
      </c>
      <c r="I16" s="21" t="s">
        <v>41</v>
      </c>
      <c r="J16" s="21" t="s">
        <v>37</v>
      </c>
      <c r="K16" s="21" t="s">
        <v>37</v>
      </c>
      <c r="L16" s="22" t="s">
        <v>37</v>
      </c>
      <c r="M16" s="22" t="s">
        <v>37</v>
      </c>
      <c r="N16" s="21" t="s">
        <v>37</v>
      </c>
      <c r="O16" s="21" t="s">
        <v>37</v>
      </c>
      <c r="P16" s="21" t="s">
        <v>37</v>
      </c>
      <c r="Q16" s="23" t="s">
        <v>39</v>
      </c>
      <c r="R16" s="21" t="s">
        <v>37</v>
      </c>
      <c r="S16" s="22" t="s">
        <v>37</v>
      </c>
      <c r="T16" s="22" t="s">
        <v>37</v>
      </c>
      <c r="U16" s="22" t="s">
        <v>37</v>
      </c>
      <c r="V16" s="21" t="s">
        <v>37</v>
      </c>
      <c r="W16" s="21" t="s">
        <v>37</v>
      </c>
      <c r="X16" s="21" t="s">
        <v>37</v>
      </c>
      <c r="Y16" s="21" t="s">
        <v>37</v>
      </c>
      <c r="Z16" s="22" t="s">
        <v>37</v>
      </c>
      <c r="AA16" s="22" t="s">
        <v>37</v>
      </c>
      <c r="AB16" s="21" t="s">
        <v>37</v>
      </c>
      <c r="AC16" s="21" t="s">
        <v>37</v>
      </c>
      <c r="AD16" s="21" t="s">
        <v>38</v>
      </c>
      <c r="AE16" s="21" t="s">
        <v>37</v>
      </c>
      <c r="AF16" s="21" t="s">
        <v>37</v>
      </c>
      <c r="AG16" s="22" t="s">
        <v>37</v>
      </c>
      <c r="AH16" s="25">
        <f>SUM(COUNTIF(C16:AG16,"SL")*0.25)</f>
        <v>0.25</v>
      </c>
      <c r="AI16" s="25">
        <f>SUM(COUNTIF(C16:AG16,"HD")*0.5)</f>
        <v>0.5</v>
      </c>
      <c r="AJ16" s="25">
        <f>COUNTIF(C16:AG16,"L")</f>
        <v>1</v>
      </c>
      <c r="AK16" s="26">
        <f>SUM($AG$2-AL16)</f>
        <v>29.25</v>
      </c>
      <c r="AL16" s="27">
        <f>SUM(AH16+AI16+AJ16)</f>
        <v>1.75</v>
      </c>
      <c r="AM16" s="28">
        <v>0</v>
      </c>
      <c r="AN16" s="26">
        <v>0</v>
      </c>
      <c r="AO16" s="29">
        <f t="shared" si="0"/>
        <v>0</v>
      </c>
      <c r="AP16" s="30">
        <f>AL16-AN16</f>
        <v>1.75</v>
      </c>
      <c r="AQ16" s="27">
        <v>0</v>
      </c>
      <c r="AR16" s="27">
        <f>$AG$2-AP16</f>
        <v>29.25</v>
      </c>
      <c r="AS16" s="31">
        <f>SUM(BA16/31)*AP16</f>
        <v>2145.1612903225805</v>
      </c>
      <c r="AT16" s="31">
        <v>0</v>
      </c>
      <c r="AU16" s="31">
        <v>16735</v>
      </c>
      <c r="AV16" s="31">
        <v>0</v>
      </c>
      <c r="AW16" s="31">
        <v>1800</v>
      </c>
      <c r="AX16" s="31">
        <v>0</v>
      </c>
      <c r="AY16" s="31">
        <v>9131</v>
      </c>
      <c r="AZ16" s="31">
        <f>AS16+AT16+AU16+AV16+AW16</f>
        <v>20680.16129032258</v>
      </c>
      <c r="BA16" s="38">
        <v>38000</v>
      </c>
      <c r="BB16" s="32">
        <f>BA16-AZ16+AY16+AX16</f>
        <v>26450.83870967742</v>
      </c>
      <c r="BC16" s="33" t="s">
        <v>46</v>
      </c>
    </row>
    <row r="17" spans="1:55" ht="24">
      <c r="A17" s="19" t="s">
        <v>68</v>
      </c>
      <c r="B17" s="34" t="s">
        <v>69</v>
      </c>
      <c r="C17" s="21" t="s">
        <v>37</v>
      </c>
      <c r="D17" s="21" t="s">
        <v>37</v>
      </c>
      <c r="E17" s="22" t="s">
        <v>37</v>
      </c>
      <c r="F17" s="22" t="s">
        <v>37</v>
      </c>
      <c r="G17" s="21" t="s">
        <v>37</v>
      </c>
      <c r="H17" s="21" t="s">
        <v>37</v>
      </c>
      <c r="I17" s="21" t="s">
        <v>38</v>
      </c>
      <c r="J17" s="21" t="s">
        <v>37</v>
      </c>
      <c r="K17" s="21" t="s">
        <v>37</v>
      </c>
      <c r="L17" s="22" t="s">
        <v>37</v>
      </c>
      <c r="M17" s="22" t="s">
        <v>37</v>
      </c>
      <c r="N17" s="21" t="s">
        <v>37</v>
      </c>
      <c r="O17" s="21" t="s">
        <v>37</v>
      </c>
      <c r="P17" s="21" t="s">
        <v>37</v>
      </c>
      <c r="Q17" s="23" t="s">
        <v>39</v>
      </c>
      <c r="R17" s="21" t="s">
        <v>37</v>
      </c>
      <c r="S17" s="22" t="s">
        <v>37</v>
      </c>
      <c r="T17" s="22" t="s">
        <v>37</v>
      </c>
      <c r="U17" s="22" t="s">
        <v>37</v>
      </c>
      <c r="V17" s="21" t="s">
        <v>37</v>
      </c>
      <c r="W17" s="21" t="s">
        <v>42</v>
      </c>
      <c r="X17" s="21" t="s">
        <v>37</v>
      </c>
      <c r="Y17" s="21" t="s">
        <v>37</v>
      </c>
      <c r="Z17" s="22" t="s">
        <v>37</v>
      </c>
      <c r="AA17" s="22" t="s">
        <v>37</v>
      </c>
      <c r="AB17" s="21" t="s">
        <v>38</v>
      </c>
      <c r="AC17" s="21" t="s">
        <v>41</v>
      </c>
      <c r="AD17" s="21" t="s">
        <v>37</v>
      </c>
      <c r="AE17" s="21" t="s">
        <v>37</v>
      </c>
      <c r="AF17" s="21" t="s">
        <v>37</v>
      </c>
      <c r="AG17" s="22" t="s">
        <v>37</v>
      </c>
      <c r="AH17" s="25">
        <f>SUM(COUNTIF(C17:AG17,"SL")*0.25)</f>
        <v>0.25</v>
      </c>
      <c r="AI17" s="25">
        <f>SUM(COUNTIF(C17:AG17,"HD")*0.5)</f>
        <v>1</v>
      </c>
      <c r="AJ17" s="25">
        <f>COUNTIF(C17:AG17,"L")</f>
        <v>1</v>
      </c>
      <c r="AK17" s="39">
        <f>SUM($AG$2-AL17)</f>
        <v>28.75</v>
      </c>
      <c r="AL17" s="27">
        <f>SUM(AH17+AI17+AJ17)</f>
        <v>2.25</v>
      </c>
      <c r="AM17" s="28">
        <v>1</v>
      </c>
      <c r="AN17" s="26">
        <v>1</v>
      </c>
      <c r="AO17" s="29">
        <f t="shared" si="0"/>
        <v>0</v>
      </c>
      <c r="AP17" s="30">
        <f>AL17-AN17</f>
        <v>1.25</v>
      </c>
      <c r="AQ17" s="27">
        <v>0</v>
      </c>
      <c r="AR17" s="27">
        <f>$AG$2-AP17</f>
        <v>29.75</v>
      </c>
      <c r="AS17" s="31">
        <f>SUM(BA17/31)*AP17</f>
        <v>2217.7419354838712</v>
      </c>
      <c r="AT17" s="31">
        <v>5000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f>AS17+AT17+AU17+AV17+AW17</f>
        <v>7217.7419354838712</v>
      </c>
      <c r="BA17" s="31">
        <v>55000</v>
      </c>
      <c r="BB17" s="32">
        <f>BA17-AZ17+AY17+AX17</f>
        <v>47782.258064516129</v>
      </c>
      <c r="BC17" s="33" t="s">
        <v>70</v>
      </c>
    </row>
    <row r="18" spans="1:55" ht="24">
      <c r="A18" s="19" t="s">
        <v>71</v>
      </c>
      <c r="B18" s="34" t="s">
        <v>72</v>
      </c>
      <c r="C18" s="21" t="s">
        <v>37</v>
      </c>
      <c r="D18" s="21" t="s">
        <v>37</v>
      </c>
      <c r="E18" s="22" t="s">
        <v>37</v>
      </c>
      <c r="F18" s="22" t="s">
        <v>37</v>
      </c>
      <c r="G18" s="21" t="s">
        <v>37</v>
      </c>
      <c r="H18" s="21" t="s">
        <v>37</v>
      </c>
      <c r="I18" s="21" t="s">
        <v>37</v>
      </c>
      <c r="J18" s="21" t="s">
        <v>37</v>
      </c>
      <c r="K18" s="21" t="s">
        <v>37</v>
      </c>
      <c r="L18" s="22" t="s">
        <v>37</v>
      </c>
      <c r="M18" s="22" t="s">
        <v>37</v>
      </c>
      <c r="N18" s="21" t="s">
        <v>37</v>
      </c>
      <c r="O18" s="21" t="s">
        <v>37</v>
      </c>
      <c r="P18" s="21" t="s">
        <v>37</v>
      </c>
      <c r="Q18" s="23" t="s">
        <v>39</v>
      </c>
      <c r="R18" s="21" t="s">
        <v>41</v>
      </c>
      <c r="S18" s="22" t="s">
        <v>37</v>
      </c>
      <c r="T18" s="22" t="s">
        <v>37</v>
      </c>
      <c r="U18" s="24" t="s">
        <v>40</v>
      </c>
      <c r="V18" s="21" t="s">
        <v>37</v>
      </c>
      <c r="W18" s="21" t="s">
        <v>37</v>
      </c>
      <c r="X18" s="21" t="s">
        <v>37</v>
      </c>
      <c r="Y18" s="21" t="s">
        <v>37</v>
      </c>
      <c r="Z18" s="22" t="s">
        <v>37</v>
      </c>
      <c r="AA18" s="22" t="s">
        <v>37</v>
      </c>
      <c r="AB18" s="21" t="s">
        <v>37</v>
      </c>
      <c r="AC18" s="21" t="s">
        <v>37</v>
      </c>
      <c r="AD18" s="21" t="s">
        <v>37</v>
      </c>
      <c r="AE18" s="21" t="s">
        <v>37</v>
      </c>
      <c r="AF18" s="21" t="s">
        <v>37</v>
      </c>
      <c r="AG18" s="22" t="s">
        <v>37</v>
      </c>
      <c r="AH18" s="25">
        <f>SUM(COUNTIF(C18:AG18,"SL")*0.25)</f>
        <v>0</v>
      </c>
      <c r="AI18" s="25">
        <f>SUM(COUNTIF(C18:AG18,"HD")*0.5)</f>
        <v>0</v>
      </c>
      <c r="AJ18" s="25">
        <f>COUNTIF(C18:AG18,"L")</f>
        <v>1</v>
      </c>
      <c r="AK18" s="26">
        <f>SUM($AG$2-AL18)</f>
        <v>30</v>
      </c>
      <c r="AL18" s="27">
        <f>SUM(AH18+AI18+AJ18)</f>
        <v>1</v>
      </c>
      <c r="AM18" s="28">
        <v>1</v>
      </c>
      <c r="AN18" s="26">
        <v>1</v>
      </c>
      <c r="AO18" s="29">
        <f t="shared" si="0"/>
        <v>0</v>
      </c>
      <c r="AP18" s="30">
        <f>AL18-AN18</f>
        <v>0</v>
      </c>
      <c r="AQ18" s="27">
        <v>0</v>
      </c>
      <c r="AR18" s="27">
        <f>$AG$2-AP18</f>
        <v>31</v>
      </c>
      <c r="AS18" s="31">
        <f>SUM(BA18/31)*AP18</f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1100</v>
      </c>
      <c r="AZ18" s="31">
        <f>AS18+AT18+AU18+AV18+AW18</f>
        <v>0</v>
      </c>
      <c r="BA18" s="31">
        <v>38800</v>
      </c>
      <c r="BB18" s="32">
        <f>BA18-AZ18+AY18+AX18</f>
        <v>39900</v>
      </c>
      <c r="BC18" s="33" t="s">
        <v>46</v>
      </c>
    </row>
    <row r="19" spans="1:55" ht="24">
      <c r="A19" s="19" t="s">
        <v>73</v>
      </c>
      <c r="B19" s="34" t="s">
        <v>74</v>
      </c>
      <c r="C19" s="21" t="s">
        <v>37</v>
      </c>
      <c r="D19" s="21" t="s">
        <v>37</v>
      </c>
      <c r="E19" s="22" t="s">
        <v>37</v>
      </c>
      <c r="F19" s="22" t="s">
        <v>37</v>
      </c>
      <c r="G19" s="21" t="s">
        <v>37</v>
      </c>
      <c r="H19" s="21" t="s">
        <v>37</v>
      </c>
      <c r="I19" s="21" t="s">
        <v>37</v>
      </c>
      <c r="J19" s="21" t="s">
        <v>37</v>
      </c>
      <c r="K19" s="21" t="s">
        <v>37</v>
      </c>
      <c r="L19" s="22" t="s">
        <v>37</v>
      </c>
      <c r="M19" s="22" t="s">
        <v>37</v>
      </c>
      <c r="N19" s="21" t="s">
        <v>37</v>
      </c>
      <c r="O19" s="21" t="s">
        <v>37</v>
      </c>
      <c r="P19" s="21" t="s">
        <v>37</v>
      </c>
      <c r="Q19" s="23" t="s">
        <v>39</v>
      </c>
      <c r="R19" s="21" t="s">
        <v>37</v>
      </c>
      <c r="S19" s="22" t="s">
        <v>37</v>
      </c>
      <c r="T19" s="22" t="s">
        <v>37</v>
      </c>
      <c r="U19" s="24" t="s">
        <v>40</v>
      </c>
      <c r="V19" s="21" t="s">
        <v>37</v>
      </c>
      <c r="W19" s="21" t="s">
        <v>37</v>
      </c>
      <c r="X19" s="21" t="s">
        <v>37</v>
      </c>
      <c r="Y19" s="21" t="s">
        <v>37</v>
      </c>
      <c r="Z19" s="22" t="s">
        <v>37</v>
      </c>
      <c r="AA19" s="22" t="s">
        <v>37</v>
      </c>
      <c r="AB19" s="21" t="s">
        <v>37</v>
      </c>
      <c r="AC19" s="21" t="s">
        <v>37</v>
      </c>
      <c r="AD19" s="21" t="s">
        <v>38</v>
      </c>
      <c r="AE19" s="21" t="s">
        <v>37</v>
      </c>
      <c r="AF19" s="21" t="s">
        <v>41</v>
      </c>
      <c r="AG19" s="22" t="s">
        <v>37</v>
      </c>
      <c r="AH19" s="25">
        <f>SUM(COUNTIF(C19:AG19,"SL")*0.25)</f>
        <v>0</v>
      </c>
      <c r="AI19" s="25">
        <f>SUM(COUNTIF(C19:AG19,"HD")*0.5)</f>
        <v>0.5</v>
      </c>
      <c r="AJ19" s="25">
        <f>COUNTIF(C19:AG19,"L")</f>
        <v>1</v>
      </c>
      <c r="AK19" s="26">
        <f>SUM($AG$2-AL19)</f>
        <v>29.5</v>
      </c>
      <c r="AL19" s="27">
        <f>SUM(AH19+AI19+AJ19)</f>
        <v>1.5</v>
      </c>
      <c r="AM19" s="28">
        <v>4</v>
      </c>
      <c r="AN19" s="26">
        <v>1.5</v>
      </c>
      <c r="AO19" s="29">
        <f t="shared" si="0"/>
        <v>2.5</v>
      </c>
      <c r="AP19" s="30">
        <f>AL19-AN19</f>
        <v>0</v>
      </c>
      <c r="AQ19" s="27">
        <v>0</v>
      </c>
      <c r="AR19" s="27">
        <f>$AG$2-AP19</f>
        <v>31</v>
      </c>
      <c r="AS19" s="31">
        <f>SUM(BA19/31)*AP19</f>
        <v>0</v>
      </c>
      <c r="AT19" s="31">
        <v>0</v>
      </c>
      <c r="AU19" s="31">
        <v>2340</v>
      </c>
      <c r="AV19" s="31">
        <v>0</v>
      </c>
      <c r="AW19" s="31">
        <v>0</v>
      </c>
      <c r="AX19" s="31">
        <v>0</v>
      </c>
      <c r="AY19" s="31">
        <v>0</v>
      </c>
      <c r="AZ19" s="31">
        <f>AS19+AT19+AU19+AV19+AW19</f>
        <v>2340</v>
      </c>
      <c r="BA19" s="31">
        <v>40000</v>
      </c>
      <c r="BB19" s="32">
        <f>BA19-AZ19+AY19+AX19</f>
        <v>37660</v>
      </c>
      <c r="BC19" s="33" t="s">
        <v>46</v>
      </c>
    </row>
    <row r="20" spans="1:55" ht="24">
      <c r="A20" s="19" t="s">
        <v>75</v>
      </c>
      <c r="B20" s="34" t="s">
        <v>76</v>
      </c>
      <c r="C20" s="21" t="s">
        <v>37</v>
      </c>
      <c r="D20" s="21" t="s">
        <v>37</v>
      </c>
      <c r="E20" s="22" t="s">
        <v>37</v>
      </c>
      <c r="F20" s="22" t="s">
        <v>37</v>
      </c>
      <c r="G20" s="21" t="s">
        <v>37</v>
      </c>
      <c r="H20" s="21" t="s">
        <v>37</v>
      </c>
      <c r="I20" s="21" t="s">
        <v>37</v>
      </c>
      <c r="J20" s="21" t="s">
        <v>37</v>
      </c>
      <c r="K20" s="21" t="s">
        <v>37</v>
      </c>
      <c r="L20" s="22" t="s">
        <v>37</v>
      </c>
      <c r="M20" s="22" t="s">
        <v>37</v>
      </c>
      <c r="N20" s="21" t="s">
        <v>37</v>
      </c>
      <c r="O20" s="21" t="s">
        <v>38</v>
      </c>
      <c r="P20" s="21" t="s">
        <v>37</v>
      </c>
      <c r="Q20" s="23" t="s">
        <v>39</v>
      </c>
      <c r="R20" s="21" t="s">
        <v>37</v>
      </c>
      <c r="S20" s="22" t="s">
        <v>37</v>
      </c>
      <c r="T20" s="22" t="s">
        <v>37</v>
      </c>
      <c r="U20" s="24" t="s">
        <v>40</v>
      </c>
      <c r="V20" s="21" t="s">
        <v>37</v>
      </c>
      <c r="W20" s="21" t="s">
        <v>37</v>
      </c>
      <c r="X20" s="21" t="s">
        <v>37</v>
      </c>
      <c r="Y20" s="21" t="s">
        <v>37</v>
      </c>
      <c r="Z20" s="22" t="s">
        <v>37</v>
      </c>
      <c r="AA20" s="22" t="s">
        <v>37</v>
      </c>
      <c r="AB20" s="21" t="s">
        <v>38</v>
      </c>
      <c r="AC20" s="21" t="s">
        <v>37</v>
      </c>
      <c r="AD20" s="21" t="s">
        <v>37</v>
      </c>
      <c r="AE20" s="21" t="s">
        <v>37</v>
      </c>
      <c r="AF20" s="21" t="s">
        <v>37</v>
      </c>
      <c r="AG20" s="22" t="s">
        <v>37</v>
      </c>
      <c r="AH20" s="25">
        <f>SUM(COUNTIF(C20:AG20,"SL")*0.25)</f>
        <v>0</v>
      </c>
      <c r="AI20" s="25">
        <f>SUM(COUNTIF(C20:AG20,"HD")*0.5)</f>
        <v>1</v>
      </c>
      <c r="AJ20" s="25">
        <f>COUNTIF(C20:AG20,"L")</f>
        <v>0</v>
      </c>
      <c r="AK20" s="26">
        <f>SUM($AG$2-AL20)</f>
        <v>30</v>
      </c>
      <c r="AL20" s="27">
        <f>SUM(AH20+AI20+AJ20)</f>
        <v>1</v>
      </c>
      <c r="AM20" s="28">
        <v>1</v>
      </c>
      <c r="AN20" s="26">
        <v>1</v>
      </c>
      <c r="AO20" s="29">
        <f t="shared" si="0"/>
        <v>0</v>
      </c>
      <c r="AP20" s="30">
        <f>AL20-AN20</f>
        <v>0</v>
      </c>
      <c r="AQ20" s="27">
        <v>0</v>
      </c>
      <c r="AR20" s="27">
        <f>$AG$2-AP20</f>
        <v>31</v>
      </c>
      <c r="AS20" s="31">
        <f>SUM(BA20/31)*AP20</f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f>AS20+AT20+AU20+AV20+AW20</f>
        <v>0</v>
      </c>
      <c r="BA20" s="31">
        <v>24000</v>
      </c>
      <c r="BB20" s="32">
        <f>BA20-AZ20+AY20+AX20</f>
        <v>24000</v>
      </c>
      <c r="BC20" s="33" t="s">
        <v>46</v>
      </c>
    </row>
    <row r="21" spans="1:55" ht="24">
      <c r="A21" s="19" t="s">
        <v>77</v>
      </c>
      <c r="B21" s="40" t="s">
        <v>78</v>
      </c>
      <c r="C21" s="21" t="s">
        <v>37</v>
      </c>
      <c r="D21" s="21" t="s">
        <v>37</v>
      </c>
      <c r="E21" s="22" t="s">
        <v>37</v>
      </c>
      <c r="F21" s="22" t="s">
        <v>37</v>
      </c>
      <c r="G21" s="21" t="s">
        <v>37</v>
      </c>
      <c r="H21" s="21" t="s">
        <v>37</v>
      </c>
      <c r="I21" s="21" t="s">
        <v>37</v>
      </c>
      <c r="J21" s="21" t="s">
        <v>37</v>
      </c>
      <c r="K21" s="21" t="s">
        <v>37</v>
      </c>
      <c r="L21" s="22" t="s">
        <v>37</v>
      </c>
      <c r="M21" s="22" t="s">
        <v>37</v>
      </c>
      <c r="N21" s="21" t="s">
        <v>37</v>
      </c>
      <c r="O21" s="21" t="s">
        <v>37</v>
      </c>
      <c r="P21" s="21" t="s">
        <v>37</v>
      </c>
      <c r="Q21" s="23" t="s">
        <v>39</v>
      </c>
      <c r="R21" s="21" t="s">
        <v>37</v>
      </c>
      <c r="S21" s="22" t="s">
        <v>37</v>
      </c>
      <c r="T21" s="22" t="s">
        <v>37</v>
      </c>
      <c r="U21" s="24" t="s">
        <v>79</v>
      </c>
      <c r="V21" s="21" t="s">
        <v>41</v>
      </c>
      <c r="W21" s="21" t="s">
        <v>41</v>
      </c>
      <c r="X21" s="21" t="s">
        <v>41</v>
      </c>
      <c r="Y21" s="21" t="s">
        <v>41</v>
      </c>
      <c r="Z21" s="22" t="s">
        <v>37</v>
      </c>
      <c r="AA21" s="22" t="s">
        <v>37</v>
      </c>
      <c r="AB21" s="21" t="s">
        <v>37</v>
      </c>
      <c r="AC21" s="21" t="s">
        <v>37</v>
      </c>
      <c r="AD21" s="21" t="s">
        <v>37</v>
      </c>
      <c r="AE21" s="21" t="s">
        <v>37</v>
      </c>
      <c r="AF21" s="21" t="s">
        <v>37</v>
      </c>
      <c r="AG21" s="22" t="s">
        <v>37</v>
      </c>
      <c r="AH21" s="25">
        <f>SUM(COUNTIF(C21:AG21,"SL")*0.25)</f>
        <v>0</v>
      </c>
      <c r="AI21" s="25">
        <f>SUM(COUNTIF(C21:AG21,"HD")*0.5)</f>
        <v>0</v>
      </c>
      <c r="AJ21" s="25">
        <f>COUNTIF(C21:AG21,"L")</f>
        <v>4</v>
      </c>
      <c r="AK21" s="26">
        <f>SUM($AG$2-AL21)</f>
        <v>27</v>
      </c>
      <c r="AL21" s="27">
        <f>SUM(AH21+AI21+AJ21)</f>
        <v>4</v>
      </c>
      <c r="AM21" s="28">
        <v>4.75</v>
      </c>
      <c r="AN21" s="26">
        <v>4</v>
      </c>
      <c r="AO21" s="29">
        <f t="shared" si="0"/>
        <v>0.75</v>
      </c>
      <c r="AP21" s="30">
        <f>AL21-AN21</f>
        <v>0</v>
      </c>
      <c r="AQ21" s="27">
        <v>0</v>
      </c>
      <c r="AR21" s="27">
        <f>$AG$2-AP21</f>
        <v>31</v>
      </c>
      <c r="AS21" s="31">
        <f>SUM(BA21/31)*AP21</f>
        <v>0</v>
      </c>
      <c r="AT21" s="31">
        <v>0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f>AS21+AT21+AU21+AV21+AW21</f>
        <v>0</v>
      </c>
      <c r="BA21" s="31">
        <v>20000</v>
      </c>
      <c r="BB21" s="32">
        <f>BA21-AZ21+AY21+AX21</f>
        <v>20000</v>
      </c>
      <c r="BC21" s="33" t="s">
        <v>46</v>
      </c>
    </row>
    <row r="22" spans="1:55" ht="24">
      <c r="A22" s="35" t="s">
        <v>80</v>
      </c>
      <c r="B22" s="34" t="s">
        <v>81</v>
      </c>
      <c r="C22" s="21" t="s">
        <v>37</v>
      </c>
      <c r="D22" s="21" t="s">
        <v>38</v>
      </c>
      <c r="E22" s="22" t="s">
        <v>37</v>
      </c>
      <c r="F22" s="22" t="s">
        <v>37</v>
      </c>
      <c r="G22" s="21" t="s">
        <v>37</v>
      </c>
      <c r="H22" s="21" t="s">
        <v>41</v>
      </c>
      <c r="I22" s="21" t="s">
        <v>37</v>
      </c>
      <c r="J22" s="21" t="s">
        <v>41</v>
      </c>
      <c r="K22" s="21" t="s">
        <v>37</v>
      </c>
      <c r="L22" s="22" t="s">
        <v>37</v>
      </c>
      <c r="M22" s="22" t="s">
        <v>37</v>
      </c>
      <c r="N22" s="21" t="s">
        <v>37</v>
      </c>
      <c r="O22" s="21" t="s">
        <v>41</v>
      </c>
      <c r="P22" s="21" t="s">
        <v>41</v>
      </c>
      <c r="Q22" s="23" t="s">
        <v>39</v>
      </c>
      <c r="R22" s="21" t="s">
        <v>37</v>
      </c>
      <c r="S22" s="22" t="s">
        <v>37</v>
      </c>
      <c r="T22" s="22" t="s">
        <v>37</v>
      </c>
      <c r="U22" s="24" t="s">
        <v>37</v>
      </c>
      <c r="V22" s="21" t="s">
        <v>37</v>
      </c>
      <c r="W22" s="21" t="s">
        <v>37</v>
      </c>
      <c r="X22" s="21" t="s">
        <v>41</v>
      </c>
      <c r="Y22" s="21" t="s">
        <v>41</v>
      </c>
      <c r="Z22" s="22" t="s">
        <v>41</v>
      </c>
      <c r="AA22" s="22" t="s">
        <v>41</v>
      </c>
      <c r="AB22" s="21" t="s">
        <v>37</v>
      </c>
      <c r="AC22" s="21" t="s">
        <v>37</v>
      </c>
      <c r="AD22" s="21" t="s">
        <v>37</v>
      </c>
      <c r="AE22" s="21" t="s">
        <v>37</v>
      </c>
      <c r="AF22" s="21" t="s">
        <v>37</v>
      </c>
      <c r="AG22" s="22" t="s">
        <v>37</v>
      </c>
      <c r="AH22" s="25">
        <f>SUM(COUNTIF(C22:AG22,"SL")*0.25)</f>
        <v>0</v>
      </c>
      <c r="AI22" s="25">
        <f>SUM(COUNTIF(C22:AG22,"HD")*0.5)</f>
        <v>0.5</v>
      </c>
      <c r="AJ22" s="25">
        <f>COUNTIF(C22:AG22,"L")</f>
        <v>8</v>
      </c>
      <c r="AK22" s="26">
        <f>SUM($AG$2-AL22)</f>
        <v>30</v>
      </c>
      <c r="AL22" s="27">
        <v>1</v>
      </c>
      <c r="AM22" s="28">
        <v>1</v>
      </c>
      <c r="AN22" s="26">
        <v>1</v>
      </c>
      <c r="AO22" s="29">
        <f t="shared" si="0"/>
        <v>0</v>
      </c>
      <c r="AP22" s="30">
        <v>8.5</v>
      </c>
      <c r="AQ22" s="27">
        <v>0</v>
      </c>
      <c r="AR22" s="27">
        <f>$AG$2-AP22</f>
        <v>22.5</v>
      </c>
      <c r="AS22" s="31">
        <f>SUM(BA22/31)*AP22</f>
        <v>6854.8387096774195</v>
      </c>
      <c r="AT22" s="31">
        <v>0</v>
      </c>
      <c r="AU22" s="31">
        <v>0</v>
      </c>
      <c r="AV22" s="31">
        <v>113</v>
      </c>
      <c r="AW22" s="31">
        <v>0</v>
      </c>
      <c r="AX22" s="31">
        <v>0</v>
      </c>
      <c r="AY22" s="31">
        <v>88</v>
      </c>
      <c r="AZ22" s="31">
        <f>AS22+AT22+AU22+AV22+AW22</f>
        <v>6967.8387096774195</v>
      </c>
      <c r="BA22" s="31">
        <v>25000</v>
      </c>
      <c r="BB22" s="32">
        <f>BA22-AZ22+AY22+AX22</f>
        <v>18120.16129032258</v>
      </c>
      <c r="BC22" s="33" t="s">
        <v>46</v>
      </c>
    </row>
    <row r="23" spans="1:55" ht="24">
      <c r="A23" s="19" t="s">
        <v>82</v>
      </c>
      <c r="B23" s="34" t="s">
        <v>83</v>
      </c>
      <c r="C23" s="21" t="s">
        <v>37</v>
      </c>
      <c r="D23" s="21" t="s">
        <v>37</v>
      </c>
      <c r="E23" s="22" t="s">
        <v>37</v>
      </c>
      <c r="F23" s="22" t="s">
        <v>37</v>
      </c>
      <c r="G23" s="21" t="s">
        <v>37</v>
      </c>
      <c r="H23" s="21" t="s">
        <v>37</v>
      </c>
      <c r="I23" s="21" t="s">
        <v>37</v>
      </c>
      <c r="J23" s="21" t="s">
        <v>37</v>
      </c>
      <c r="K23" s="21" t="s">
        <v>37</v>
      </c>
      <c r="L23" s="22" t="s">
        <v>37</v>
      </c>
      <c r="M23" s="22" t="s">
        <v>37</v>
      </c>
      <c r="N23" s="21" t="s">
        <v>37</v>
      </c>
      <c r="O23" s="21" t="s">
        <v>37</v>
      </c>
      <c r="P23" s="21" t="s">
        <v>37</v>
      </c>
      <c r="Q23" s="23" t="s">
        <v>39</v>
      </c>
      <c r="R23" s="21" t="s">
        <v>37</v>
      </c>
      <c r="S23" s="22" t="s">
        <v>37</v>
      </c>
      <c r="T23" s="22" t="s">
        <v>37</v>
      </c>
      <c r="U23" s="24" t="s">
        <v>40</v>
      </c>
      <c r="V23" s="21" t="s">
        <v>37</v>
      </c>
      <c r="W23" s="21" t="s">
        <v>37</v>
      </c>
      <c r="X23" s="21" t="s">
        <v>37</v>
      </c>
      <c r="Y23" s="21" t="s">
        <v>37</v>
      </c>
      <c r="Z23" s="22" t="s">
        <v>37</v>
      </c>
      <c r="AA23" s="22" t="s">
        <v>37</v>
      </c>
      <c r="AB23" s="21" t="s">
        <v>37</v>
      </c>
      <c r="AC23" s="21" t="s">
        <v>37</v>
      </c>
      <c r="AD23" s="21" t="s">
        <v>37</v>
      </c>
      <c r="AE23" s="21" t="s">
        <v>37</v>
      </c>
      <c r="AF23" s="21" t="s">
        <v>37</v>
      </c>
      <c r="AG23" s="22" t="s">
        <v>37</v>
      </c>
      <c r="AH23" s="25">
        <f>SUM(COUNTIF(C23:AG23,"SL")*0.25)</f>
        <v>0</v>
      </c>
      <c r="AI23" s="25">
        <f>SUM(COUNTIF(C23:AG23,"HD")*0.5)</f>
        <v>0</v>
      </c>
      <c r="AJ23" s="25">
        <f>COUNTIF(C23:AG23,"L")</f>
        <v>0</v>
      </c>
      <c r="AK23" s="26">
        <f>SUM($AG$2-AL23)</f>
        <v>31</v>
      </c>
      <c r="AL23" s="27">
        <f>SUM(AH23+AI23+AJ23)</f>
        <v>0</v>
      </c>
      <c r="AM23" s="28">
        <v>1</v>
      </c>
      <c r="AN23" s="26">
        <v>1</v>
      </c>
      <c r="AO23" s="29">
        <f t="shared" si="0"/>
        <v>0</v>
      </c>
      <c r="AP23" s="30">
        <v>0</v>
      </c>
      <c r="AQ23" s="27">
        <v>0</v>
      </c>
      <c r="AR23" s="27">
        <f>$AG$2-AP23</f>
        <v>31</v>
      </c>
      <c r="AS23" s="31">
        <f>SUM(BA23/31)*AP23</f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f>AS23+AT23+AU23+AV23+AW23</f>
        <v>0</v>
      </c>
      <c r="BA23" s="31">
        <v>30000</v>
      </c>
      <c r="BB23" s="32">
        <f>BA23-AZ23+AY23+AX23</f>
        <v>30000</v>
      </c>
      <c r="BC23" s="33" t="s">
        <v>46</v>
      </c>
    </row>
    <row r="24" spans="1:55" ht="24">
      <c r="A24" s="19" t="s">
        <v>84</v>
      </c>
      <c r="B24" s="34" t="s">
        <v>85</v>
      </c>
      <c r="C24" s="21" t="s">
        <v>37</v>
      </c>
      <c r="D24" s="21" t="s">
        <v>37</v>
      </c>
      <c r="E24" s="22" t="s">
        <v>37</v>
      </c>
      <c r="F24" s="22" t="s">
        <v>37</v>
      </c>
      <c r="G24" s="21" t="s">
        <v>37</v>
      </c>
      <c r="H24" s="21" t="s">
        <v>37</v>
      </c>
      <c r="I24" s="21" t="s">
        <v>37</v>
      </c>
      <c r="J24" s="21" t="s">
        <v>37</v>
      </c>
      <c r="K24" s="21" t="s">
        <v>37</v>
      </c>
      <c r="L24" s="22" t="s">
        <v>37</v>
      </c>
      <c r="M24" s="22" t="s">
        <v>37</v>
      </c>
      <c r="N24" s="21" t="s">
        <v>37</v>
      </c>
      <c r="O24" s="21" t="s">
        <v>37</v>
      </c>
      <c r="P24" s="21" t="s">
        <v>37</v>
      </c>
      <c r="Q24" s="23" t="s">
        <v>39</v>
      </c>
      <c r="R24" s="21" t="s">
        <v>37</v>
      </c>
      <c r="S24" s="22" t="s">
        <v>37</v>
      </c>
      <c r="T24" s="22" t="s">
        <v>37</v>
      </c>
      <c r="U24" s="24" t="s">
        <v>40</v>
      </c>
      <c r="V24" s="21" t="s">
        <v>37</v>
      </c>
      <c r="W24" s="21" t="s">
        <v>37</v>
      </c>
      <c r="X24" s="21" t="s">
        <v>37</v>
      </c>
      <c r="Y24" s="21" t="s">
        <v>37</v>
      </c>
      <c r="Z24" s="22" t="s">
        <v>37</v>
      </c>
      <c r="AA24" s="22" t="s">
        <v>37</v>
      </c>
      <c r="AB24" s="21" t="s">
        <v>37</v>
      </c>
      <c r="AC24" s="21" t="s">
        <v>37</v>
      </c>
      <c r="AD24" s="21" t="s">
        <v>37</v>
      </c>
      <c r="AE24" s="21" t="s">
        <v>37</v>
      </c>
      <c r="AF24" s="21" t="s">
        <v>37</v>
      </c>
      <c r="AG24" s="22" t="s">
        <v>37</v>
      </c>
      <c r="AH24" s="25">
        <f>SUM(COUNTIF(C24:AG24,"SL")*0.25)</f>
        <v>0</v>
      </c>
      <c r="AI24" s="25">
        <f>SUM(COUNTIF(C24:AG24,"HD")*0.5)</f>
        <v>0</v>
      </c>
      <c r="AJ24" s="25">
        <f>COUNTIF(C24:AG24,"L")</f>
        <v>0</v>
      </c>
      <c r="AK24" s="26">
        <f>SUM($AG$2-AL24)</f>
        <v>31</v>
      </c>
      <c r="AL24" s="27">
        <f>SUM(AH24+AI24+AJ24)</f>
        <v>0</v>
      </c>
      <c r="AM24" s="28">
        <v>0</v>
      </c>
      <c r="AN24" s="26">
        <v>0</v>
      </c>
      <c r="AO24" s="29">
        <f t="shared" si="0"/>
        <v>0</v>
      </c>
      <c r="AP24" s="30">
        <v>0</v>
      </c>
      <c r="AQ24" s="27">
        <v>0</v>
      </c>
      <c r="AR24" s="27">
        <f>$AG$2-AP24</f>
        <v>31</v>
      </c>
      <c r="AS24" s="31">
        <f>SUM(BA24/31)*AP24</f>
        <v>0</v>
      </c>
      <c r="AT24" s="31">
        <v>0</v>
      </c>
      <c r="AU24" s="31">
        <v>0</v>
      </c>
      <c r="AV24" s="31">
        <v>0</v>
      </c>
      <c r="AW24" s="31">
        <v>1800</v>
      </c>
      <c r="AX24" s="31">
        <v>0</v>
      </c>
      <c r="AY24" s="31">
        <v>0</v>
      </c>
      <c r="AZ24" s="31">
        <f>AS24+AT24+AU24+AV24+AW24</f>
        <v>1800</v>
      </c>
      <c r="BA24" s="41">
        <v>44000</v>
      </c>
      <c r="BB24" s="32">
        <f>BA24-AZ24+AY24+AX24</f>
        <v>42200</v>
      </c>
      <c r="BC24" s="33" t="s">
        <v>46</v>
      </c>
    </row>
    <row r="25" spans="1:55" ht="24">
      <c r="A25" s="19" t="s">
        <v>86</v>
      </c>
      <c r="B25" s="34" t="s">
        <v>87</v>
      </c>
      <c r="C25" s="21" t="s">
        <v>37</v>
      </c>
      <c r="D25" s="21" t="s">
        <v>37</v>
      </c>
      <c r="E25" s="22" t="s">
        <v>37</v>
      </c>
      <c r="F25" s="22" t="s">
        <v>37</v>
      </c>
      <c r="G25" s="21" t="s">
        <v>37</v>
      </c>
      <c r="H25" s="21" t="s">
        <v>37</v>
      </c>
      <c r="I25" s="21" t="s">
        <v>37</v>
      </c>
      <c r="J25" s="21" t="s">
        <v>37</v>
      </c>
      <c r="K25" s="21" t="s">
        <v>37</v>
      </c>
      <c r="L25" s="22" t="s">
        <v>37</v>
      </c>
      <c r="M25" s="22" t="s">
        <v>37</v>
      </c>
      <c r="N25" s="21" t="s">
        <v>37</v>
      </c>
      <c r="O25" s="21" t="s">
        <v>37</v>
      </c>
      <c r="P25" s="21" t="s">
        <v>37</v>
      </c>
      <c r="Q25" s="23" t="s">
        <v>39</v>
      </c>
      <c r="R25" s="21" t="s">
        <v>37</v>
      </c>
      <c r="S25" s="22" t="s">
        <v>37</v>
      </c>
      <c r="T25" s="22" t="s">
        <v>37</v>
      </c>
      <c r="U25" s="24" t="s">
        <v>40</v>
      </c>
      <c r="V25" s="21" t="s">
        <v>37</v>
      </c>
      <c r="W25" s="21" t="s">
        <v>37</v>
      </c>
      <c r="X25" s="21" t="s">
        <v>37</v>
      </c>
      <c r="Y25" s="21" t="s">
        <v>37</v>
      </c>
      <c r="Z25" s="22" t="s">
        <v>37</v>
      </c>
      <c r="AA25" s="22" t="s">
        <v>37</v>
      </c>
      <c r="AB25" s="21" t="s">
        <v>37</v>
      </c>
      <c r="AC25" s="21" t="s">
        <v>37</v>
      </c>
      <c r="AD25" s="21" t="s">
        <v>37</v>
      </c>
      <c r="AE25" s="21" t="s">
        <v>37</v>
      </c>
      <c r="AF25" s="21" t="s">
        <v>37</v>
      </c>
      <c r="AG25" s="22" t="s">
        <v>37</v>
      </c>
      <c r="AH25" s="25">
        <f>SUM(COUNTIF(C25:AG25,"SL")*0.25)</f>
        <v>0</v>
      </c>
      <c r="AI25" s="25">
        <f>SUM(COUNTIF(C25:AG25,"HD")*0.5)</f>
        <v>0</v>
      </c>
      <c r="AJ25" s="25">
        <f>COUNTIF(C25:AG25,"L")</f>
        <v>0</v>
      </c>
      <c r="AK25" s="26">
        <f>SUM($AG$2-AL25)</f>
        <v>31</v>
      </c>
      <c r="AL25" s="27">
        <f>SUM(AH25+AI25+AJ25)</f>
        <v>0</v>
      </c>
      <c r="AM25" s="28">
        <v>0</v>
      </c>
      <c r="AN25" s="26">
        <v>0</v>
      </c>
      <c r="AO25" s="29">
        <f t="shared" si="0"/>
        <v>0</v>
      </c>
      <c r="AP25" s="30">
        <v>0</v>
      </c>
      <c r="AQ25" s="27">
        <v>0</v>
      </c>
      <c r="AR25" s="27">
        <f>$AG$2-AP25</f>
        <v>31</v>
      </c>
      <c r="AS25" s="31">
        <f>SUM(BA25/31)*AP25</f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f>AS25+AT25+AU25+AV25+AW25</f>
        <v>0</v>
      </c>
      <c r="BA25" s="31">
        <v>30800</v>
      </c>
      <c r="BB25" s="32">
        <f>BA25-AZ25+AY25+AX25</f>
        <v>30800</v>
      </c>
      <c r="BC25" s="33" t="s">
        <v>46</v>
      </c>
    </row>
    <row r="26" spans="1:55" ht="24">
      <c r="A26" s="19" t="s">
        <v>88</v>
      </c>
      <c r="B26" s="34" t="s">
        <v>89</v>
      </c>
      <c r="C26" s="21" t="s">
        <v>37</v>
      </c>
      <c r="D26" s="21" t="s">
        <v>37</v>
      </c>
      <c r="E26" s="22" t="s">
        <v>37</v>
      </c>
      <c r="F26" s="22" t="s">
        <v>37</v>
      </c>
      <c r="G26" s="21" t="s">
        <v>37</v>
      </c>
      <c r="H26" s="21" t="s">
        <v>37</v>
      </c>
      <c r="I26" s="21" t="s">
        <v>37</v>
      </c>
      <c r="J26" s="21" t="s">
        <v>37</v>
      </c>
      <c r="K26" s="21" t="s">
        <v>37</v>
      </c>
      <c r="L26" s="22" t="s">
        <v>37</v>
      </c>
      <c r="M26" s="22" t="s">
        <v>37</v>
      </c>
      <c r="N26" s="21" t="s">
        <v>37</v>
      </c>
      <c r="O26" s="21" t="s">
        <v>37</v>
      </c>
      <c r="P26" s="21" t="s">
        <v>37</v>
      </c>
      <c r="Q26" s="23" t="s">
        <v>39</v>
      </c>
      <c r="R26" s="21" t="s">
        <v>37</v>
      </c>
      <c r="S26" s="22" t="s">
        <v>37</v>
      </c>
      <c r="T26" s="22" t="s">
        <v>37</v>
      </c>
      <c r="U26" s="24" t="s">
        <v>40</v>
      </c>
      <c r="V26" s="21" t="s">
        <v>37</v>
      </c>
      <c r="W26" s="21" t="s">
        <v>37</v>
      </c>
      <c r="X26" s="21" t="s">
        <v>37</v>
      </c>
      <c r="Y26" s="21" t="s">
        <v>37</v>
      </c>
      <c r="Z26" s="22" t="s">
        <v>37</v>
      </c>
      <c r="AA26" s="22" t="s">
        <v>37</v>
      </c>
      <c r="AB26" s="21" t="s">
        <v>37</v>
      </c>
      <c r="AC26" s="21" t="s">
        <v>37</v>
      </c>
      <c r="AD26" s="21" t="s">
        <v>37</v>
      </c>
      <c r="AE26" s="21" t="s">
        <v>37</v>
      </c>
      <c r="AF26" s="21" t="s">
        <v>37</v>
      </c>
      <c r="AG26" s="22" t="s">
        <v>37</v>
      </c>
      <c r="AH26" s="25">
        <f>SUM(COUNTIF(C26:AG26,"SL")*0.25)</f>
        <v>0</v>
      </c>
      <c r="AI26" s="25">
        <f>SUM(COUNTIF(C26:AG26,"HD")*0.5)</f>
        <v>0</v>
      </c>
      <c r="AJ26" s="25">
        <f>COUNTIF(C26:AG26,"L")</f>
        <v>0</v>
      </c>
      <c r="AK26" s="26">
        <f>SUM($AG$2-AL26)</f>
        <v>31</v>
      </c>
      <c r="AL26" s="27">
        <v>0</v>
      </c>
      <c r="AM26" s="28">
        <v>0</v>
      </c>
      <c r="AN26" s="26">
        <v>0</v>
      </c>
      <c r="AO26" s="29">
        <f t="shared" si="0"/>
        <v>0</v>
      </c>
      <c r="AP26" s="30">
        <v>0</v>
      </c>
      <c r="AQ26" s="27">
        <v>0</v>
      </c>
      <c r="AR26" s="27">
        <v>23</v>
      </c>
      <c r="AS26" s="31">
        <f>SUM(BA26/31)*AP26</f>
        <v>0</v>
      </c>
      <c r="AT26" s="31">
        <v>4100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f>AS26+AT26+AU26+AV26+AW26</f>
        <v>4100</v>
      </c>
      <c r="BA26" s="31">
        <v>45800</v>
      </c>
      <c r="BB26" s="32">
        <f>BA26-AZ26+AY26+AX26</f>
        <v>41700</v>
      </c>
      <c r="BC26" s="33" t="s">
        <v>46</v>
      </c>
    </row>
    <row r="27" spans="1:55" ht="24">
      <c r="A27" s="19" t="s">
        <v>90</v>
      </c>
      <c r="B27" s="34" t="s">
        <v>91</v>
      </c>
      <c r="C27" s="42" t="s">
        <v>37</v>
      </c>
      <c r="D27" s="42" t="s">
        <v>37</v>
      </c>
      <c r="E27" s="43" t="s">
        <v>37</v>
      </c>
      <c r="F27" s="43" t="s">
        <v>37</v>
      </c>
      <c r="G27" s="42" t="s">
        <v>37</v>
      </c>
      <c r="H27" s="42" t="s">
        <v>41</v>
      </c>
      <c r="I27" s="42" t="s">
        <v>37</v>
      </c>
      <c r="J27" s="42" t="s">
        <v>37</v>
      </c>
      <c r="K27" s="42" t="s">
        <v>37</v>
      </c>
      <c r="L27" s="43" t="s">
        <v>37</v>
      </c>
      <c r="M27" s="43" t="s">
        <v>37</v>
      </c>
      <c r="N27" s="42" t="s">
        <v>37</v>
      </c>
      <c r="O27" s="42" t="s">
        <v>37</v>
      </c>
      <c r="P27" s="42" t="s">
        <v>37</v>
      </c>
      <c r="Q27" s="44" t="s">
        <v>39</v>
      </c>
      <c r="R27" s="42" t="s">
        <v>37</v>
      </c>
      <c r="S27" s="43" t="s">
        <v>37</v>
      </c>
      <c r="T27" s="43" t="s">
        <v>37</v>
      </c>
      <c r="U27" s="45" t="s">
        <v>40</v>
      </c>
      <c r="V27" s="42" t="s">
        <v>37</v>
      </c>
      <c r="W27" s="42" t="s">
        <v>37</v>
      </c>
      <c r="X27" s="42" t="s">
        <v>37</v>
      </c>
      <c r="Y27" s="42" t="s">
        <v>41</v>
      </c>
      <c r="Z27" s="43" t="s">
        <v>37</v>
      </c>
      <c r="AA27" s="43" t="s">
        <v>37</v>
      </c>
      <c r="AB27" s="42" t="s">
        <v>37</v>
      </c>
      <c r="AC27" s="42" t="s">
        <v>37</v>
      </c>
      <c r="AD27" s="42" t="s">
        <v>37</v>
      </c>
      <c r="AE27" s="42" t="s">
        <v>37</v>
      </c>
      <c r="AF27" s="42" t="s">
        <v>37</v>
      </c>
      <c r="AG27" s="43" t="s">
        <v>37</v>
      </c>
      <c r="AH27" s="46">
        <f>SUM(COUNTIF(C27:AG27,"SL")*0.25)</f>
        <v>0</v>
      </c>
      <c r="AI27" s="46">
        <f>SUM(COUNTIF(C27:AG27,"HD")*0.5)</f>
        <v>0</v>
      </c>
      <c r="AJ27" s="46">
        <f>COUNTIF(C27:AG27,"L")</f>
        <v>2</v>
      </c>
      <c r="AK27" s="47">
        <f>SUM($AG$2-AL27)</f>
        <v>29</v>
      </c>
      <c r="AL27" s="48">
        <f>SUM(AH27+AI27+AJ27)</f>
        <v>2</v>
      </c>
      <c r="AM27" s="49">
        <v>0.5</v>
      </c>
      <c r="AN27" s="47">
        <v>0.5</v>
      </c>
      <c r="AO27" s="50">
        <f t="shared" si="0"/>
        <v>0</v>
      </c>
      <c r="AP27" s="51">
        <f>AL27-AN27</f>
        <v>1.5</v>
      </c>
      <c r="AQ27" s="48">
        <v>0</v>
      </c>
      <c r="AR27" s="48">
        <f>$AG$2-AP27</f>
        <v>29.5</v>
      </c>
      <c r="AS27" s="52">
        <f>SUM(BA27/31)*AP27</f>
        <v>1877.4193548387095</v>
      </c>
      <c r="AT27" s="52">
        <v>5500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2">
        <f>AS27+AT27+AU27+AV27+AW27</f>
        <v>7377.4193548387093</v>
      </c>
      <c r="BA27" s="52">
        <v>38800</v>
      </c>
      <c r="BB27" s="53">
        <f>BA27-AZ27+AY27+AX27</f>
        <v>31422.580645161292</v>
      </c>
      <c r="BC27" s="54" t="s">
        <v>46</v>
      </c>
    </row>
    <row r="28" spans="1:55" ht="24">
      <c r="A28" s="19" t="s">
        <v>92</v>
      </c>
      <c r="B28" s="55" t="s">
        <v>93</v>
      </c>
      <c r="C28" s="21" t="s">
        <v>41</v>
      </c>
      <c r="D28" s="21" t="s">
        <v>41</v>
      </c>
      <c r="E28" s="22" t="s">
        <v>41</v>
      </c>
      <c r="F28" s="22" t="s">
        <v>41</v>
      </c>
      <c r="G28" s="21" t="s">
        <v>41</v>
      </c>
      <c r="H28" s="21" t="s">
        <v>41</v>
      </c>
      <c r="I28" s="21" t="s">
        <v>41</v>
      </c>
      <c r="J28" s="21" t="s">
        <v>41</v>
      </c>
      <c r="K28" s="21" t="s">
        <v>41</v>
      </c>
      <c r="L28" s="22" t="s">
        <v>41</v>
      </c>
      <c r="M28" s="22" t="s">
        <v>41</v>
      </c>
      <c r="N28" s="21" t="s">
        <v>41</v>
      </c>
      <c r="O28" s="21" t="s">
        <v>41</v>
      </c>
      <c r="P28" s="21" t="s">
        <v>41</v>
      </c>
      <c r="Q28" s="23" t="s">
        <v>41</v>
      </c>
      <c r="R28" s="21" t="s">
        <v>41</v>
      </c>
      <c r="S28" s="22" t="s">
        <v>41</v>
      </c>
      <c r="T28" s="22" t="s">
        <v>41</v>
      </c>
      <c r="U28" s="24" t="s">
        <v>41</v>
      </c>
      <c r="V28" s="21" t="s">
        <v>37</v>
      </c>
      <c r="W28" s="21" t="s">
        <v>37</v>
      </c>
      <c r="X28" s="21" t="s">
        <v>37</v>
      </c>
      <c r="Y28" s="21" t="s">
        <v>37</v>
      </c>
      <c r="Z28" s="22" t="s">
        <v>37</v>
      </c>
      <c r="AA28" s="22" t="s">
        <v>37</v>
      </c>
      <c r="AB28" s="21" t="s">
        <v>37</v>
      </c>
      <c r="AC28" s="21" t="s">
        <v>37</v>
      </c>
      <c r="AD28" s="21" t="s">
        <v>37</v>
      </c>
      <c r="AE28" s="21" t="s">
        <v>37</v>
      </c>
      <c r="AF28" s="21" t="s">
        <v>37</v>
      </c>
      <c r="AG28" s="22" t="s">
        <v>37</v>
      </c>
      <c r="AH28" s="46">
        <f t="shared" ref="AH28:AH30" si="1">SUM(COUNTIF(C28:AG28,"SL")*0.25)</f>
        <v>0</v>
      </c>
      <c r="AI28" s="46">
        <f t="shared" ref="AI28:AI30" si="2">SUM(COUNTIF(C28:AG28,"HD")*0.5)</f>
        <v>0</v>
      </c>
      <c r="AJ28" s="46">
        <f t="shared" ref="AJ28:AJ29" si="3">COUNTIF(C28:AG28,"L")</f>
        <v>19</v>
      </c>
      <c r="AK28" s="47">
        <f t="shared" ref="AK28:AK30" si="4">SUM($AG$2-AL28)</f>
        <v>12</v>
      </c>
      <c r="AL28" s="48">
        <f t="shared" ref="AL28:AL30" si="5">SUM(AH28+AI28+AJ28)</f>
        <v>19</v>
      </c>
      <c r="AM28" s="49">
        <v>0</v>
      </c>
      <c r="AN28" s="47">
        <v>0</v>
      </c>
      <c r="AO28" s="50">
        <f t="shared" si="0"/>
        <v>0</v>
      </c>
      <c r="AP28" s="51">
        <f t="shared" ref="AP28:AP30" si="6">AL28-AN28</f>
        <v>19</v>
      </c>
      <c r="AQ28" s="48">
        <v>0</v>
      </c>
      <c r="AR28" s="48">
        <f t="shared" ref="AR28:AR30" si="7">$AG$2-AP28</f>
        <v>12</v>
      </c>
      <c r="AS28" s="52">
        <f t="shared" ref="AS28:AS30" si="8">SUM(BA28/31)*AP28</f>
        <v>24516.129032258064</v>
      </c>
      <c r="AT28" s="52">
        <v>3800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f t="shared" ref="AZ28:AZ30" si="9">AS28+AT28+AU28+AV28+AW28</f>
        <v>28316.129032258064</v>
      </c>
      <c r="BA28" s="52">
        <v>40000</v>
      </c>
      <c r="BB28" s="53">
        <f t="shared" ref="BB28:BB30" si="10">BA28-AZ28+AY28+AX28</f>
        <v>11683.870967741936</v>
      </c>
      <c r="BC28" s="54" t="s">
        <v>46</v>
      </c>
    </row>
    <row r="29" spans="1:55" ht="24">
      <c r="A29" s="19" t="s">
        <v>94</v>
      </c>
      <c r="B29" s="55" t="s">
        <v>95</v>
      </c>
      <c r="C29" s="21" t="s">
        <v>41</v>
      </c>
      <c r="D29" s="21" t="s">
        <v>41</v>
      </c>
      <c r="E29" s="22" t="s">
        <v>41</v>
      </c>
      <c r="F29" s="22" t="s">
        <v>41</v>
      </c>
      <c r="G29" s="21" t="s">
        <v>41</v>
      </c>
      <c r="H29" s="21" t="s">
        <v>41</v>
      </c>
      <c r="I29" s="21" t="s">
        <v>41</v>
      </c>
      <c r="J29" s="21" t="s">
        <v>41</v>
      </c>
      <c r="K29" s="21" t="s">
        <v>41</v>
      </c>
      <c r="L29" s="22" t="s">
        <v>41</v>
      </c>
      <c r="M29" s="22" t="s">
        <v>41</v>
      </c>
      <c r="N29" s="21" t="s">
        <v>41</v>
      </c>
      <c r="O29" s="21" t="s">
        <v>41</v>
      </c>
      <c r="P29" s="21" t="s">
        <v>41</v>
      </c>
      <c r="Q29" s="23" t="s">
        <v>41</v>
      </c>
      <c r="R29" s="21" t="s">
        <v>41</v>
      </c>
      <c r="S29" s="22" t="s">
        <v>41</v>
      </c>
      <c r="T29" s="22" t="s">
        <v>41</v>
      </c>
      <c r="U29" s="24" t="s">
        <v>41</v>
      </c>
      <c r="V29" s="21" t="s">
        <v>37</v>
      </c>
      <c r="W29" s="21" t="s">
        <v>37</v>
      </c>
      <c r="X29" s="21" t="s">
        <v>37</v>
      </c>
      <c r="Y29" s="21" t="s">
        <v>37</v>
      </c>
      <c r="Z29" s="22" t="s">
        <v>37</v>
      </c>
      <c r="AA29" s="22" t="s">
        <v>37</v>
      </c>
      <c r="AB29" s="21" t="s">
        <v>37</v>
      </c>
      <c r="AC29" s="21" t="s">
        <v>37</v>
      </c>
      <c r="AD29" s="21" t="s">
        <v>37</v>
      </c>
      <c r="AE29" s="21" t="s">
        <v>37</v>
      </c>
      <c r="AF29" s="21" t="s">
        <v>37</v>
      </c>
      <c r="AG29" s="22" t="s">
        <v>37</v>
      </c>
      <c r="AH29" s="46">
        <f t="shared" si="1"/>
        <v>0</v>
      </c>
      <c r="AI29" s="46">
        <f t="shared" si="2"/>
        <v>0</v>
      </c>
      <c r="AJ29" s="46">
        <f t="shared" si="3"/>
        <v>19</v>
      </c>
      <c r="AK29" s="47">
        <f t="shared" si="4"/>
        <v>12</v>
      </c>
      <c r="AL29" s="48">
        <f t="shared" si="5"/>
        <v>19</v>
      </c>
      <c r="AM29" s="49">
        <v>0</v>
      </c>
      <c r="AN29" s="47">
        <v>0</v>
      </c>
      <c r="AO29" s="50">
        <f t="shared" si="0"/>
        <v>0</v>
      </c>
      <c r="AP29" s="51">
        <f t="shared" si="6"/>
        <v>19</v>
      </c>
      <c r="AQ29" s="48">
        <v>0</v>
      </c>
      <c r="AR29" s="48">
        <f t="shared" si="7"/>
        <v>12</v>
      </c>
      <c r="AS29" s="52">
        <f t="shared" si="8"/>
        <v>26354.838709677417</v>
      </c>
      <c r="AT29" s="52">
        <v>3200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f t="shared" si="9"/>
        <v>29554.838709677417</v>
      </c>
      <c r="BA29" s="52">
        <v>43000</v>
      </c>
      <c r="BB29" s="53">
        <f t="shared" si="10"/>
        <v>13445.161290322583</v>
      </c>
      <c r="BC29" s="54" t="s">
        <v>46</v>
      </c>
    </row>
    <row r="30" spans="1:55" ht="24">
      <c r="A30" s="19" t="s">
        <v>96</v>
      </c>
      <c r="B30" s="55" t="s">
        <v>97</v>
      </c>
      <c r="C30" s="21" t="s">
        <v>41</v>
      </c>
      <c r="D30" s="21" t="s">
        <v>41</v>
      </c>
      <c r="E30" s="22" t="s">
        <v>41</v>
      </c>
      <c r="F30" s="22" t="s">
        <v>41</v>
      </c>
      <c r="G30" s="21" t="s">
        <v>41</v>
      </c>
      <c r="H30" s="21" t="s">
        <v>41</v>
      </c>
      <c r="I30" s="21" t="s">
        <v>41</v>
      </c>
      <c r="J30" s="21" t="s">
        <v>41</v>
      </c>
      <c r="K30" s="21" t="s">
        <v>41</v>
      </c>
      <c r="L30" s="22" t="s">
        <v>41</v>
      </c>
      <c r="M30" s="22" t="s">
        <v>41</v>
      </c>
      <c r="N30" s="21" t="s">
        <v>41</v>
      </c>
      <c r="O30" s="21" t="s">
        <v>41</v>
      </c>
      <c r="P30" s="21" t="s">
        <v>41</v>
      </c>
      <c r="Q30" s="23" t="s">
        <v>41</v>
      </c>
      <c r="R30" s="21" t="s">
        <v>41</v>
      </c>
      <c r="S30" s="22" t="s">
        <v>41</v>
      </c>
      <c r="T30" s="22" t="s">
        <v>41</v>
      </c>
      <c r="U30" s="24" t="s">
        <v>41</v>
      </c>
      <c r="V30" s="21" t="s">
        <v>41</v>
      </c>
      <c r="W30" s="21" t="s">
        <v>37</v>
      </c>
      <c r="X30" s="21" t="s">
        <v>37</v>
      </c>
      <c r="Y30" s="21" t="s">
        <v>37</v>
      </c>
      <c r="Z30" s="22" t="s">
        <v>37</v>
      </c>
      <c r="AA30" s="22" t="s">
        <v>37</v>
      </c>
      <c r="AB30" s="21" t="s">
        <v>41</v>
      </c>
      <c r="AC30" s="21" t="s">
        <v>37</v>
      </c>
      <c r="AD30" s="21" t="s">
        <v>38</v>
      </c>
      <c r="AE30" s="21" t="s">
        <v>37</v>
      </c>
      <c r="AF30" s="21" t="s">
        <v>37</v>
      </c>
      <c r="AG30" s="22" t="s">
        <v>37</v>
      </c>
      <c r="AH30" s="46">
        <f t="shared" si="1"/>
        <v>0</v>
      </c>
      <c r="AI30" s="46">
        <f t="shared" si="2"/>
        <v>0.5</v>
      </c>
      <c r="AJ30" s="46">
        <f>COUNTIF(C30:AG30,"L")</f>
        <v>21</v>
      </c>
      <c r="AK30" s="47">
        <f t="shared" si="4"/>
        <v>9.5</v>
      </c>
      <c r="AL30" s="48">
        <f t="shared" si="5"/>
        <v>21.5</v>
      </c>
      <c r="AM30" s="49">
        <v>0</v>
      </c>
      <c r="AN30" s="47">
        <v>0</v>
      </c>
      <c r="AO30" s="50">
        <f t="shared" si="0"/>
        <v>0</v>
      </c>
      <c r="AP30" s="51">
        <f t="shared" si="6"/>
        <v>21.5</v>
      </c>
      <c r="AQ30" s="48">
        <v>0</v>
      </c>
      <c r="AR30" s="48">
        <f t="shared" si="7"/>
        <v>9.5</v>
      </c>
      <c r="AS30" s="52">
        <f t="shared" si="8"/>
        <v>23441.935483870966</v>
      </c>
      <c r="AT30" s="52">
        <v>3000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f t="shared" si="9"/>
        <v>26441.935483870966</v>
      </c>
      <c r="BA30" s="52">
        <v>33800</v>
      </c>
      <c r="BB30" s="53">
        <f>BA30-AZ30+AY30+AX30</f>
        <v>7358.064516129034</v>
      </c>
      <c r="BC30" s="54" t="s">
        <v>46</v>
      </c>
    </row>
    <row r="31" spans="1:55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  <c r="M31">
        <v>13</v>
      </c>
      <c r="N31">
        <v>14</v>
      </c>
      <c r="O31">
        <v>15</v>
      </c>
      <c r="P31">
        <v>16</v>
      </c>
      <c r="Q31">
        <v>17</v>
      </c>
      <c r="R31">
        <v>18</v>
      </c>
      <c r="S31">
        <v>19</v>
      </c>
      <c r="T31">
        <v>20</v>
      </c>
      <c r="U31">
        <v>21</v>
      </c>
      <c r="V31">
        <v>22</v>
      </c>
      <c r="W31">
        <v>23</v>
      </c>
      <c r="X31">
        <v>24</v>
      </c>
      <c r="Y31">
        <v>25</v>
      </c>
      <c r="Z31">
        <v>26</v>
      </c>
      <c r="AA31">
        <v>27</v>
      </c>
      <c r="AB31">
        <v>28</v>
      </c>
      <c r="AC31">
        <v>29</v>
      </c>
      <c r="AD31">
        <v>30</v>
      </c>
      <c r="AE31">
        <v>31</v>
      </c>
      <c r="AF31">
        <v>32</v>
      </c>
      <c r="AG31">
        <v>33</v>
      </c>
      <c r="AH31">
        <v>34</v>
      </c>
      <c r="AI31">
        <v>35</v>
      </c>
      <c r="AJ31">
        <v>36</v>
      </c>
      <c r="AK31">
        <v>37</v>
      </c>
      <c r="AL31">
        <v>38</v>
      </c>
      <c r="AM31">
        <v>39</v>
      </c>
      <c r="AN31">
        <v>40</v>
      </c>
      <c r="AO31">
        <v>41</v>
      </c>
      <c r="AP31">
        <v>42</v>
      </c>
      <c r="AQ31">
        <v>43</v>
      </c>
      <c r="AR31">
        <v>44</v>
      </c>
      <c r="AS31">
        <v>45</v>
      </c>
      <c r="AT31">
        <v>46</v>
      </c>
      <c r="AU31">
        <v>47</v>
      </c>
      <c r="AV31">
        <v>48</v>
      </c>
      <c r="AW31">
        <v>49</v>
      </c>
      <c r="AX31">
        <v>50</v>
      </c>
      <c r="AY31">
        <v>51</v>
      </c>
      <c r="AZ31">
        <v>52</v>
      </c>
      <c r="BA31">
        <v>53</v>
      </c>
      <c r="BB31">
        <v>54</v>
      </c>
      <c r="BC31">
        <v>55</v>
      </c>
    </row>
  </sheetData>
  <mergeCells count="1">
    <mergeCell ref="A1:B1"/>
  </mergeCells>
  <conditionalFormatting sqref="E18:AG30 C5:D30">
    <cfRule type="cellIs" dxfId="52" priority="48" operator="equal">
      <formula>"HD"</formula>
    </cfRule>
    <cfRule type="cellIs" dxfId="51" priority="49" operator="equal">
      <formula>"SL"</formula>
    </cfRule>
    <cfRule type="cellIs" dxfId="50" priority="50" operator="equal">
      <formula>"L"</formula>
    </cfRule>
  </conditionalFormatting>
  <conditionalFormatting sqref="J5:K17 Q5:R17 X5:Y17 N5:N17 U5 AB5:AB17 U11:U15 U8:U9">
    <cfRule type="cellIs" dxfId="49" priority="51" operator="equal">
      <formula>"HD"</formula>
    </cfRule>
    <cfRule type="cellIs" dxfId="48" priority="52" operator="equal">
      <formula>"SL"</formula>
    </cfRule>
    <cfRule type="cellIs" dxfId="47" priority="53" operator="equal">
      <formula>"L"</formula>
    </cfRule>
  </conditionalFormatting>
  <conditionalFormatting sqref="AT5:AZ25 AT26:AT30 AV26:AZ30 AS5:AS30 AU27:AU30">
    <cfRule type="cellIs" dxfId="46" priority="47" operator="greaterThan">
      <formula>0</formula>
    </cfRule>
  </conditionalFormatting>
  <conditionalFormatting sqref="N18">
    <cfRule type="cellIs" dxfId="45" priority="44" operator="equal">
      <formula>"HD"</formula>
    </cfRule>
    <cfRule type="cellIs" dxfId="44" priority="45" operator="equal">
      <formula>"SL"</formula>
    </cfRule>
    <cfRule type="cellIs" dxfId="43" priority="46" operator="equal">
      <formula>"L"</formula>
    </cfRule>
  </conditionalFormatting>
  <conditionalFormatting sqref="AE5:AF17">
    <cfRule type="cellIs" dxfId="42" priority="41" operator="equal">
      <formula>"HD"</formula>
    </cfRule>
    <cfRule type="cellIs" dxfId="41" priority="42" operator="equal">
      <formula>"SL"</formula>
    </cfRule>
    <cfRule type="cellIs" dxfId="40" priority="43" operator="equal">
      <formula>"L"</formula>
    </cfRule>
  </conditionalFormatting>
  <conditionalFormatting sqref="G5:G17">
    <cfRule type="cellIs" dxfId="39" priority="38" operator="equal">
      <formula>"HD"</formula>
    </cfRule>
    <cfRule type="cellIs" dxfId="38" priority="39" operator="equal">
      <formula>"SL"</formula>
    </cfRule>
    <cfRule type="cellIs" dxfId="37" priority="40" operator="equal">
      <formula>"L"</formula>
    </cfRule>
  </conditionalFormatting>
  <conditionalFormatting sqref="H5:I17">
    <cfRule type="cellIs" dxfId="36" priority="35" operator="equal">
      <formula>"HD"</formula>
    </cfRule>
    <cfRule type="cellIs" dxfId="35" priority="36" operator="equal">
      <formula>"SL"</formula>
    </cfRule>
    <cfRule type="cellIs" dxfId="34" priority="37" operator="equal">
      <formula>"L"</formula>
    </cfRule>
  </conditionalFormatting>
  <conditionalFormatting sqref="O5:P17">
    <cfRule type="cellIs" dxfId="33" priority="32" operator="equal">
      <formula>"HD"</formula>
    </cfRule>
    <cfRule type="cellIs" dxfId="32" priority="33" operator="equal">
      <formula>"SL"</formula>
    </cfRule>
    <cfRule type="cellIs" dxfId="31" priority="34" operator="equal">
      <formula>"L"</formula>
    </cfRule>
  </conditionalFormatting>
  <conditionalFormatting sqref="V5:W17">
    <cfRule type="cellIs" dxfId="30" priority="29" operator="equal">
      <formula>"HD"</formula>
    </cfRule>
    <cfRule type="cellIs" dxfId="29" priority="30" operator="equal">
      <formula>"SL"</formula>
    </cfRule>
    <cfRule type="cellIs" dxfId="28" priority="31" operator="equal">
      <formula>"L"</formula>
    </cfRule>
  </conditionalFormatting>
  <conditionalFormatting sqref="AC5:AD17">
    <cfRule type="cellIs" dxfId="27" priority="26" operator="equal">
      <formula>"HD"</formula>
    </cfRule>
    <cfRule type="cellIs" dxfId="26" priority="27" operator="equal">
      <formula>"SL"</formula>
    </cfRule>
    <cfRule type="cellIs" dxfId="25" priority="28" operator="equal">
      <formula>"L"</formula>
    </cfRule>
  </conditionalFormatting>
  <conditionalFormatting sqref="AU26">
    <cfRule type="cellIs" dxfId="24" priority="25" operator="greaterThan">
      <formula>0</formula>
    </cfRule>
  </conditionalFormatting>
  <conditionalFormatting sqref="L5:M17">
    <cfRule type="cellIs" dxfId="23" priority="22" operator="equal">
      <formula>"HD"</formula>
    </cfRule>
    <cfRule type="cellIs" dxfId="22" priority="23" operator="equal">
      <formula>"SL"</formula>
    </cfRule>
    <cfRule type="cellIs" dxfId="21" priority="24" operator="equal">
      <formula>"L"</formula>
    </cfRule>
  </conditionalFormatting>
  <conditionalFormatting sqref="E5:F17">
    <cfRule type="cellIs" dxfId="20" priority="19" operator="equal">
      <formula>"HD"</formula>
    </cfRule>
    <cfRule type="cellIs" dxfId="19" priority="20" operator="equal">
      <formula>"SL"</formula>
    </cfRule>
    <cfRule type="cellIs" dxfId="18" priority="21" operator="equal">
      <formula>"L"</formula>
    </cfRule>
  </conditionalFormatting>
  <conditionalFormatting sqref="S5:T17">
    <cfRule type="cellIs" dxfId="17" priority="16" operator="equal">
      <formula>"HD"</formula>
    </cfRule>
    <cfRule type="cellIs" dxfId="16" priority="17" operator="equal">
      <formula>"SL"</formula>
    </cfRule>
    <cfRule type="cellIs" dxfId="15" priority="18" operator="equal">
      <formula>"L"</formula>
    </cfRule>
  </conditionalFormatting>
  <conditionalFormatting sqref="Z5:AA17">
    <cfRule type="cellIs" dxfId="14" priority="13" operator="equal">
      <formula>"HD"</formula>
    </cfRule>
    <cfRule type="cellIs" dxfId="13" priority="14" operator="equal">
      <formula>"SL"</formula>
    </cfRule>
    <cfRule type="cellIs" dxfId="12" priority="15" operator="equal">
      <formula>"L"</formula>
    </cfRule>
  </conditionalFormatting>
  <conditionalFormatting sqref="AG5:AG17">
    <cfRule type="cellIs" dxfId="11" priority="10" operator="equal">
      <formula>"HD"</formula>
    </cfRule>
    <cfRule type="cellIs" dxfId="10" priority="11" operator="equal">
      <formula>"SL"</formula>
    </cfRule>
    <cfRule type="cellIs" dxfId="9" priority="12" operator="equal">
      <formula>"L"</formula>
    </cfRule>
  </conditionalFormatting>
  <conditionalFormatting sqref="U6:U7">
    <cfRule type="cellIs" dxfId="8" priority="7" operator="equal">
      <formula>"HD"</formula>
    </cfRule>
    <cfRule type="cellIs" dxfId="7" priority="8" operator="equal">
      <formula>"SL"</formula>
    </cfRule>
    <cfRule type="cellIs" dxfId="6" priority="9" operator="equal">
      <formula>"L"</formula>
    </cfRule>
  </conditionalFormatting>
  <conditionalFormatting sqref="U10">
    <cfRule type="cellIs" dxfId="5" priority="4" operator="equal">
      <formula>"HD"</formula>
    </cfRule>
    <cfRule type="cellIs" dxfId="4" priority="5" operator="equal">
      <formula>"SL"</formula>
    </cfRule>
    <cfRule type="cellIs" dxfId="3" priority="6" operator="equal">
      <formula>"L"</formula>
    </cfRule>
  </conditionalFormatting>
  <conditionalFormatting sqref="U16:U17">
    <cfRule type="cellIs" dxfId="2" priority="1" operator="equal">
      <formula>"HD"</formula>
    </cfRule>
    <cfRule type="cellIs" dxfId="1" priority="2" operator="equal">
      <formula>"SL"</formula>
    </cfRule>
    <cfRule type="cellIs" dxfId="0" priority="3" operator="equal">
      <formula>"L"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70D0-7E65-4F87-8439-DB284C8B334C}">
  <dimension ref="A1:AI27"/>
  <sheetViews>
    <sheetView workbookViewId="0">
      <selection activeCell="M2" sqref="M2"/>
    </sheetView>
  </sheetViews>
  <sheetFormatPr defaultRowHeight="15"/>
  <cols>
    <col min="1" max="1" width="14.85546875" customWidth="1"/>
    <col min="2" max="2" width="25.42578125" customWidth="1"/>
    <col min="3" max="22" width="11.5703125" customWidth="1"/>
    <col min="23" max="23" width="24.42578125" customWidth="1"/>
    <col min="24" max="39" width="11.5703125" customWidth="1"/>
  </cols>
  <sheetData>
    <row r="1" spans="1:35" ht="23.25">
      <c r="A1" s="6" t="s">
        <v>1</v>
      </c>
      <c r="B1" s="6" t="str">
        <f>VLOOKUP(A1,Attendence!A:BC,2,0)</f>
        <v>Employee Name</v>
      </c>
      <c r="C1" t="s">
        <v>98</v>
      </c>
      <c r="D1" t="s">
        <v>99</v>
      </c>
      <c r="E1" t="s">
        <v>24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17</v>
      </c>
      <c r="AF1" t="s">
        <v>18</v>
      </c>
      <c r="AG1" t="s">
        <v>125</v>
      </c>
      <c r="AH1" t="s">
        <v>126</v>
      </c>
      <c r="AI1" t="s">
        <v>127</v>
      </c>
    </row>
    <row r="2" spans="1:35" ht="23.25">
      <c r="A2" s="19" t="s">
        <v>35</v>
      </c>
      <c r="B2" s="6" t="str">
        <f>VLOOKUP(A2,Attendence!A:BC,2,0)</f>
        <v xml:space="preserve"> Nilesh Patel (Remote)</v>
      </c>
      <c r="C2" s="56">
        <v>45315</v>
      </c>
      <c r="D2" s="57">
        <v>42410</v>
      </c>
      <c r="E2" t="s">
        <v>43</v>
      </c>
      <c r="F2" t="s">
        <v>128</v>
      </c>
      <c r="G2">
        <v>3342342343</v>
      </c>
      <c r="H2" t="s">
        <v>129</v>
      </c>
      <c r="I2" t="s">
        <v>130</v>
      </c>
      <c r="J2" t="s">
        <v>131</v>
      </c>
      <c r="K2" t="s">
        <v>132</v>
      </c>
      <c r="L2">
        <v>31</v>
      </c>
      <c r="M2">
        <v>29</v>
      </c>
      <c r="N2">
        <v>50000</v>
      </c>
      <c r="O2">
        <v>17000</v>
      </c>
      <c r="P2">
        <v>6009</v>
      </c>
      <c r="Q2">
        <v>3000</v>
      </c>
      <c r="R2">
        <v>4433</v>
      </c>
      <c r="S2">
        <v>6443</v>
      </c>
      <c r="T2">
        <v>0</v>
      </c>
      <c r="U2">
        <v>4800</v>
      </c>
      <c r="V2" t="s">
        <v>133</v>
      </c>
      <c r="W2">
        <v>2</v>
      </c>
      <c r="X2">
        <v>1</v>
      </c>
      <c r="Y2">
        <v>0</v>
      </c>
      <c r="Z2">
        <v>1</v>
      </c>
      <c r="AA2">
        <v>200</v>
      </c>
      <c r="AB2">
        <v>1000</v>
      </c>
      <c r="AC2">
        <v>0</v>
      </c>
      <c r="AD2">
        <v>5000</v>
      </c>
      <c r="AE2">
        <v>0</v>
      </c>
      <c r="AG2">
        <v>6200</v>
      </c>
      <c r="AH2" t="s">
        <v>134</v>
      </c>
      <c r="AI2" t="s">
        <v>135</v>
      </c>
    </row>
    <row r="3" spans="1:35" ht="23.25">
      <c r="A3" s="19" t="s">
        <v>44</v>
      </c>
      <c r="B3" s="6" t="str">
        <f>VLOOKUP(A3,Attendence!A:BC,2,0)</f>
        <v xml:space="preserve"> Mandeep Singh</v>
      </c>
      <c r="C3" s="56">
        <v>45315</v>
      </c>
      <c r="D3" s="57">
        <v>43633</v>
      </c>
      <c r="E3" t="s">
        <v>46</v>
      </c>
      <c r="F3" t="s">
        <v>136</v>
      </c>
      <c r="G3">
        <v>5456565656</v>
      </c>
      <c r="H3" t="s">
        <v>137</v>
      </c>
      <c r="I3" t="s">
        <v>138</v>
      </c>
      <c r="J3" t="s">
        <v>131</v>
      </c>
      <c r="K3" t="s">
        <v>139</v>
      </c>
      <c r="L3">
        <v>31</v>
      </c>
      <c r="M3">
        <v>30</v>
      </c>
      <c r="N3">
        <v>46000</v>
      </c>
      <c r="O3">
        <v>16000</v>
      </c>
      <c r="P3">
        <v>6009</v>
      </c>
      <c r="Q3">
        <v>2500</v>
      </c>
      <c r="R3">
        <v>4566</v>
      </c>
      <c r="S3">
        <v>45777</v>
      </c>
      <c r="T3">
        <v>500</v>
      </c>
      <c r="U3">
        <v>4350</v>
      </c>
      <c r="V3" t="s">
        <v>140</v>
      </c>
      <c r="W3">
        <v>1</v>
      </c>
      <c r="X3">
        <v>1</v>
      </c>
      <c r="Y3">
        <v>0</v>
      </c>
      <c r="Z3">
        <v>0</v>
      </c>
      <c r="AA3">
        <v>200</v>
      </c>
      <c r="AB3">
        <v>500</v>
      </c>
      <c r="AC3">
        <v>0</v>
      </c>
      <c r="AD3">
        <v>1500</v>
      </c>
      <c r="AE3">
        <v>0</v>
      </c>
      <c r="AG3">
        <v>2200</v>
      </c>
    </row>
    <row r="4" spans="1:35" ht="23.25">
      <c r="A4" s="19" t="s">
        <v>47</v>
      </c>
      <c r="B4" s="6" t="str">
        <f>VLOOKUP(A4,Attendence!A:BC,2,0)</f>
        <v xml:space="preserve"> Sakshi Salhotra</v>
      </c>
      <c r="C4" s="56">
        <v>45315</v>
      </c>
      <c r="D4" s="57">
        <v>43871</v>
      </c>
      <c r="E4" t="s">
        <v>46</v>
      </c>
      <c r="F4" t="s">
        <v>141</v>
      </c>
      <c r="G4">
        <v>7887878787</v>
      </c>
      <c r="H4" t="s">
        <v>142</v>
      </c>
      <c r="I4" t="s">
        <v>143</v>
      </c>
      <c r="J4" t="s">
        <v>144</v>
      </c>
      <c r="K4" t="s">
        <v>139</v>
      </c>
      <c r="L4">
        <v>31</v>
      </c>
      <c r="M4">
        <v>31</v>
      </c>
      <c r="N4">
        <v>35000</v>
      </c>
      <c r="O4">
        <v>15500</v>
      </c>
      <c r="P4">
        <v>6009</v>
      </c>
      <c r="Q4">
        <v>2000</v>
      </c>
      <c r="R4">
        <v>6654</v>
      </c>
      <c r="S4">
        <v>7888</v>
      </c>
      <c r="T4">
        <v>0</v>
      </c>
      <c r="U4">
        <v>35000</v>
      </c>
      <c r="V4" t="s">
        <v>145</v>
      </c>
      <c r="W4">
        <v>0</v>
      </c>
      <c r="X4">
        <v>1</v>
      </c>
      <c r="Y4">
        <v>1</v>
      </c>
      <c r="Z4">
        <v>0</v>
      </c>
      <c r="AA4">
        <v>200</v>
      </c>
      <c r="AB4">
        <v>0</v>
      </c>
      <c r="AC4">
        <v>0</v>
      </c>
      <c r="AD4">
        <v>0</v>
      </c>
      <c r="AE4">
        <v>0</v>
      </c>
      <c r="AG4">
        <v>200</v>
      </c>
    </row>
    <row r="5" spans="1:35" ht="23.25">
      <c r="A5" s="19" t="s">
        <v>49</v>
      </c>
      <c r="B5" s="6" t="str">
        <f>VLOOKUP(A5,Attendence!A:BC,2,0)</f>
        <v xml:space="preserve"> Jasjeet Khipal</v>
      </c>
      <c r="C5" s="56">
        <v>45315</v>
      </c>
      <c r="D5" s="57">
        <v>43871</v>
      </c>
      <c r="E5" t="s">
        <v>46</v>
      </c>
      <c r="F5" t="s">
        <v>141</v>
      </c>
      <c r="G5">
        <v>7887878787</v>
      </c>
      <c r="H5" t="s">
        <v>142</v>
      </c>
      <c r="I5" t="s">
        <v>143</v>
      </c>
      <c r="J5" t="s">
        <v>144</v>
      </c>
      <c r="K5" t="s">
        <v>139</v>
      </c>
      <c r="L5">
        <v>31</v>
      </c>
      <c r="M5">
        <v>31</v>
      </c>
      <c r="N5">
        <v>35000</v>
      </c>
      <c r="O5">
        <v>15500</v>
      </c>
      <c r="P5">
        <v>6009</v>
      </c>
      <c r="Q5">
        <v>2000</v>
      </c>
      <c r="R5">
        <v>6654</v>
      </c>
      <c r="S5">
        <v>7888</v>
      </c>
      <c r="T5">
        <v>0</v>
      </c>
      <c r="U5">
        <v>35000</v>
      </c>
      <c r="V5" t="s">
        <v>145</v>
      </c>
      <c r="W5">
        <v>0</v>
      </c>
      <c r="X5">
        <v>1</v>
      </c>
      <c r="Y5">
        <v>1</v>
      </c>
      <c r="Z5">
        <v>0</v>
      </c>
      <c r="AA5">
        <v>200</v>
      </c>
      <c r="AB5">
        <v>0</v>
      </c>
      <c r="AC5">
        <v>0</v>
      </c>
      <c r="AD5">
        <v>0</v>
      </c>
      <c r="AE5">
        <v>0</v>
      </c>
      <c r="AG5">
        <v>200</v>
      </c>
    </row>
    <row r="6" spans="1:35" ht="23.25">
      <c r="A6" s="19" t="s">
        <v>52</v>
      </c>
      <c r="B6" s="6" t="str">
        <f>VLOOKUP(A6,Attendence!A:BC,2,0)</f>
        <v xml:space="preserve"> Shubham Verma (Remote)</v>
      </c>
      <c r="C6" s="56">
        <v>45315</v>
      </c>
      <c r="D6" s="57">
        <v>42410</v>
      </c>
      <c r="E6" t="s">
        <v>43</v>
      </c>
      <c r="F6" t="s">
        <v>128</v>
      </c>
      <c r="G6">
        <v>3342342343</v>
      </c>
      <c r="H6" t="s">
        <v>129</v>
      </c>
      <c r="I6" t="s">
        <v>130</v>
      </c>
      <c r="J6" t="s">
        <v>131</v>
      </c>
      <c r="K6" t="s">
        <v>132</v>
      </c>
      <c r="L6">
        <v>31</v>
      </c>
      <c r="M6">
        <v>29</v>
      </c>
      <c r="N6">
        <v>50000</v>
      </c>
      <c r="O6">
        <v>17000</v>
      </c>
      <c r="P6">
        <v>6009</v>
      </c>
      <c r="Q6">
        <v>3000</v>
      </c>
      <c r="R6">
        <v>4433</v>
      </c>
      <c r="S6">
        <v>6443</v>
      </c>
      <c r="T6">
        <v>0</v>
      </c>
      <c r="U6">
        <v>4800</v>
      </c>
      <c r="V6" t="s">
        <v>133</v>
      </c>
      <c r="W6">
        <v>2</v>
      </c>
      <c r="X6">
        <v>1</v>
      </c>
      <c r="Y6">
        <v>0</v>
      </c>
      <c r="Z6">
        <v>1</v>
      </c>
      <c r="AA6">
        <v>200</v>
      </c>
      <c r="AB6">
        <v>1000</v>
      </c>
      <c r="AC6">
        <v>0</v>
      </c>
      <c r="AD6">
        <v>5000</v>
      </c>
      <c r="AE6">
        <v>0</v>
      </c>
      <c r="AG6">
        <v>6200</v>
      </c>
    </row>
    <row r="7" spans="1:35" ht="23.25">
      <c r="A7" s="19" t="s">
        <v>54</v>
      </c>
      <c r="B7" s="6" t="str">
        <f>VLOOKUP(A7,Attendence!A:BC,2,0)</f>
        <v xml:space="preserve"> Vinay Kumar</v>
      </c>
      <c r="C7" s="56">
        <v>45315</v>
      </c>
      <c r="D7" s="57">
        <v>43633</v>
      </c>
      <c r="E7" t="s">
        <v>46</v>
      </c>
      <c r="F7" t="s">
        <v>136</v>
      </c>
      <c r="G7">
        <v>5456565656</v>
      </c>
      <c r="H7" t="s">
        <v>137</v>
      </c>
      <c r="I7" t="s">
        <v>138</v>
      </c>
      <c r="J7" t="s">
        <v>131</v>
      </c>
      <c r="K7" t="s">
        <v>139</v>
      </c>
      <c r="L7">
        <v>31</v>
      </c>
      <c r="M7">
        <v>30</v>
      </c>
      <c r="N7">
        <v>46000</v>
      </c>
      <c r="O7">
        <v>16000</v>
      </c>
      <c r="P7">
        <v>6009</v>
      </c>
      <c r="Q7">
        <v>2500</v>
      </c>
      <c r="R7">
        <v>4566</v>
      </c>
      <c r="S7">
        <v>45777</v>
      </c>
      <c r="T7">
        <v>500</v>
      </c>
      <c r="U7">
        <v>4350</v>
      </c>
      <c r="V7" t="s">
        <v>140</v>
      </c>
      <c r="W7">
        <v>1</v>
      </c>
      <c r="X7">
        <v>1</v>
      </c>
      <c r="Y7">
        <v>0</v>
      </c>
      <c r="Z7">
        <v>0</v>
      </c>
      <c r="AA7">
        <v>200</v>
      </c>
      <c r="AB7">
        <v>500</v>
      </c>
      <c r="AC7">
        <v>0</v>
      </c>
      <c r="AD7">
        <v>1500</v>
      </c>
      <c r="AE7">
        <v>0</v>
      </c>
      <c r="AG7">
        <v>2200</v>
      </c>
    </row>
    <row r="8" spans="1:35" ht="23.25">
      <c r="A8" s="19" t="s">
        <v>56</v>
      </c>
      <c r="B8" s="6" t="str">
        <f>VLOOKUP(A8,Attendence!A:BC,2,0)</f>
        <v xml:space="preserve">Shaik Shabbir Ali </v>
      </c>
      <c r="C8" s="56">
        <v>45315</v>
      </c>
      <c r="D8" s="57">
        <v>43871</v>
      </c>
      <c r="E8" t="s">
        <v>46</v>
      </c>
      <c r="F8" t="s">
        <v>141</v>
      </c>
      <c r="G8">
        <v>7887878787</v>
      </c>
      <c r="H8" t="s">
        <v>142</v>
      </c>
      <c r="I8" t="s">
        <v>143</v>
      </c>
      <c r="J8" t="s">
        <v>144</v>
      </c>
      <c r="K8" t="s">
        <v>139</v>
      </c>
      <c r="L8">
        <v>31</v>
      </c>
      <c r="M8">
        <v>31</v>
      </c>
      <c r="N8">
        <v>35000</v>
      </c>
      <c r="O8">
        <v>15500</v>
      </c>
      <c r="P8">
        <v>6009</v>
      </c>
      <c r="Q8">
        <v>2000</v>
      </c>
      <c r="R8">
        <v>6654</v>
      </c>
      <c r="S8">
        <v>7888</v>
      </c>
      <c r="T8">
        <v>0</v>
      </c>
      <c r="U8">
        <v>35000</v>
      </c>
      <c r="V8" t="s">
        <v>145</v>
      </c>
      <c r="W8">
        <v>0</v>
      </c>
      <c r="X8">
        <v>1</v>
      </c>
      <c r="Y8">
        <v>1</v>
      </c>
      <c r="Z8">
        <v>0</v>
      </c>
      <c r="AA8">
        <v>200</v>
      </c>
      <c r="AB8">
        <v>0</v>
      </c>
      <c r="AC8">
        <v>0</v>
      </c>
      <c r="AD8">
        <v>0</v>
      </c>
      <c r="AE8">
        <v>0</v>
      </c>
      <c r="AG8">
        <v>200</v>
      </c>
    </row>
    <row r="9" spans="1:35" ht="23.25">
      <c r="A9" s="19" t="s">
        <v>58</v>
      </c>
      <c r="B9" s="6" t="str">
        <f>VLOOKUP(A9,Attendence!A:BC,2,0)</f>
        <v>Jaskirat Singh</v>
      </c>
      <c r="C9" s="56">
        <v>45315</v>
      </c>
      <c r="D9" s="57">
        <v>43871</v>
      </c>
      <c r="E9" t="s">
        <v>46</v>
      </c>
      <c r="F9" t="s">
        <v>141</v>
      </c>
      <c r="G9">
        <v>7887878787</v>
      </c>
      <c r="H9" t="s">
        <v>142</v>
      </c>
      <c r="I9" t="s">
        <v>143</v>
      </c>
      <c r="J9" t="s">
        <v>144</v>
      </c>
      <c r="K9" t="s">
        <v>139</v>
      </c>
      <c r="L9">
        <v>31</v>
      </c>
      <c r="M9">
        <v>31</v>
      </c>
      <c r="N9">
        <v>35000</v>
      </c>
      <c r="O9">
        <v>15500</v>
      </c>
      <c r="P9">
        <v>6009</v>
      </c>
      <c r="Q9">
        <v>2000</v>
      </c>
      <c r="R9">
        <v>6654</v>
      </c>
      <c r="S9">
        <v>7888</v>
      </c>
      <c r="T9">
        <v>0</v>
      </c>
      <c r="U9">
        <v>35000</v>
      </c>
      <c r="V9" t="s">
        <v>145</v>
      </c>
      <c r="W9">
        <v>0</v>
      </c>
      <c r="X9">
        <v>1</v>
      </c>
      <c r="Y9">
        <v>1</v>
      </c>
      <c r="Z9">
        <v>0</v>
      </c>
      <c r="AA9">
        <v>200</v>
      </c>
      <c r="AB9">
        <v>0</v>
      </c>
      <c r="AC9">
        <v>0</v>
      </c>
      <c r="AD9">
        <v>0</v>
      </c>
      <c r="AE9">
        <v>0</v>
      </c>
      <c r="AG9">
        <v>200</v>
      </c>
    </row>
    <row r="10" spans="1:35" ht="23.25">
      <c r="A10" s="19" t="s">
        <v>60</v>
      </c>
      <c r="B10" s="6" t="str">
        <f>VLOOKUP(A10,Attendence!A:BC,2,0)</f>
        <v>Kavita Rani</v>
      </c>
      <c r="C10" s="56">
        <v>45315</v>
      </c>
      <c r="D10" s="57">
        <v>42410</v>
      </c>
      <c r="E10" t="s">
        <v>43</v>
      </c>
      <c r="F10" t="s">
        <v>128</v>
      </c>
      <c r="G10">
        <v>3342342343</v>
      </c>
      <c r="H10" t="s">
        <v>129</v>
      </c>
      <c r="I10" t="s">
        <v>130</v>
      </c>
      <c r="J10" t="s">
        <v>131</v>
      </c>
      <c r="K10" t="s">
        <v>132</v>
      </c>
      <c r="L10">
        <v>31</v>
      </c>
      <c r="M10">
        <v>29</v>
      </c>
      <c r="N10">
        <v>50000</v>
      </c>
      <c r="O10">
        <v>17000</v>
      </c>
      <c r="P10">
        <v>6009</v>
      </c>
      <c r="Q10">
        <v>3000</v>
      </c>
      <c r="R10">
        <v>4433</v>
      </c>
      <c r="S10">
        <v>6443</v>
      </c>
      <c r="T10">
        <v>0</v>
      </c>
      <c r="U10">
        <v>4800</v>
      </c>
      <c r="V10" t="s">
        <v>133</v>
      </c>
      <c r="W10">
        <v>2</v>
      </c>
      <c r="X10">
        <v>1</v>
      </c>
      <c r="Y10">
        <v>0</v>
      </c>
      <c r="Z10">
        <v>1</v>
      </c>
      <c r="AA10">
        <v>200</v>
      </c>
      <c r="AB10">
        <v>1000</v>
      </c>
      <c r="AC10">
        <v>0</v>
      </c>
      <c r="AD10">
        <v>5000</v>
      </c>
      <c r="AE10">
        <v>0</v>
      </c>
      <c r="AG10">
        <v>6200</v>
      </c>
    </row>
    <row r="11" spans="1:35" ht="23.25">
      <c r="A11" s="35" t="s">
        <v>62</v>
      </c>
      <c r="B11" s="6" t="str">
        <f>VLOOKUP(A11,Attendence!A:BC,2,0)</f>
        <v>Balwinder kumar</v>
      </c>
      <c r="C11" s="56">
        <v>45315</v>
      </c>
      <c r="D11" s="57">
        <v>43633</v>
      </c>
      <c r="E11" t="s">
        <v>46</v>
      </c>
      <c r="F11" t="s">
        <v>136</v>
      </c>
      <c r="G11">
        <v>5456565656</v>
      </c>
      <c r="H11" t="s">
        <v>137</v>
      </c>
      <c r="I11" t="s">
        <v>138</v>
      </c>
      <c r="J11" t="s">
        <v>131</v>
      </c>
      <c r="K11" t="s">
        <v>139</v>
      </c>
      <c r="L11">
        <v>31</v>
      </c>
      <c r="M11">
        <v>30</v>
      </c>
      <c r="N11">
        <v>46000</v>
      </c>
      <c r="O11">
        <v>16000</v>
      </c>
      <c r="P11">
        <v>6009</v>
      </c>
      <c r="Q11">
        <v>2500</v>
      </c>
      <c r="R11">
        <v>4566</v>
      </c>
      <c r="S11">
        <v>45777</v>
      </c>
      <c r="T11">
        <v>500</v>
      </c>
      <c r="U11">
        <v>4350</v>
      </c>
      <c r="V11" t="s">
        <v>140</v>
      </c>
      <c r="W11">
        <v>1</v>
      </c>
      <c r="X11">
        <v>1</v>
      </c>
      <c r="Y11">
        <v>0</v>
      </c>
      <c r="Z11">
        <v>0</v>
      </c>
      <c r="AA11">
        <v>200</v>
      </c>
      <c r="AB11">
        <v>500</v>
      </c>
      <c r="AC11">
        <v>0</v>
      </c>
      <c r="AD11">
        <v>1500</v>
      </c>
      <c r="AE11">
        <v>0</v>
      </c>
      <c r="AG11">
        <v>2200</v>
      </c>
    </row>
    <row r="12" spans="1:35" ht="23.25">
      <c r="A12" s="35" t="s">
        <v>64</v>
      </c>
      <c r="B12" s="6" t="str">
        <f>VLOOKUP(A12,Attendence!A:BC,2,0)</f>
        <v>Utkarsh Rathi</v>
      </c>
      <c r="C12" s="56">
        <v>45315</v>
      </c>
      <c r="D12" s="57">
        <v>43871</v>
      </c>
      <c r="E12" t="s">
        <v>46</v>
      </c>
      <c r="F12" t="s">
        <v>141</v>
      </c>
      <c r="G12">
        <v>7887878787</v>
      </c>
      <c r="H12" t="s">
        <v>142</v>
      </c>
      <c r="I12" t="s">
        <v>143</v>
      </c>
      <c r="J12" t="s">
        <v>144</v>
      </c>
      <c r="K12" t="s">
        <v>139</v>
      </c>
      <c r="L12">
        <v>31</v>
      </c>
      <c r="M12">
        <v>31</v>
      </c>
      <c r="N12">
        <v>35000</v>
      </c>
      <c r="O12">
        <v>15500</v>
      </c>
      <c r="P12">
        <v>6009</v>
      </c>
      <c r="Q12">
        <v>2000</v>
      </c>
      <c r="R12">
        <v>6654</v>
      </c>
      <c r="S12">
        <v>7888</v>
      </c>
      <c r="T12">
        <v>0</v>
      </c>
      <c r="U12">
        <v>35000</v>
      </c>
      <c r="V12" t="s">
        <v>145</v>
      </c>
      <c r="W12">
        <v>0</v>
      </c>
      <c r="X12">
        <v>1</v>
      </c>
      <c r="Y12">
        <v>1</v>
      </c>
      <c r="Z12">
        <v>0</v>
      </c>
      <c r="AA12">
        <v>200</v>
      </c>
      <c r="AB12">
        <v>0</v>
      </c>
      <c r="AC12">
        <v>0</v>
      </c>
      <c r="AD12">
        <v>0</v>
      </c>
      <c r="AE12">
        <v>0</v>
      </c>
      <c r="AG12">
        <v>200</v>
      </c>
    </row>
    <row r="13" spans="1:35" ht="23.25">
      <c r="A13" s="19" t="s">
        <v>66</v>
      </c>
      <c r="B13" s="6" t="str">
        <f>VLOOKUP(A13,Attendence!A:BC,2,0)</f>
        <v>Syed Imtiyaz</v>
      </c>
      <c r="C13" s="56">
        <v>45315</v>
      </c>
      <c r="D13" s="57">
        <v>43871</v>
      </c>
      <c r="E13" t="s">
        <v>46</v>
      </c>
      <c r="F13" t="s">
        <v>141</v>
      </c>
      <c r="G13">
        <v>7887878787</v>
      </c>
      <c r="H13" t="s">
        <v>142</v>
      </c>
      <c r="I13" t="s">
        <v>143</v>
      </c>
      <c r="J13" t="s">
        <v>144</v>
      </c>
      <c r="K13" t="s">
        <v>139</v>
      </c>
      <c r="L13">
        <v>31</v>
      </c>
      <c r="M13">
        <v>31</v>
      </c>
      <c r="N13">
        <v>35000</v>
      </c>
      <c r="O13">
        <v>15500</v>
      </c>
      <c r="P13">
        <v>6009</v>
      </c>
      <c r="Q13">
        <v>2000</v>
      </c>
      <c r="R13">
        <v>6654</v>
      </c>
      <c r="S13">
        <v>7888</v>
      </c>
      <c r="T13">
        <v>0</v>
      </c>
      <c r="U13">
        <v>35000</v>
      </c>
      <c r="V13" t="s">
        <v>145</v>
      </c>
      <c r="W13">
        <v>0</v>
      </c>
      <c r="X13">
        <v>1</v>
      </c>
      <c r="Y13">
        <v>1</v>
      </c>
      <c r="Z13">
        <v>0</v>
      </c>
      <c r="AA13">
        <v>200</v>
      </c>
      <c r="AB13">
        <v>0</v>
      </c>
      <c r="AC13">
        <v>0</v>
      </c>
      <c r="AD13">
        <v>0</v>
      </c>
      <c r="AE13">
        <v>0</v>
      </c>
      <c r="AG13">
        <v>200</v>
      </c>
    </row>
    <row r="14" spans="1:35" ht="23.25">
      <c r="A14" s="19" t="s">
        <v>68</v>
      </c>
      <c r="B14" s="6" t="str">
        <f>VLOOKUP(A14,Attendence!A:BC,2,0)</f>
        <v>Akhil Pathania</v>
      </c>
      <c r="C14" s="56">
        <v>45315</v>
      </c>
      <c r="D14" s="57">
        <v>42410</v>
      </c>
      <c r="E14" t="s">
        <v>43</v>
      </c>
      <c r="F14" t="s">
        <v>128</v>
      </c>
      <c r="G14">
        <v>3342342343</v>
      </c>
      <c r="H14" t="s">
        <v>129</v>
      </c>
      <c r="I14" t="s">
        <v>130</v>
      </c>
      <c r="J14" t="s">
        <v>131</v>
      </c>
      <c r="K14" t="s">
        <v>132</v>
      </c>
      <c r="L14">
        <v>31</v>
      </c>
      <c r="M14">
        <v>29</v>
      </c>
      <c r="N14">
        <v>50000</v>
      </c>
      <c r="O14">
        <v>17000</v>
      </c>
      <c r="P14">
        <v>6009</v>
      </c>
      <c r="Q14">
        <v>3000</v>
      </c>
      <c r="R14">
        <v>4433</v>
      </c>
      <c r="S14">
        <v>6443</v>
      </c>
      <c r="T14">
        <v>0</v>
      </c>
      <c r="U14">
        <v>4800</v>
      </c>
      <c r="V14" t="s">
        <v>133</v>
      </c>
      <c r="W14">
        <v>2</v>
      </c>
      <c r="X14">
        <v>1</v>
      </c>
      <c r="Y14">
        <v>0</v>
      </c>
      <c r="Z14">
        <v>1</v>
      </c>
      <c r="AA14">
        <v>200</v>
      </c>
      <c r="AB14">
        <v>1000</v>
      </c>
      <c r="AC14">
        <v>0</v>
      </c>
      <c r="AD14">
        <v>5000</v>
      </c>
      <c r="AE14">
        <v>0</v>
      </c>
      <c r="AG14">
        <v>6200</v>
      </c>
    </row>
    <row r="15" spans="1:35" ht="23.25">
      <c r="A15" s="19" t="s">
        <v>71</v>
      </c>
      <c r="B15" s="6" t="str">
        <f>VLOOKUP(A15,Attendence!A:BC,2,0)</f>
        <v>Bhanu Partap singh</v>
      </c>
      <c r="C15" s="56">
        <v>45315</v>
      </c>
      <c r="D15" s="57">
        <v>43633</v>
      </c>
      <c r="E15" t="s">
        <v>46</v>
      </c>
      <c r="F15" t="s">
        <v>136</v>
      </c>
      <c r="G15">
        <v>5456565656</v>
      </c>
      <c r="H15" t="s">
        <v>137</v>
      </c>
      <c r="I15" t="s">
        <v>138</v>
      </c>
      <c r="J15" t="s">
        <v>131</v>
      </c>
      <c r="K15" t="s">
        <v>139</v>
      </c>
      <c r="L15">
        <v>31</v>
      </c>
      <c r="M15">
        <v>30</v>
      </c>
      <c r="N15">
        <v>46000</v>
      </c>
      <c r="O15">
        <v>16000</v>
      </c>
      <c r="P15">
        <v>6009</v>
      </c>
      <c r="Q15">
        <v>2500</v>
      </c>
      <c r="R15">
        <v>4566</v>
      </c>
      <c r="S15">
        <v>45777</v>
      </c>
      <c r="T15">
        <v>500</v>
      </c>
      <c r="U15">
        <v>4350</v>
      </c>
      <c r="V15" t="s">
        <v>140</v>
      </c>
      <c r="W15">
        <v>1</v>
      </c>
      <c r="X15">
        <v>1</v>
      </c>
      <c r="Y15">
        <v>0</v>
      </c>
      <c r="Z15">
        <v>0</v>
      </c>
      <c r="AA15">
        <v>200</v>
      </c>
      <c r="AB15">
        <v>500</v>
      </c>
      <c r="AC15">
        <v>0</v>
      </c>
      <c r="AD15">
        <v>1500</v>
      </c>
      <c r="AE15">
        <v>0</v>
      </c>
      <c r="AG15">
        <v>2200</v>
      </c>
    </row>
    <row r="16" spans="1:35" ht="23.25">
      <c r="A16" s="19" t="s">
        <v>73</v>
      </c>
      <c r="B16" s="6" t="str">
        <f>VLOOKUP(A16,Attendence!A:BC,2,0)</f>
        <v>Chhavi garg</v>
      </c>
      <c r="C16" s="56">
        <v>45315</v>
      </c>
      <c r="D16" s="57">
        <v>43871</v>
      </c>
      <c r="E16" t="s">
        <v>46</v>
      </c>
      <c r="F16" t="s">
        <v>141</v>
      </c>
      <c r="G16">
        <v>7887878787</v>
      </c>
      <c r="H16" t="s">
        <v>142</v>
      </c>
      <c r="I16" t="s">
        <v>143</v>
      </c>
      <c r="J16" t="s">
        <v>144</v>
      </c>
      <c r="K16" t="s">
        <v>139</v>
      </c>
      <c r="L16">
        <v>31</v>
      </c>
      <c r="M16">
        <v>31</v>
      </c>
      <c r="N16">
        <v>35000</v>
      </c>
      <c r="O16">
        <v>15500</v>
      </c>
      <c r="P16">
        <v>6009</v>
      </c>
      <c r="Q16">
        <v>2000</v>
      </c>
      <c r="R16">
        <v>6654</v>
      </c>
      <c r="S16">
        <v>7888</v>
      </c>
      <c r="T16">
        <v>0</v>
      </c>
      <c r="U16">
        <v>35000</v>
      </c>
      <c r="V16" t="s">
        <v>145</v>
      </c>
      <c r="W16">
        <v>0</v>
      </c>
      <c r="X16">
        <v>1</v>
      </c>
      <c r="Y16">
        <v>1</v>
      </c>
      <c r="Z16">
        <v>0</v>
      </c>
      <c r="AA16">
        <v>200</v>
      </c>
      <c r="AB16">
        <v>0</v>
      </c>
      <c r="AC16">
        <v>0</v>
      </c>
      <c r="AD16">
        <v>0</v>
      </c>
      <c r="AE16">
        <v>0</v>
      </c>
      <c r="AG16">
        <v>200</v>
      </c>
    </row>
    <row r="17" spans="1:33" ht="23.25">
      <c r="A17" s="19" t="s">
        <v>75</v>
      </c>
      <c r="B17" s="6" t="str">
        <f>VLOOKUP(A17,Attendence!A:BC,2,0)</f>
        <v xml:space="preserve">Vishal Sharma </v>
      </c>
      <c r="C17" s="56">
        <v>45315</v>
      </c>
      <c r="D17" s="57">
        <v>43871</v>
      </c>
      <c r="E17" t="s">
        <v>46</v>
      </c>
      <c r="F17" t="s">
        <v>141</v>
      </c>
      <c r="G17">
        <v>7887878787</v>
      </c>
      <c r="H17" t="s">
        <v>142</v>
      </c>
      <c r="I17" t="s">
        <v>143</v>
      </c>
      <c r="J17" t="s">
        <v>144</v>
      </c>
      <c r="K17" t="s">
        <v>139</v>
      </c>
      <c r="L17">
        <v>31</v>
      </c>
      <c r="M17">
        <v>31</v>
      </c>
      <c r="N17">
        <v>35000</v>
      </c>
      <c r="O17">
        <v>15500</v>
      </c>
      <c r="P17">
        <v>6009</v>
      </c>
      <c r="Q17">
        <v>2000</v>
      </c>
      <c r="R17">
        <v>6654</v>
      </c>
      <c r="S17">
        <v>7888</v>
      </c>
      <c r="T17">
        <v>0</v>
      </c>
      <c r="U17">
        <v>35000</v>
      </c>
      <c r="V17" t="s">
        <v>145</v>
      </c>
      <c r="W17">
        <v>0</v>
      </c>
      <c r="X17">
        <v>1</v>
      </c>
      <c r="Y17">
        <v>1</v>
      </c>
      <c r="Z17">
        <v>0</v>
      </c>
      <c r="AA17">
        <v>200</v>
      </c>
      <c r="AB17">
        <v>0</v>
      </c>
      <c r="AC17">
        <v>0</v>
      </c>
      <c r="AD17">
        <v>0</v>
      </c>
      <c r="AE17">
        <v>0</v>
      </c>
      <c r="AG17">
        <v>200</v>
      </c>
    </row>
    <row r="18" spans="1:33" ht="23.25">
      <c r="A18" s="19" t="s">
        <v>77</v>
      </c>
      <c r="B18" s="6" t="str">
        <f>VLOOKUP(A18,Attendence!A:BC,2,0)</f>
        <v>ANANDA  BALU HYALIJ</v>
      </c>
      <c r="C18" s="56">
        <v>45315</v>
      </c>
      <c r="D18" s="57">
        <v>42410</v>
      </c>
      <c r="E18" t="s">
        <v>43</v>
      </c>
      <c r="F18" t="s">
        <v>128</v>
      </c>
      <c r="G18">
        <v>3342342343</v>
      </c>
      <c r="H18" t="s">
        <v>129</v>
      </c>
      <c r="I18" t="s">
        <v>130</v>
      </c>
      <c r="J18" t="s">
        <v>131</v>
      </c>
      <c r="K18" t="s">
        <v>132</v>
      </c>
      <c r="L18">
        <v>31</v>
      </c>
      <c r="M18">
        <v>29</v>
      </c>
      <c r="N18">
        <v>50000</v>
      </c>
      <c r="O18">
        <v>17000</v>
      </c>
      <c r="P18">
        <v>6009</v>
      </c>
      <c r="Q18">
        <v>3000</v>
      </c>
      <c r="R18">
        <v>4433</v>
      </c>
      <c r="S18">
        <v>6443</v>
      </c>
      <c r="T18">
        <v>0</v>
      </c>
      <c r="U18">
        <v>4800</v>
      </c>
      <c r="V18" t="s">
        <v>133</v>
      </c>
      <c r="W18">
        <v>2</v>
      </c>
      <c r="X18">
        <v>1</v>
      </c>
      <c r="Y18">
        <v>0</v>
      </c>
      <c r="Z18">
        <v>1</v>
      </c>
      <c r="AA18">
        <v>200</v>
      </c>
      <c r="AB18">
        <v>1000</v>
      </c>
      <c r="AC18">
        <v>0</v>
      </c>
      <c r="AD18">
        <v>5000</v>
      </c>
      <c r="AE18">
        <v>0</v>
      </c>
      <c r="AG18">
        <v>6200</v>
      </c>
    </row>
    <row r="19" spans="1:33" ht="23.25">
      <c r="A19" s="35" t="s">
        <v>80</v>
      </c>
      <c r="B19" s="6" t="str">
        <f>VLOOKUP(A19,Attendence!A:BC,2,0)</f>
        <v xml:space="preserve">Harsh </v>
      </c>
      <c r="C19" s="56">
        <v>45315</v>
      </c>
      <c r="D19" s="57">
        <v>43633</v>
      </c>
      <c r="E19" t="s">
        <v>46</v>
      </c>
      <c r="F19" t="s">
        <v>136</v>
      </c>
      <c r="G19">
        <v>5456565656</v>
      </c>
      <c r="H19" t="s">
        <v>137</v>
      </c>
      <c r="I19" t="s">
        <v>138</v>
      </c>
      <c r="J19" t="s">
        <v>131</v>
      </c>
      <c r="K19" t="s">
        <v>139</v>
      </c>
      <c r="L19">
        <v>31</v>
      </c>
      <c r="M19">
        <v>30</v>
      </c>
      <c r="N19">
        <v>46000</v>
      </c>
      <c r="O19">
        <v>16000</v>
      </c>
      <c r="P19">
        <v>6009</v>
      </c>
      <c r="Q19">
        <v>2500</v>
      </c>
      <c r="R19">
        <v>4566</v>
      </c>
      <c r="S19">
        <v>45777</v>
      </c>
      <c r="T19">
        <v>500</v>
      </c>
      <c r="U19">
        <v>4350</v>
      </c>
      <c r="V19" t="s">
        <v>140</v>
      </c>
      <c r="W19">
        <v>1</v>
      </c>
      <c r="X19">
        <v>1</v>
      </c>
      <c r="Y19">
        <v>0</v>
      </c>
      <c r="Z19">
        <v>0</v>
      </c>
      <c r="AA19">
        <v>200</v>
      </c>
      <c r="AB19">
        <v>500</v>
      </c>
      <c r="AC19">
        <v>0</v>
      </c>
      <c r="AD19">
        <v>1500</v>
      </c>
      <c r="AE19">
        <v>0</v>
      </c>
      <c r="AG19">
        <v>2200</v>
      </c>
    </row>
    <row r="20" spans="1:33" ht="23.25">
      <c r="A20" s="19" t="s">
        <v>82</v>
      </c>
      <c r="B20" s="6" t="str">
        <f>VLOOKUP(A20,Attendence!A:BC,2,0)</f>
        <v>Palkin</v>
      </c>
      <c r="C20" s="56">
        <v>45315</v>
      </c>
      <c r="D20" s="57">
        <v>43871</v>
      </c>
      <c r="E20" t="s">
        <v>46</v>
      </c>
      <c r="F20" t="s">
        <v>141</v>
      </c>
      <c r="G20">
        <v>7887878787</v>
      </c>
      <c r="H20" t="s">
        <v>142</v>
      </c>
      <c r="I20" t="s">
        <v>143</v>
      </c>
      <c r="J20" t="s">
        <v>144</v>
      </c>
      <c r="K20" t="s">
        <v>139</v>
      </c>
      <c r="L20">
        <v>31</v>
      </c>
      <c r="M20">
        <v>31</v>
      </c>
      <c r="N20">
        <v>35000</v>
      </c>
      <c r="O20">
        <v>15500</v>
      </c>
      <c r="P20">
        <v>6009</v>
      </c>
      <c r="Q20">
        <v>2000</v>
      </c>
      <c r="R20">
        <v>6654</v>
      </c>
      <c r="S20">
        <v>7888</v>
      </c>
      <c r="T20">
        <v>0</v>
      </c>
      <c r="U20">
        <v>35000</v>
      </c>
      <c r="V20" t="s">
        <v>145</v>
      </c>
      <c r="W20">
        <v>0</v>
      </c>
      <c r="X20">
        <v>1</v>
      </c>
      <c r="Y20">
        <v>1</v>
      </c>
      <c r="Z20">
        <v>0</v>
      </c>
      <c r="AA20">
        <v>200</v>
      </c>
      <c r="AB20">
        <v>0</v>
      </c>
      <c r="AC20">
        <v>0</v>
      </c>
      <c r="AD20">
        <v>0</v>
      </c>
      <c r="AE20">
        <v>0</v>
      </c>
      <c r="AG20">
        <v>200</v>
      </c>
    </row>
    <row r="21" spans="1:33" ht="23.25">
      <c r="A21" s="19" t="s">
        <v>84</v>
      </c>
      <c r="B21" s="6" t="str">
        <f>VLOOKUP(A21,Attendence!A:BC,2,0)</f>
        <v>Mehak Gupta</v>
      </c>
      <c r="C21" s="56">
        <v>45315</v>
      </c>
      <c r="D21" s="57">
        <v>43871</v>
      </c>
      <c r="E21" t="s">
        <v>46</v>
      </c>
      <c r="F21" t="s">
        <v>141</v>
      </c>
      <c r="G21">
        <v>7887878787</v>
      </c>
      <c r="H21" t="s">
        <v>142</v>
      </c>
      <c r="I21" t="s">
        <v>143</v>
      </c>
      <c r="J21" t="s">
        <v>144</v>
      </c>
      <c r="K21" t="s">
        <v>139</v>
      </c>
      <c r="L21">
        <v>31</v>
      </c>
      <c r="M21">
        <v>31</v>
      </c>
      <c r="N21">
        <v>35000</v>
      </c>
      <c r="O21">
        <v>15500</v>
      </c>
      <c r="P21">
        <v>6009</v>
      </c>
      <c r="Q21">
        <v>2000</v>
      </c>
      <c r="R21">
        <v>6654</v>
      </c>
      <c r="S21">
        <v>7888</v>
      </c>
      <c r="T21">
        <v>0</v>
      </c>
      <c r="U21">
        <v>35000</v>
      </c>
      <c r="V21" t="s">
        <v>145</v>
      </c>
      <c r="W21">
        <v>0</v>
      </c>
      <c r="X21">
        <v>1</v>
      </c>
      <c r="Y21">
        <v>1</v>
      </c>
      <c r="Z21">
        <v>0</v>
      </c>
      <c r="AA21">
        <v>200</v>
      </c>
      <c r="AB21">
        <v>0</v>
      </c>
      <c r="AC21">
        <v>0</v>
      </c>
      <c r="AD21">
        <v>0</v>
      </c>
      <c r="AE21">
        <v>0</v>
      </c>
      <c r="AG21">
        <v>200</v>
      </c>
    </row>
    <row r="22" spans="1:33" ht="23.25">
      <c r="A22" s="19" t="s">
        <v>86</v>
      </c>
      <c r="B22" s="6" t="str">
        <f>VLOOKUP(A22,Attendence!A:BC,2,0)</f>
        <v>Harjot Kaur</v>
      </c>
      <c r="C22" s="56">
        <v>45315</v>
      </c>
      <c r="D22" s="57">
        <v>43871</v>
      </c>
      <c r="E22" t="s">
        <v>46</v>
      </c>
      <c r="F22" t="s">
        <v>146</v>
      </c>
      <c r="G22">
        <v>7887878788</v>
      </c>
      <c r="H22" t="s">
        <v>147</v>
      </c>
      <c r="I22" t="s">
        <v>143</v>
      </c>
      <c r="J22" t="s">
        <v>144</v>
      </c>
      <c r="K22" t="s">
        <v>139</v>
      </c>
      <c r="L22">
        <v>31</v>
      </c>
      <c r="M22">
        <v>31</v>
      </c>
      <c r="N22">
        <v>35000</v>
      </c>
      <c r="O22">
        <v>15500</v>
      </c>
      <c r="P22">
        <v>6009</v>
      </c>
      <c r="Q22">
        <v>2000</v>
      </c>
      <c r="R22">
        <v>6654</v>
      </c>
      <c r="S22">
        <v>7888</v>
      </c>
      <c r="T22">
        <v>0</v>
      </c>
      <c r="U22">
        <v>35000</v>
      </c>
      <c r="V22" t="s">
        <v>145</v>
      </c>
      <c r="W22">
        <v>0</v>
      </c>
      <c r="X22">
        <v>1</v>
      </c>
      <c r="Y22">
        <v>1</v>
      </c>
      <c r="Z22">
        <v>0</v>
      </c>
      <c r="AA22">
        <v>200</v>
      </c>
      <c r="AB22">
        <v>0</v>
      </c>
      <c r="AC22">
        <v>0</v>
      </c>
      <c r="AD22">
        <v>0</v>
      </c>
      <c r="AE22">
        <v>0</v>
      </c>
      <c r="AG22">
        <v>200</v>
      </c>
    </row>
    <row r="23" spans="1:33" ht="23.25">
      <c r="A23" s="19" t="s">
        <v>88</v>
      </c>
      <c r="B23" s="6" t="str">
        <f>VLOOKUP(A23,Attendence!A:BC,2,0)</f>
        <v>Ankita</v>
      </c>
      <c r="C23" s="56">
        <v>45315</v>
      </c>
      <c r="D23" s="57">
        <v>43871</v>
      </c>
      <c r="E23" t="s">
        <v>46</v>
      </c>
      <c r="F23" t="s">
        <v>148</v>
      </c>
      <c r="G23">
        <v>7887878789</v>
      </c>
      <c r="H23" t="s">
        <v>149</v>
      </c>
      <c r="I23" t="s">
        <v>143</v>
      </c>
      <c r="J23" t="s">
        <v>144</v>
      </c>
      <c r="K23" t="s">
        <v>139</v>
      </c>
      <c r="L23">
        <v>31</v>
      </c>
      <c r="M23">
        <v>31</v>
      </c>
      <c r="N23">
        <v>35000</v>
      </c>
      <c r="O23">
        <v>15500</v>
      </c>
      <c r="P23">
        <v>6009</v>
      </c>
      <c r="Q23">
        <v>2000</v>
      </c>
      <c r="R23">
        <v>6654</v>
      </c>
      <c r="S23">
        <v>7888</v>
      </c>
      <c r="T23">
        <v>0</v>
      </c>
      <c r="U23">
        <v>35000</v>
      </c>
      <c r="V23" t="s">
        <v>145</v>
      </c>
      <c r="W23">
        <v>0</v>
      </c>
      <c r="X23">
        <v>1</v>
      </c>
      <c r="Y23">
        <v>1</v>
      </c>
      <c r="Z23">
        <v>0</v>
      </c>
      <c r="AA23">
        <v>200</v>
      </c>
      <c r="AB23">
        <v>0</v>
      </c>
      <c r="AC23">
        <v>0</v>
      </c>
      <c r="AD23">
        <v>0</v>
      </c>
      <c r="AE23">
        <v>0</v>
      </c>
      <c r="AG23">
        <v>200</v>
      </c>
    </row>
    <row r="24" spans="1:33" ht="23.25">
      <c r="A24" s="19" t="s">
        <v>90</v>
      </c>
      <c r="B24" s="6" t="str">
        <f>VLOOKUP(A24,Attendence!A:BC,2,0)</f>
        <v>Sanjay</v>
      </c>
      <c r="C24" s="56">
        <v>45315</v>
      </c>
      <c r="D24" s="57">
        <v>43871</v>
      </c>
      <c r="E24" t="s">
        <v>46</v>
      </c>
      <c r="F24" t="s">
        <v>150</v>
      </c>
      <c r="G24">
        <v>7887878790</v>
      </c>
      <c r="H24" t="s">
        <v>151</v>
      </c>
      <c r="I24" t="s">
        <v>143</v>
      </c>
      <c r="J24" t="s">
        <v>144</v>
      </c>
      <c r="K24" t="s">
        <v>139</v>
      </c>
      <c r="L24">
        <v>31</v>
      </c>
      <c r="M24">
        <v>31</v>
      </c>
      <c r="N24">
        <v>35000</v>
      </c>
      <c r="O24">
        <v>15500</v>
      </c>
      <c r="P24">
        <v>6009</v>
      </c>
      <c r="Q24">
        <v>2000</v>
      </c>
      <c r="R24">
        <v>6654</v>
      </c>
      <c r="S24">
        <v>7888</v>
      </c>
      <c r="T24">
        <v>0</v>
      </c>
      <c r="U24">
        <v>35000</v>
      </c>
      <c r="V24" t="s">
        <v>145</v>
      </c>
      <c r="W24">
        <v>0</v>
      </c>
      <c r="X24">
        <v>1</v>
      </c>
      <c r="Y24">
        <v>1</v>
      </c>
      <c r="Z24">
        <v>0</v>
      </c>
      <c r="AA24">
        <v>200</v>
      </c>
      <c r="AB24">
        <v>0</v>
      </c>
      <c r="AC24">
        <v>0</v>
      </c>
      <c r="AD24">
        <v>0</v>
      </c>
      <c r="AE24">
        <v>0</v>
      </c>
      <c r="AG24">
        <v>200</v>
      </c>
    </row>
    <row r="25" spans="1:33" ht="23.25">
      <c r="A25" s="19" t="s">
        <v>92</v>
      </c>
      <c r="B25" s="6" t="str">
        <f>VLOOKUP(A25,Attendence!A:BC,2,0)</f>
        <v>Brijesh  Kumar</v>
      </c>
      <c r="C25" s="56">
        <v>45315</v>
      </c>
      <c r="D25" s="57">
        <v>43871</v>
      </c>
      <c r="E25" t="s">
        <v>46</v>
      </c>
      <c r="F25" t="s">
        <v>152</v>
      </c>
      <c r="G25">
        <v>7887878791</v>
      </c>
      <c r="H25" t="s">
        <v>153</v>
      </c>
      <c r="I25" t="s">
        <v>143</v>
      </c>
      <c r="J25" t="s">
        <v>144</v>
      </c>
      <c r="K25" t="s">
        <v>139</v>
      </c>
      <c r="L25">
        <v>31</v>
      </c>
      <c r="M25">
        <v>31</v>
      </c>
      <c r="N25">
        <v>35000</v>
      </c>
      <c r="O25">
        <v>15500</v>
      </c>
      <c r="P25">
        <v>6009</v>
      </c>
      <c r="Q25">
        <v>2000</v>
      </c>
      <c r="R25">
        <v>6654</v>
      </c>
      <c r="S25">
        <v>7888</v>
      </c>
      <c r="T25">
        <v>0</v>
      </c>
      <c r="U25">
        <v>35000</v>
      </c>
      <c r="V25" t="s">
        <v>145</v>
      </c>
      <c r="W25">
        <v>0</v>
      </c>
      <c r="X25">
        <v>1</v>
      </c>
      <c r="Y25">
        <v>1</v>
      </c>
      <c r="Z25">
        <v>0</v>
      </c>
      <c r="AA25">
        <v>200</v>
      </c>
      <c r="AB25">
        <v>0</v>
      </c>
      <c r="AC25">
        <v>0</v>
      </c>
      <c r="AD25">
        <v>0</v>
      </c>
      <c r="AE25">
        <v>0</v>
      </c>
      <c r="AG25">
        <v>200</v>
      </c>
    </row>
    <row r="26" spans="1:33" ht="23.25">
      <c r="A26" s="19" t="s">
        <v>94</v>
      </c>
      <c r="B26" s="6" t="str">
        <f>VLOOKUP(A26,Attendence!A:BC,2,0)</f>
        <v xml:space="preserve">Tarun Singh </v>
      </c>
      <c r="C26" s="56">
        <v>45315</v>
      </c>
      <c r="D26" s="57">
        <v>43871</v>
      </c>
      <c r="E26" t="s">
        <v>46</v>
      </c>
      <c r="F26" t="s">
        <v>154</v>
      </c>
      <c r="G26">
        <v>7887878792</v>
      </c>
      <c r="H26" t="s">
        <v>155</v>
      </c>
      <c r="I26" t="s">
        <v>143</v>
      </c>
      <c r="J26" t="s">
        <v>144</v>
      </c>
      <c r="K26" t="s">
        <v>139</v>
      </c>
      <c r="L26">
        <v>31</v>
      </c>
      <c r="M26">
        <v>31</v>
      </c>
      <c r="N26">
        <v>35000</v>
      </c>
      <c r="O26">
        <v>15500</v>
      </c>
      <c r="P26">
        <v>6009</v>
      </c>
      <c r="Q26">
        <v>2000</v>
      </c>
      <c r="R26">
        <v>6654</v>
      </c>
      <c r="S26">
        <v>7888</v>
      </c>
      <c r="T26">
        <v>0</v>
      </c>
      <c r="U26">
        <v>35000</v>
      </c>
      <c r="V26" t="s">
        <v>145</v>
      </c>
      <c r="W26">
        <v>0</v>
      </c>
      <c r="X26">
        <v>1</v>
      </c>
      <c r="Y26">
        <v>1</v>
      </c>
      <c r="Z26">
        <v>0</v>
      </c>
      <c r="AA26">
        <v>200</v>
      </c>
      <c r="AB26">
        <v>0</v>
      </c>
      <c r="AC26">
        <v>0</v>
      </c>
      <c r="AD26">
        <v>0</v>
      </c>
      <c r="AE26">
        <v>0</v>
      </c>
      <c r="AG26">
        <v>200</v>
      </c>
    </row>
    <row r="27" spans="1:33" ht="23.25">
      <c r="A27" s="19" t="s">
        <v>96</v>
      </c>
      <c r="B27" s="6" t="str">
        <f>VLOOKUP(A27,Attendence!A:BC,2,0)</f>
        <v>Siya  Goyal</v>
      </c>
      <c r="C27" s="56">
        <v>45315</v>
      </c>
      <c r="D27" s="57">
        <v>43871</v>
      </c>
      <c r="E27" t="s">
        <v>46</v>
      </c>
      <c r="F27" t="s">
        <v>156</v>
      </c>
      <c r="G27">
        <v>7887878793</v>
      </c>
      <c r="H27" t="s">
        <v>157</v>
      </c>
      <c r="I27" t="s">
        <v>143</v>
      </c>
      <c r="J27" t="s">
        <v>144</v>
      </c>
      <c r="K27" t="s">
        <v>139</v>
      </c>
      <c r="L27">
        <v>31</v>
      </c>
      <c r="M27">
        <v>31</v>
      </c>
      <c r="N27">
        <v>35000</v>
      </c>
      <c r="O27">
        <v>15500</v>
      </c>
      <c r="P27">
        <v>6009</v>
      </c>
      <c r="Q27">
        <v>2000</v>
      </c>
      <c r="R27">
        <v>6654</v>
      </c>
      <c r="S27">
        <v>7888</v>
      </c>
      <c r="T27">
        <v>0</v>
      </c>
      <c r="U27">
        <v>35000</v>
      </c>
      <c r="V27" t="s">
        <v>145</v>
      </c>
      <c r="W27">
        <v>0</v>
      </c>
      <c r="X27">
        <v>1</v>
      </c>
      <c r="Y27">
        <v>1</v>
      </c>
      <c r="Z27">
        <v>0</v>
      </c>
      <c r="AA27">
        <v>200</v>
      </c>
      <c r="AB27">
        <v>0</v>
      </c>
      <c r="AC27">
        <v>0</v>
      </c>
      <c r="AD27">
        <v>0</v>
      </c>
      <c r="AE27">
        <v>0</v>
      </c>
      <c r="AG27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EAB0-0366-4EC5-A78A-C3E85002BF57}">
  <dimension ref="A1:BF30"/>
  <sheetViews>
    <sheetView workbookViewId="0">
      <selection activeCell="D1" sqref="D1"/>
    </sheetView>
  </sheetViews>
  <sheetFormatPr defaultRowHeight="15"/>
  <cols>
    <col min="1" max="1" width="24.5703125" customWidth="1"/>
    <col min="2" max="2" width="36.42578125" customWidth="1"/>
    <col min="3" max="3" width="16.28515625" customWidth="1"/>
    <col min="4" max="4" width="13.28515625" customWidth="1"/>
    <col min="5" max="5" width="15.7109375" customWidth="1"/>
    <col min="6" max="6" width="17.85546875" customWidth="1"/>
    <col min="7" max="7" width="21.85546875" customWidth="1"/>
    <col min="8" max="8" width="20" customWidth="1"/>
    <col min="9" max="9" width="20.28515625" customWidth="1"/>
    <col min="10" max="10" width="16.7109375" customWidth="1"/>
    <col min="11" max="11" width="18" customWidth="1"/>
    <col min="12" max="12" width="19.5703125" customWidth="1"/>
    <col min="13" max="14" width="18" customWidth="1"/>
    <col min="15" max="15" width="23.42578125" customWidth="1"/>
    <col min="16" max="16" width="17.5703125" customWidth="1"/>
    <col min="17" max="17" width="14.7109375" customWidth="1"/>
    <col min="18" max="18" width="17.7109375" customWidth="1"/>
    <col min="19" max="19" width="16.140625" customWidth="1"/>
    <col min="20" max="20" width="23.7109375" customWidth="1"/>
    <col min="21" max="21" width="21" customWidth="1"/>
    <col min="22" max="22" width="15.42578125" customWidth="1"/>
    <col min="23" max="23" width="15.5703125" customWidth="1"/>
    <col min="24" max="24" width="1.85546875" customWidth="1"/>
    <col min="25" max="25" width="19" customWidth="1"/>
    <col min="26" max="26" width="15" customWidth="1"/>
    <col min="27" max="27" width="13.28515625" customWidth="1"/>
    <col min="28" max="28" width="11.7109375" customWidth="1"/>
    <col min="29" max="29" width="21.7109375" customWidth="1"/>
    <col min="30" max="30" width="19.140625" customWidth="1"/>
    <col min="31" max="31" width="18.42578125" customWidth="1"/>
    <col min="32" max="32" width="20" customWidth="1"/>
    <col min="33" max="33" width="17.42578125" customWidth="1"/>
    <col min="34" max="34" width="17.85546875" customWidth="1"/>
    <col min="35" max="35" width="14.42578125" customWidth="1"/>
    <col min="36" max="37" width="14.5703125" customWidth="1"/>
    <col min="38" max="38" width="11.28515625" customWidth="1"/>
    <col min="41" max="41" width="13.28515625" customWidth="1"/>
    <col min="42" max="42" width="18.28515625" customWidth="1"/>
    <col min="43" max="43" width="16.5703125" customWidth="1"/>
    <col min="44" max="44" width="16.7109375" customWidth="1"/>
    <col min="45" max="45" width="14.42578125" customWidth="1"/>
    <col min="46" max="46" width="17.42578125" customWidth="1"/>
    <col min="47" max="47" width="16.7109375" customWidth="1"/>
    <col min="48" max="48" width="20.140625" customWidth="1"/>
    <col min="49" max="49" width="14.28515625" customWidth="1"/>
    <col min="50" max="50" width="15.7109375" customWidth="1"/>
    <col min="51" max="51" width="20.5703125" customWidth="1"/>
    <col min="52" max="52" width="17.42578125" customWidth="1"/>
    <col min="53" max="53" width="23.5703125" customWidth="1"/>
    <col min="54" max="54" width="14.7109375" customWidth="1"/>
    <col min="55" max="55" width="17.5703125" customWidth="1"/>
    <col min="56" max="56" width="33.85546875" customWidth="1"/>
    <col min="57" max="57" width="23.5703125" customWidth="1"/>
    <col min="58" max="58" width="28.28515625" customWidth="1"/>
  </cols>
  <sheetData>
    <row r="1" spans="1:58" s="58" customFormat="1" ht="115.5" customHeight="1">
      <c r="A1" s="6" t="s">
        <v>1</v>
      </c>
      <c r="B1" s="6" t="str">
        <f>VLOOKUP(A1,Attendence!A:BC,2,0)</f>
        <v>Employee Name</v>
      </c>
      <c r="C1" s="63" t="str">
        <f>VLOOKUP(A1,Attendence!A:BC,34,0)</f>
        <v>Total SL</v>
      </c>
      <c r="D1" s="63" t="str">
        <f>VLOOKUP($A1,Attendence!A:BC,35,0)</f>
        <v>Total HD</v>
      </c>
      <c r="E1" s="63" t="str">
        <f>VLOOKUP($A1,Attendence!$A:$BD,36,0)</f>
        <v>Total FL</v>
      </c>
      <c r="F1" s="63" t="str">
        <f>VLOOKUP($A1,Attendence!$A:$BD,37,0)</f>
        <v>TOTAL WORKING DAYS</v>
      </c>
      <c r="G1" s="63" t="str">
        <f>VLOOKUP($A1,Attendence!$A:$BD,38,0)</f>
        <v>Leaves Taken</v>
      </c>
      <c r="H1" s="63" t="str">
        <f>VLOOKUP($A1,Attendence!$A:$BD,39,0)</f>
        <v>Paid Leave Balance For This Month</v>
      </c>
      <c r="I1" s="63" t="str">
        <f>VLOOKUP($A1,Attendence!$A:$BD,40,0)</f>
        <v>Leaves To Adjust From Paid Leave Balance</v>
      </c>
      <c r="J1" s="63" t="str">
        <f>VLOOKUP($A1,Attendence!$A:$BD,41,0)</f>
        <v>Paid Leave Balance Remaining</v>
      </c>
      <c r="K1" s="63" t="str">
        <f>VLOOKUP($A1,Attendence!$A:$BD,42,0)</f>
        <v>Number of Leaves to deduct</v>
      </c>
      <c r="L1" s="63" t="str">
        <f>VLOOKUP($A1,Attendence!$A:$BD,43,0)</f>
        <v>Number Of Extra Days</v>
      </c>
      <c r="M1" s="63" t="str">
        <f>VLOOKUP($A1,Attendence!$A:$BD,44,0)</f>
        <v>Total Days to Pay</v>
      </c>
      <c r="N1" s="63" t="str">
        <f>VLOOKUP($A1,Attendence!$A:$BD,45,0)</f>
        <v>Deduction for Unpaid Leaves</v>
      </c>
      <c r="O1" s="63" t="str">
        <f>VLOOKUP($A1,Attendence!$A:$BD,46,0)</f>
        <v>Other Deductions(Loans/Retention)</v>
      </c>
      <c r="P1" s="63" t="str">
        <f>VLOOKUP($A1,Attendence!$A:$BD,47,0)</f>
        <v>TDS Deduction</v>
      </c>
      <c r="Q1" s="63" t="str">
        <f>VLOOKUP($A1,Attendence!$A:$BD,48,0)</f>
        <v>ESI Deduction</v>
      </c>
      <c r="R1" s="63" t="str">
        <f>VLOOKUP($A1,Attendence!$A:$BD,49,0)</f>
        <v>EPF Deduction</v>
      </c>
      <c r="S1" s="63" t="str">
        <f>VLOOKUP($A1,Attendence!$A:$BD,50,0)</f>
        <v>Extra Days</v>
      </c>
      <c r="T1" s="63" t="str">
        <f>VLOOKUP($A1,Attendence!$A:$BD,51,0)</f>
        <v>Bonus/Extra days</v>
      </c>
      <c r="U1" s="63" t="str">
        <f>VLOOKUP($A1,Attendence!$A:$BD,52,0)</f>
        <v>Total Deduction</v>
      </c>
      <c r="V1" s="63" t="str">
        <f>VLOOKUP($A1,Attendence!$A:$BD,53,0)</f>
        <v xml:space="preserve">Gross Salary </v>
      </c>
      <c r="W1" s="63" t="str">
        <f>VLOOKUP($A1,Attendence!$A:$BD,54,0)</f>
        <v>Payable Salary this Month</v>
      </c>
      <c r="X1" s="59"/>
      <c r="Y1" s="63" t="str">
        <f>VLOOKUP($A1,Salary!$A:$AI,2,0)</f>
        <v>Employee Name</v>
      </c>
      <c r="Z1" s="63" t="str">
        <f>VLOOKUP($A1,Salary!$A:$AI,3,0)</f>
        <v>Pay Slip for the month of</v>
      </c>
      <c r="AA1" s="63" t="str">
        <f>VLOOKUP($A1,Salary!$A:$AI,4,0)</f>
        <v>Joining date</v>
      </c>
      <c r="AB1" s="63" t="str">
        <f>VLOOKUP($A1,Salary!$A:$AI,5,0)</f>
        <v>Bank Name</v>
      </c>
      <c r="AC1" s="63" t="str">
        <f>VLOOKUP($A1,Salary!$A:$AI,6,0)</f>
        <v>IFSC Code</v>
      </c>
      <c r="AD1" s="63" t="str">
        <f>VLOOKUP($A1,Salary!$A:$AI,7,0)</f>
        <v>Account Number</v>
      </c>
      <c r="AE1" s="63" t="str">
        <f>VLOOKUP($A1,Salary!$A:$AI,8,0)</f>
        <v>Pan Card No.</v>
      </c>
      <c r="AF1" s="63" t="str">
        <f>VLOOKUP($A1,Salary!$A:$AI,9,0)</f>
        <v>Designation</v>
      </c>
      <c r="AG1" s="63" t="str">
        <f>VLOOKUP($A1,Salary!$A:$AI,10,0)</f>
        <v>Department</v>
      </c>
      <c r="AH1" s="63" t="str">
        <f>VLOOKUP($A1,Salary!$A:$AI,11,0)</f>
        <v>Office Location</v>
      </c>
      <c r="AI1" s="63" t="str">
        <f>VLOOKUP($A1,Salary!$A:$AI,12,0)</f>
        <v>Total working days this Month</v>
      </c>
      <c r="AJ1" s="63" t="str">
        <f>VLOOKUP($A1,Salary!$A:$AI,13,0)</f>
        <v>No. of Days worked</v>
      </c>
      <c r="AK1" s="63" t="str">
        <f>VLOOKUP($A1,Salary!$A:$AI,14,0)</f>
        <v>Gross Salary</v>
      </c>
      <c r="AL1" s="63" t="str">
        <f>VLOOKUP($A1,Salary!$A:$AI,15,0)</f>
        <v>Basic</v>
      </c>
      <c r="AM1" s="63" t="str">
        <f>VLOOKUP($A1,Salary!$A:$AI,16,0)</f>
        <v>HRA</v>
      </c>
      <c r="AN1" s="63" t="str">
        <f>VLOOKUP($A1,Salary!$A:$AI,17,0)</f>
        <v>DA</v>
      </c>
      <c r="AO1" s="63" t="str">
        <f>VLOOKUP($A1,Salary!$A:$AI,18,0)</f>
        <v>Performance Allowance</v>
      </c>
      <c r="AP1" s="63" t="str">
        <f>VLOOKUP($A1,Salary!$A:$AI,19,0)</f>
        <v>Conveince Allowance</v>
      </c>
      <c r="AQ1" s="63" t="str">
        <f>VLOOKUP($A1,Salary!$A:$AI,20,0)</f>
        <v>Other Allowance (Bonus/Extra days)</v>
      </c>
      <c r="AR1" s="63" t="str">
        <f>VLOOKUP($A1,Salary!$A:$AI,23,0)</f>
        <v>CL used (Leaves Taken)</v>
      </c>
      <c r="AS1" s="63" t="str">
        <f>VLOOKUP($A1,Salary!$A:$AI,24,0)</f>
        <v>CL opening Balance (Leave Balance For This Month)</v>
      </c>
      <c r="AT1" s="63" t="str">
        <f>VLOOKUP($A1,Salary!$A:$AI,25,0)</f>
        <v>CL Balance (Paid Leave Balance Remaining)</v>
      </c>
      <c r="AU1" s="63" t="str">
        <f>VLOOKUP($A1,Salary!$A:$AI,26,0)</f>
        <v>Total CL DEDUCTED (Number of Leaves to deduct)</v>
      </c>
      <c r="AV1" s="63" t="str">
        <f>VLOOKUP($A1,Salary!$A:$AI,27,0)</f>
        <v>Profesinal Tax dedcution</v>
      </c>
      <c r="AW1" s="63" t="str">
        <f>VLOOKUP($A1,Salary!$A:$AI,28,0)</f>
        <v xml:space="preserve"> Unpaid Leaves Deduction</v>
      </c>
      <c r="AX1" s="63" t="str">
        <f>VLOOKUP($A1,Salary!$A:$AI,29,0)</f>
        <v>Other Deductions (Loans/Retention)</v>
      </c>
      <c r="AY1" s="63" t="str">
        <f>VLOOKUP($A1,Salary!$A:$AI,30,0)</f>
        <v>Income TAX (TDS Deduction)</v>
      </c>
      <c r="AZ1" s="63" t="str">
        <f>VLOOKUP($A1,Salary!$A:$AI,31,0)</f>
        <v>ESI Deduction</v>
      </c>
      <c r="BA1" s="63" t="str">
        <f>VLOOKUP($A1,Salary!$A:$AI,32,0)</f>
        <v>EPF Deduction</v>
      </c>
      <c r="BB1" s="63" t="str">
        <f>VLOOKUP($A1,Salary!$A:$AI,33,0)</f>
        <v>Total Deduction this Month</v>
      </c>
      <c r="BC1" s="63" t="str">
        <f>VLOOKUP($A1,Salary!$A:$AI,21,0)</f>
        <v xml:space="preserve">Net Pay for the month: </v>
      </c>
      <c r="BD1" s="63" t="str">
        <f>VLOOKUP($A1,Salary!$A:$AI,22,0)</f>
        <v>Earning in words</v>
      </c>
      <c r="BE1" s="63" t="str">
        <f>VLOOKUP($A1,Salary!$A:$AI,34,0)</f>
        <v>officeemail</v>
      </c>
      <c r="BF1" s="63" t="str">
        <f>VLOOKUP($A1,Salary!$A:$AI,35,0)</f>
        <v>personalemail</v>
      </c>
    </row>
    <row r="2" spans="1:58" ht="29.25">
      <c r="A2" s="19" t="s">
        <v>35</v>
      </c>
      <c r="B2" s="62" t="str">
        <f>VLOOKUP(A2,Attendence!A:BC,2,0)</f>
        <v xml:space="preserve"> Nilesh Patel (Remote)</v>
      </c>
      <c r="C2" s="64">
        <f>VLOOKUP(A2,Attendence!A:BC,34,0)</f>
        <v>4</v>
      </c>
      <c r="D2" s="65">
        <f>VLOOKUP($A2,Attendence!A:BC,35,0)</f>
        <v>0.5</v>
      </c>
      <c r="E2" s="65">
        <f>VLOOKUP($A2,Attendence!$A:$BD,36,0)</f>
        <v>1</v>
      </c>
      <c r="F2" s="65">
        <f>VLOOKUP($A2,Attendence!$A:$BD,37,0)</f>
        <v>25.5</v>
      </c>
      <c r="G2" s="65">
        <f>VLOOKUP($A2,Attendence!$A:$BD,38,0)</f>
        <v>5.5</v>
      </c>
      <c r="H2" s="65">
        <f>VLOOKUP($A2,Attendence!$A:$BD,39,0)</f>
        <v>3.25</v>
      </c>
      <c r="I2" s="65">
        <f>VLOOKUP($A2,Attendence!$A:$BD,40,0)</f>
        <v>1.75</v>
      </c>
      <c r="J2" s="65">
        <f>VLOOKUP($A2,Attendence!$A:$BD,41,0)</f>
        <v>1.5</v>
      </c>
      <c r="K2" s="65">
        <f>VLOOKUP($A2,Attendence!$A:$BD,42,0)</f>
        <v>0</v>
      </c>
      <c r="L2" s="65">
        <f>VLOOKUP($A2,Attendence!$A:$BD,43,0)</f>
        <v>0</v>
      </c>
      <c r="M2" s="65">
        <f>VLOOKUP($A2,Attendence!$A:$BD,44,0)</f>
        <v>31</v>
      </c>
      <c r="N2" s="65">
        <f>VLOOKUP($A2,Attendence!$A:$BD,45,0)</f>
        <v>0</v>
      </c>
      <c r="O2" s="65">
        <f>VLOOKUP($A2,Attendence!$A:$BD,46,0)</f>
        <v>0</v>
      </c>
      <c r="P2" s="65">
        <f>VLOOKUP($A2,Attendence!$A:$BD,47,0)</f>
        <v>13000</v>
      </c>
      <c r="Q2" s="65">
        <f>VLOOKUP($A2,Attendence!$A:$BD,48,0)</f>
        <v>0</v>
      </c>
      <c r="R2" s="65">
        <f>VLOOKUP($A2,Attendence!$A:$BD,49,0)</f>
        <v>0</v>
      </c>
      <c r="S2" s="65">
        <f>VLOOKUP($A2,Attendence!$A:$BD,50,0)</f>
        <v>0</v>
      </c>
      <c r="T2" s="65">
        <f>VLOOKUP($A2,Attendence!$A:$BD,51,0)</f>
        <v>0</v>
      </c>
      <c r="U2" s="65">
        <f>VLOOKUP($A2,Attendence!$A:$BD,52,0)</f>
        <v>13000</v>
      </c>
      <c r="V2" s="65">
        <f>VLOOKUP($A2,Attendence!$A:$BD,53,0)</f>
        <v>50000</v>
      </c>
      <c r="W2" s="65">
        <f>VLOOKUP($A2,Attendence!$A:$BD,54,0)</f>
        <v>37000</v>
      </c>
      <c r="X2" s="66"/>
      <c r="Y2" s="67" t="str">
        <f>VLOOKUP($A2,Salary!$A:$AI,2,0)</f>
        <v xml:space="preserve"> Nilesh Patel (Remote)</v>
      </c>
      <c r="Z2" s="67">
        <f>VLOOKUP($A2,Salary!$A:$AI,3,0)</f>
        <v>45315</v>
      </c>
      <c r="AA2" s="67">
        <f>VLOOKUP($A2,Salary!$A:$AI,4,0)</f>
        <v>42410</v>
      </c>
      <c r="AB2" s="67" t="str">
        <f>VLOOKUP($A2,Salary!$A:$AI,5,0)</f>
        <v>SBI</v>
      </c>
      <c r="AC2" s="67" t="str">
        <f>VLOOKUP($A2,Salary!$A:$AI,6,0)</f>
        <v>ICICI099676</v>
      </c>
      <c r="AD2" s="67">
        <f>VLOOKUP($A2,Salary!$A:$AI,7,0)</f>
        <v>3342342343</v>
      </c>
      <c r="AE2" s="67" t="str">
        <f>VLOOKUP($A2,Salary!$A:$AI,8,0)</f>
        <v>KSNF7393</v>
      </c>
      <c r="AF2" s="67" t="str">
        <f>VLOOKUP($A2,Salary!$A:$AI,9,0)</f>
        <v>Sr.Magento Developer</v>
      </c>
      <c r="AG2" s="67" t="str">
        <f>VLOOKUP($A2,Salary!$A:$AI,10,0)</f>
        <v>Development</v>
      </c>
      <c r="AH2" s="67" t="str">
        <f>VLOOKUP($A2,Salary!$A:$AI,11,0)</f>
        <v>Remote</v>
      </c>
      <c r="AI2" s="67">
        <f>VLOOKUP($A2,Salary!$A:$AI,12,0)</f>
        <v>31</v>
      </c>
      <c r="AJ2" s="67">
        <f>VLOOKUP($A2,Salary!$A:$AI,13,0)</f>
        <v>29</v>
      </c>
      <c r="AK2" s="67">
        <f>VLOOKUP($A2,Salary!$A:$AI,14,0)</f>
        <v>50000</v>
      </c>
      <c r="AL2" s="67">
        <f>VLOOKUP($A2,Salary!$A:$AI,15,0)</f>
        <v>17000</v>
      </c>
      <c r="AM2" s="67">
        <f>VLOOKUP($A2,Salary!$A:$AI,16,0)</f>
        <v>6009</v>
      </c>
      <c r="AN2" s="67">
        <f>VLOOKUP($A2,Salary!$A:$AI,17,0)</f>
        <v>3000</v>
      </c>
      <c r="AO2" s="67">
        <f>VLOOKUP($A2,Salary!$A:$AI,18,0)</f>
        <v>4433</v>
      </c>
      <c r="AP2" s="67">
        <f>VLOOKUP($A2,Salary!$A:$AI,19,0)</f>
        <v>6443</v>
      </c>
      <c r="AQ2" s="67">
        <f>VLOOKUP($A2,Salary!$A:$AI,20,0)</f>
        <v>0</v>
      </c>
      <c r="AR2" s="67">
        <f>VLOOKUP($A2,Salary!$A:$AI,23,0)</f>
        <v>2</v>
      </c>
      <c r="AS2" s="67">
        <f>VLOOKUP($A2,Salary!$A:$AI,24,0)</f>
        <v>1</v>
      </c>
      <c r="AT2" s="67">
        <f>VLOOKUP($A2,Salary!$A:$AI,25,0)</f>
        <v>0</v>
      </c>
      <c r="AU2" s="67">
        <f>VLOOKUP($A2,Salary!$A:$AI,26,0)</f>
        <v>1</v>
      </c>
      <c r="AV2" s="67">
        <f>VLOOKUP($A2,Salary!$A:$AI,27,0)</f>
        <v>200</v>
      </c>
      <c r="AW2" s="67">
        <f>VLOOKUP($A2,Salary!$A:$AI,28,0)</f>
        <v>1000</v>
      </c>
      <c r="AX2" s="67">
        <f>VLOOKUP($A2,Salary!$A:$AI,29,0)</f>
        <v>0</v>
      </c>
      <c r="AY2" s="67">
        <f>VLOOKUP($A2,Salary!$A:$AI,30,0)</f>
        <v>5000</v>
      </c>
      <c r="AZ2" s="67">
        <f>VLOOKUP($A2,Salary!$A:$AI,31,0)</f>
        <v>0</v>
      </c>
      <c r="BA2" s="67">
        <f>VLOOKUP($A2,Salary!$A:$AI,32,0)</f>
        <v>0</v>
      </c>
      <c r="BB2" s="67">
        <f>VLOOKUP($A2,Salary!$A:$AI,33,0)</f>
        <v>6200</v>
      </c>
      <c r="BC2" s="67">
        <f>VLOOKUP($A2,Salary!$A:$AI,21,0)</f>
        <v>4800</v>
      </c>
      <c r="BD2" s="67" t="str">
        <f>VLOOKUP($A2,Salary!$A:$AI,22,0)</f>
        <v>Fourty eightthousand rupees only</v>
      </c>
      <c r="BE2" s="67" t="str">
        <f>VLOOKUP($A2,Salary!$A:$AI,34,0)</f>
        <v>mandeep@rvsmedia.com</v>
      </c>
      <c r="BF2" s="67" t="str">
        <f>VLOOKUP($A2,Salary!$A:$AI,35,0)</f>
        <v>mandeepmehra7@gmail.com</v>
      </c>
    </row>
    <row r="3" spans="1:58" ht="29.25">
      <c r="A3" s="19" t="s">
        <v>44</v>
      </c>
      <c r="B3" s="62" t="str">
        <f>VLOOKUP(A3,Attendence!A:BC,2,0)</f>
        <v xml:space="preserve"> Mandeep Singh</v>
      </c>
      <c r="C3" s="64">
        <f>VLOOKUP(A3,Attendence!A:BC,34,0)</f>
        <v>0</v>
      </c>
      <c r="D3" s="65">
        <f>VLOOKUP($A3,Attendence!A:BC,35,0)</f>
        <v>0</v>
      </c>
      <c r="E3" s="65">
        <f>VLOOKUP($A3,Attendence!$A:$BD,36,0)</f>
        <v>1</v>
      </c>
      <c r="F3" s="65">
        <f>VLOOKUP($A3,Attendence!$A:$BD,37,0)</f>
        <v>30</v>
      </c>
      <c r="G3" s="65">
        <f>VLOOKUP($A3,Attendence!$A:$BD,38,0)</f>
        <v>1</v>
      </c>
      <c r="H3" s="65">
        <f>VLOOKUP($A3,Attendence!$A:$BD,39,0)</f>
        <v>2</v>
      </c>
      <c r="I3" s="65">
        <f>VLOOKUP($A3,Attendence!$A:$BD,40,0)</f>
        <v>1</v>
      </c>
      <c r="J3" s="65">
        <f>VLOOKUP($A3,Attendence!$A:$BD,41,0)</f>
        <v>1</v>
      </c>
      <c r="K3" s="65">
        <f>VLOOKUP($A3,Attendence!$A:$BD,42,0)</f>
        <v>0</v>
      </c>
      <c r="L3" s="65">
        <f>VLOOKUP($A3,Attendence!$A:$BD,43,0)</f>
        <v>0</v>
      </c>
      <c r="M3" s="65">
        <f>VLOOKUP($A3,Attendence!$A:$BD,44,0)</f>
        <v>31</v>
      </c>
      <c r="N3" s="65">
        <f>VLOOKUP($A3,Attendence!$A:$BD,45,0)</f>
        <v>0</v>
      </c>
      <c r="O3" s="65">
        <f>VLOOKUP($A3,Attendence!$A:$BD,46,0)</f>
        <v>6800</v>
      </c>
      <c r="P3" s="65">
        <f>VLOOKUP($A3,Attendence!$A:$BD,47,0)</f>
        <v>3172</v>
      </c>
      <c r="Q3" s="65">
        <f>VLOOKUP($A3,Attendence!$A:$BD,48,0)</f>
        <v>0</v>
      </c>
      <c r="R3" s="65">
        <f>VLOOKUP($A3,Attendence!$A:$BD,49,0)</f>
        <v>0</v>
      </c>
      <c r="S3" s="65">
        <f>VLOOKUP($A3,Attendence!$A:$BD,50,0)</f>
        <v>0</v>
      </c>
      <c r="T3" s="65">
        <f>VLOOKUP($A3,Attendence!$A:$BD,51,0)</f>
        <v>0</v>
      </c>
      <c r="U3" s="65">
        <f>VLOOKUP($A3,Attendence!$A:$BD,52,0)</f>
        <v>9972</v>
      </c>
      <c r="V3" s="65">
        <f>VLOOKUP($A3,Attendence!$A:$BD,53,0)</f>
        <v>38000</v>
      </c>
      <c r="W3" s="65">
        <f>VLOOKUP($A3,Attendence!$A:$BD,54,0)</f>
        <v>28028</v>
      </c>
      <c r="X3" s="66"/>
      <c r="Y3" s="67" t="str">
        <f>VLOOKUP($A3,Salary!$A:$AI,2,0)</f>
        <v xml:space="preserve"> Mandeep Singh</v>
      </c>
      <c r="Z3" s="67">
        <f>VLOOKUP($A3,Salary!$A:$AI,3,0)</f>
        <v>45315</v>
      </c>
      <c r="AA3" s="67">
        <f>VLOOKUP($A3,Salary!$A:$AI,4,0)</f>
        <v>43633</v>
      </c>
      <c r="AB3" s="67" t="str">
        <f>VLOOKUP($A3,Salary!$A:$AI,5,0)</f>
        <v>ICICI</v>
      </c>
      <c r="AC3" s="67" t="str">
        <f>VLOOKUP($A3,Salary!$A:$AI,6,0)</f>
        <v>ICICI099677</v>
      </c>
      <c r="AD3" s="67">
        <f>VLOOKUP($A3,Salary!$A:$AI,7,0)</f>
        <v>5456565656</v>
      </c>
      <c r="AE3" s="67" t="str">
        <f>VLOOKUP($A3,Salary!$A:$AI,8,0)</f>
        <v>EGFD4432</v>
      </c>
      <c r="AF3" s="67" t="str">
        <f>VLOOKUP($A3,Salary!$A:$AI,9,0)</f>
        <v>Laravel Developer</v>
      </c>
      <c r="AG3" s="67" t="str">
        <f>VLOOKUP($A3,Salary!$A:$AI,10,0)</f>
        <v>Development</v>
      </c>
      <c r="AH3" s="67" t="str">
        <f>VLOOKUP($A3,Salary!$A:$AI,11,0)</f>
        <v>Mohali</v>
      </c>
      <c r="AI3" s="67">
        <f>VLOOKUP($A3,Salary!$A:$AI,12,0)</f>
        <v>31</v>
      </c>
      <c r="AJ3" s="67">
        <f>VLOOKUP($A3,Salary!$A:$AI,13,0)</f>
        <v>30</v>
      </c>
      <c r="AK3" s="67">
        <f>VLOOKUP($A3,Salary!$A:$AI,14,0)</f>
        <v>46000</v>
      </c>
      <c r="AL3" s="67">
        <f>VLOOKUP($A3,Salary!$A:$AI,15,0)</f>
        <v>16000</v>
      </c>
      <c r="AM3" s="67">
        <f>VLOOKUP($A3,Salary!$A:$AI,16,0)</f>
        <v>6009</v>
      </c>
      <c r="AN3" s="67">
        <f>VLOOKUP($A3,Salary!$A:$AI,17,0)</f>
        <v>2500</v>
      </c>
      <c r="AO3" s="67">
        <f>VLOOKUP($A3,Salary!$A:$AI,18,0)</f>
        <v>4566</v>
      </c>
      <c r="AP3" s="67">
        <f>VLOOKUP($A3,Salary!$A:$AI,19,0)</f>
        <v>45777</v>
      </c>
      <c r="AQ3" s="67">
        <f>VLOOKUP($A3,Salary!$A:$AI,20,0)</f>
        <v>500</v>
      </c>
      <c r="AR3" s="67">
        <f>VLOOKUP($A3,Salary!$A:$AI,23,0)</f>
        <v>1</v>
      </c>
      <c r="AS3" s="67">
        <f>VLOOKUP($A3,Salary!$A:$AI,24,0)</f>
        <v>1</v>
      </c>
      <c r="AT3" s="67">
        <f>VLOOKUP($A3,Salary!$A:$AI,25,0)</f>
        <v>0</v>
      </c>
      <c r="AU3" s="67">
        <f>VLOOKUP($A3,Salary!$A:$AI,26,0)</f>
        <v>0</v>
      </c>
      <c r="AV3" s="67">
        <f>VLOOKUP($A3,Salary!$A:$AI,27,0)</f>
        <v>200</v>
      </c>
      <c r="AW3" s="67">
        <f>VLOOKUP($A3,Salary!$A:$AI,28,0)</f>
        <v>500</v>
      </c>
      <c r="AX3" s="67">
        <f>VLOOKUP($A3,Salary!$A:$AI,29,0)</f>
        <v>0</v>
      </c>
      <c r="AY3" s="67">
        <f>VLOOKUP($A3,Salary!$A:$AI,30,0)</f>
        <v>1500</v>
      </c>
      <c r="AZ3" s="67">
        <f>VLOOKUP($A3,Salary!$A:$AI,31,0)</f>
        <v>0</v>
      </c>
      <c r="BA3" s="67">
        <f>VLOOKUP($A3,Salary!$A:$AI,32,0)</f>
        <v>0</v>
      </c>
      <c r="BB3" s="67">
        <f>VLOOKUP($A3,Salary!$A:$AI,33,0)</f>
        <v>2200</v>
      </c>
      <c r="BC3" s="67">
        <f>VLOOKUP($A3,Salary!$A:$AI,21,0)</f>
        <v>4350</v>
      </c>
      <c r="BD3" s="67" t="str">
        <f>VLOOKUP($A3,Salary!$A:$AI,22,0)</f>
        <v>fourty three thousand  five hundred rupees only</v>
      </c>
      <c r="BE3" s="67">
        <f>VLOOKUP($A3,Salary!$A:$AI,34,0)</f>
        <v>0</v>
      </c>
      <c r="BF3" s="67">
        <f>VLOOKUP($A3,Salary!$A:$AI,35,0)</f>
        <v>0</v>
      </c>
    </row>
    <row r="4" spans="1:58" ht="29.25">
      <c r="A4" s="19" t="s">
        <v>47</v>
      </c>
      <c r="B4" s="62" t="str">
        <f>VLOOKUP(A4,Attendence!A:BC,2,0)</f>
        <v xml:space="preserve"> Sakshi Salhotra</v>
      </c>
      <c r="C4" s="64">
        <f>VLOOKUP(A4,Attendence!A:BC,34,0)</f>
        <v>0</v>
      </c>
      <c r="D4" s="65">
        <f>VLOOKUP($A4,Attendence!A:BC,35,0)</f>
        <v>0</v>
      </c>
      <c r="E4" s="65">
        <f>VLOOKUP($A4,Attendence!$A:$BD,36,0)</f>
        <v>0</v>
      </c>
      <c r="F4" s="65">
        <f>VLOOKUP($A4,Attendence!$A:$BD,37,0)</f>
        <v>31</v>
      </c>
      <c r="G4" s="65">
        <f>VLOOKUP($A4,Attendence!$A:$BD,38,0)</f>
        <v>0</v>
      </c>
      <c r="H4" s="65">
        <f>VLOOKUP($A4,Attendence!$A:$BD,39,0)</f>
        <v>8</v>
      </c>
      <c r="I4" s="65">
        <f>VLOOKUP($A4,Attendence!$A:$BD,40,0)</f>
        <v>0</v>
      </c>
      <c r="J4" s="65">
        <f>VLOOKUP($A4,Attendence!$A:$BD,41,0)</f>
        <v>8</v>
      </c>
      <c r="K4" s="65">
        <f>VLOOKUP($A4,Attendence!$A:$BD,42,0)</f>
        <v>0</v>
      </c>
      <c r="L4" s="65">
        <f>VLOOKUP($A4,Attendence!$A:$BD,43,0)</f>
        <v>0</v>
      </c>
      <c r="M4" s="65">
        <f>VLOOKUP($A4,Attendence!$A:$BD,44,0)</f>
        <v>31</v>
      </c>
      <c r="N4" s="65">
        <f>VLOOKUP($A4,Attendence!$A:$BD,45,0)</f>
        <v>0</v>
      </c>
      <c r="O4" s="65">
        <f>VLOOKUP($A4,Attendence!$A:$BD,46,0)</f>
        <v>0</v>
      </c>
      <c r="P4" s="65">
        <f>VLOOKUP($A4,Attendence!$A:$BD,47,0)</f>
        <v>0</v>
      </c>
      <c r="Q4" s="65">
        <f>VLOOKUP($A4,Attendence!$A:$BD,48,0)</f>
        <v>0</v>
      </c>
      <c r="R4" s="65">
        <f>VLOOKUP($A4,Attendence!$A:$BD,49,0)</f>
        <v>0</v>
      </c>
      <c r="S4" s="65">
        <f>VLOOKUP($A4,Attendence!$A:$BD,50,0)</f>
        <v>0</v>
      </c>
      <c r="T4" s="65">
        <f>VLOOKUP($A4,Attendence!$A:$BD,51,0)</f>
        <v>0</v>
      </c>
      <c r="U4" s="65">
        <f>VLOOKUP($A4,Attendence!$A:$BD,52,0)</f>
        <v>0</v>
      </c>
      <c r="V4" s="65">
        <f>VLOOKUP($A4,Attendence!$A:$BD,53,0)</f>
        <v>45000</v>
      </c>
      <c r="W4" s="65">
        <f>VLOOKUP($A4,Attendence!$A:$BD,54,0)</f>
        <v>45000</v>
      </c>
      <c r="X4" s="66"/>
      <c r="Y4" s="67" t="str">
        <f>VLOOKUP($A4,Salary!$A:$AI,2,0)</f>
        <v xml:space="preserve"> Sakshi Salhotra</v>
      </c>
      <c r="Z4" s="67">
        <f>VLOOKUP($A4,Salary!$A:$AI,3,0)</f>
        <v>45315</v>
      </c>
      <c r="AA4" s="67">
        <f>VLOOKUP($A4,Salary!$A:$AI,4,0)</f>
        <v>43871</v>
      </c>
      <c r="AB4" s="67" t="str">
        <f>VLOOKUP($A4,Salary!$A:$AI,5,0)</f>
        <v>ICICI</v>
      </c>
      <c r="AC4" s="67" t="str">
        <f>VLOOKUP($A4,Salary!$A:$AI,6,0)</f>
        <v>ICICI099678</v>
      </c>
      <c r="AD4" s="67">
        <f>VLOOKUP($A4,Salary!$A:$AI,7,0)</f>
        <v>7887878787</v>
      </c>
      <c r="AE4" s="67" t="str">
        <f>VLOOKUP($A4,Salary!$A:$AI,8,0)</f>
        <v>LKBD4543</v>
      </c>
      <c r="AF4" s="67" t="str">
        <f>VLOOKUP($A4,Salary!$A:$AI,9,0)</f>
        <v>Magento Developer</v>
      </c>
      <c r="AG4" s="67" t="str">
        <f>VLOOKUP($A4,Salary!$A:$AI,10,0)</f>
        <v>Ecommerce</v>
      </c>
      <c r="AH4" s="67" t="str">
        <f>VLOOKUP($A4,Salary!$A:$AI,11,0)</f>
        <v>Mohali</v>
      </c>
      <c r="AI4" s="67">
        <f>VLOOKUP($A4,Salary!$A:$AI,12,0)</f>
        <v>31</v>
      </c>
      <c r="AJ4" s="67">
        <f>VLOOKUP($A4,Salary!$A:$AI,13,0)</f>
        <v>31</v>
      </c>
      <c r="AK4" s="67">
        <f>VLOOKUP($A4,Salary!$A:$AI,14,0)</f>
        <v>35000</v>
      </c>
      <c r="AL4" s="67">
        <f>VLOOKUP($A4,Salary!$A:$AI,15,0)</f>
        <v>15500</v>
      </c>
      <c r="AM4" s="67">
        <f>VLOOKUP($A4,Salary!$A:$AI,16,0)</f>
        <v>6009</v>
      </c>
      <c r="AN4" s="67">
        <f>VLOOKUP($A4,Salary!$A:$AI,17,0)</f>
        <v>2000</v>
      </c>
      <c r="AO4" s="67">
        <f>VLOOKUP($A4,Salary!$A:$AI,18,0)</f>
        <v>6654</v>
      </c>
      <c r="AP4" s="67">
        <f>VLOOKUP($A4,Salary!$A:$AI,19,0)</f>
        <v>7888</v>
      </c>
      <c r="AQ4" s="67">
        <f>VLOOKUP($A4,Salary!$A:$AI,20,0)</f>
        <v>0</v>
      </c>
      <c r="AR4" s="67">
        <f>VLOOKUP($A4,Salary!$A:$AI,23,0)</f>
        <v>0</v>
      </c>
      <c r="AS4" s="67">
        <f>VLOOKUP($A4,Salary!$A:$AI,24,0)</f>
        <v>1</v>
      </c>
      <c r="AT4" s="67">
        <f>VLOOKUP($A4,Salary!$A:$AI,25,0)</f>
        <v>1</v>
      </c>
      <c r="AU4" s="67">
        <f>VLOOKUP($A4,Salary!$A:$AI,26,0)</f>
        <v>0</v>
      </c>
      <c r="AV4" s="67">
        <f>VLOOKUP($A4,Salary!$A:$AI,27,0)</f>
        <v>200</v>
      </c>
      <c r="AW4" s="67">
        <f>VLOOKUP($A4,Salary!$A:$AI,28,0)</f>
        <v>0</v>
      </c>
      <c r="AX4" s="67">
        <f>VLOOKUP($A4,Salary!$A:$AI,29,0)</f>
        <v>0</v>
      </c>
      <c r="AY4" s="67">
        <f>VLOOKUP($A4,Salary!$A:$AI,30,0)</f>
        <v>0</v>
      </c>
      <c r="AZ4" s="67">
        <f>VLOOKUP($A4,Salary!$A:$AI,31,0)</f>
        <v>0</v>
      </c>
      <c r="BA4" s="67">
        <f>VLOOKUP($A4,Salary!$A:$AI,32,0)</f>
        <v>0</v>
      </c>
      <c r="BB4" s="67">
        <f>VLOOKUP($A4,Salary!$A:$AI,33,0)</f>
        <v>200</v>
      </c>
      <c r="BC4" s="67">
        <f>VLOOKUP($A4,Salary!$A:$AI,21,0)</f>
        <v>35000</v>
      </c>
      <c r="BD4" s="67" t="str">
        <f>VLOOKUP($A4,Salary!$A:$AI,22,0)</f>
        <v>Thirty five thousand rupees only</v>
      </c>
      <c r="BE4" s="67">
        <f>VLOOKUP($A4,Salary!$A:$AI,34,0)</f>
        <v>0</v>
      </c>
      <c r="BF4" s="67">
        <f>VLOOKUP($A4,Salary!$A:$AI,35,0)</f>
        <v>0</v>
      </c>
    </row>
    <row r="5" spans="1:58" ht="29.25">
      <c r="A5" s="19" t="s">
        <v>49</v>
      </c>
      <c r="B5" s="62" t="str">
        <f>VLOOKUP(A5,Attendence!A:BC,2,0)</f>
        <v xml:space="preserve"> Jasjeet Khipal</v>
      </c>
      <c r="C5" s="64">
        <f>VLOOKUP(A5,Attendence!A:BC,34,0)</f>
        <v>0</v>
      </c>
      <c r="D5" s="65">
        <f>VLOOKUP($A5,Attendence!A:BC,35,0)</f>
        <v>0</v>
      </c>
      <c r="E5" s="65">
        <f>VLOOKUP($A5,Attendence!$A:$BD,36,0)</f>
        <v>12</v>
      </c>
      <c r="F5" s="65">
        <f>VLOOKUP($A5,Attendence!$A:$BD,37,0)</f>
        <v>19</v>
      </c>
      <c r="G5" s="65">
        <f>VLOOKUP($A5,Attendence!$A:$BD,38,0)</f>
        <v>12</v>
      </c>
      <c r="H5" s="65">
        <f>VLOOKUP($A5,Attendence!$A:$BD,39,0)</f>
        <v>4</v>
      </c>
      <c r="I5" s="65">
        <f>VLOOKUP($A5,Attendence!$A:$BD,40,0)</f>
        <v>4</v>
      </c>
      <c r="J5" s="65">
        <f>VLOOKUP($A5,Attendence!$A:$BD,41,0)</f>
        <v>0</v>
      </c>
      <c r="K5" s="65">
        <f>VLOOKUP($A5,Attendence!$A:$BD,42,0)</f>
        <v>9</v>
      </c>
      <c r="L5" s="65">
        <f>VLOOKUP($A5,Attendence!$A:$BD,43,0)</f>
        <v>0</v>
      </c>
      <c r="M5" s="65">
        <f>VLOOKUP($A5,Attendence!$A:$BD,44,0)</f>
        <v>22</v>
      </c>
      <c r="N5" s="65">
        <f>VLOOKUP($A5,Attendence!$A:$BD,45,0)</f>
        <v>5806.4516129032254</v>
      </c>
      <c r="O5" s="65">
        <f>VLOOKUP($A5,Attendence!$A:$BD,46,0)</f>
        <v>3200</v>
      </c>
      <c r="P5" s="65">
        <f>VLOOKUP($A5,Attendence!$A:$BD,47,0)</f>
        <v>0</v>
      </c>
      <c r="Q5" s="65">
        <f>VLOOKUP($A5,Attendence!$A:$BD,48,0)</f>
        <v>0</v>
      </c>
      <c r="R5" s="65">
        <f>VLOOKUP($A5,Attendence!$A:$BD,49,0)</f>
        <v>0</v>
      </c>
      <c r="S5" s="65">
        <f>VLOOKUP($A5,Attendence!$A:$BD,50,0)</f>
        <v>0</v>
      </c>
      <c r="T5" s="65">
        <f>VLOOKUP($A5,Attendence!$A:$BD,51,0)</f>
        <v>0</v>
      </c>
      <c r="U5" s="65">
        <f>VLOOKUP($A5,Attendence!$A:$BD,52,0)</f>
        <v>9006.4516129032254</v>
      </c>
      <c r="V5" s="65">
        <f>VLOOKUP($A5,Attendence!$A:$BD,53,0)</f>
        <v>20000</v>
      </c>
      <c r="W5" s="65">
        <f>VLOOKUP($A5,Attendence!$A:$BD,54,0)</f>
        <v>10993.548387096775</v>
      </c>
      <c r="X5" s="66"/>
      <c r="Y5" s="67" t="str">
        <f>VLOOKUP($A5,Salary!$A:$AI,2,0)</f>
        <v xml:space="preserve"> Jasjeet Khipal</v>
      </c>
      <c r="Z5" s="67">
        <f>VLOOKUP($A5,Salary!$A:$AI,3,0)</f>
        <v>45315</v>
      </c>
      <c r="AA5" s="67">
        <f>VLOOKUP($A5,Salary!$A:$AI,4,0)</f>
        <v>43871</v>
      </c>
      <c r="AB5" s="67" t="str">
        <f>VLOOKUP($A5,Salary!$A:$AI,5,0)</f>
        <v>ICICI</v>
      </c>
      <c r="AC5" s="67" t="str">
        <f>VLOOKUP($A5,Salary!$A:$AI,6,0)</f>
        <v>ICICI099678</v>
      </c>
      <c r="AD5" s="67">
        <f>VLOOKUP($A5,Salary!$A:$AI,7,0)</f>
        <v>7887878787</v>
      </c>
      <c r="AE5" s="67" t="str">
        <f>VLOOKUP($A5,Salary!$A:$AI,8,0)</f>
        <v>LKBD4543</v>
      </c>
      <c r="AF5" s="67" t="str">
        <f>VLOOKUP($A5,Salary!$A:$AI,9,0)</f>
        <v>Magento Developer</v>
      </c>
      <c r="AG5" s="67" t="str">
        <f>VLOOKUP($A5,Salary!$A:$AI,10,0)</f>
        <v>Ecommerce</v>
      </c>
      <c r="AH5" s="67" t="str">
        <f>VLOOKUP($A5,Salary!$A:$AI,11,0)</f>
        <v>Mohali</v>
      </c>
      <c r="AI5" s="67">
        <f>VLOOKUP($A5,Salary!$A:$AI,12,0)</f>
        <v>31</v>
      </c>
      <c r="AJ5" s="67">
        <f>VLOOKUP($A5,Salary!$A:$AI,13,0)</f>
        <v>31</v>
      </c>
      <c r="AK5" s="67">
        <f>VLOOKUP($A5,Salary!$A:$AI,14,0)</f>
        <v>35000</v>
      </c>
      <c r="AL5" s="67">
        <f>VLOOKUP($A5,Salary!$A:$AI,15,0)</f>
        <v>15500</v>
      </c>
      <c r="AM5" s="67">
        <f>VLOOKUP($A5,Salary!$A:$AI,16,0)</f>
        <v>6009</v>
      </c>
      <c r="AN5" s="67">
        <f>VLOOKUP($A5,Salary!$A:$AI,17,0)</f>
        <v>2000</v>
      </c>
      <c r="AO5" s="67">
        <f>VLOOKUP($A5,Salary!$A:$AI,18,0)</f>
        <v>6654</v>
      </c>
      <c r="AP5" s="67">
        <f>VLOOKUP($A5,Salary!$A:$AI,19,0)</f>
        <v>7888</v>
      </c>
      <c r="AQ5" s="67">
        <f>VLOOKUP($A5,Salary!$A:$AI,20,0)</f>
        <v>0</v>
      </c>
      <c r="AR5" s="67">
        <f>VLOOKUP($A5,Salary!$A:$AI,23,0)</f>
        <v>0</v>
      </c>
      <c r="AS5" s="67">
        <f>VLOOKUP($A5,Salary!$A:$AI,24,0)</f>
        <v>1</v>
      </c>
      <c r="AT5" s="67">
        <f>VLOOKUP($A5,Salary!$A:$AI,25,0)</f>
        <v>1</v>
      </c>
      <c r="AU5" s="67">
        <f>VLOOKUP($A5,Salary!$A:$AI,26,0)</f>
        <v>0</v>
      </c>
      <c r="AV5" s="67">
        <f>VLOOKUP($A5,Salary!$A:$AI,27,0)</f>
        <v>200</v>
      </c>
      <c r="AW5" s="67">
        <f>VLOOKUP($A5,Salary!$A:$AI,28,0)</f>
        <v>0</v>
      </c>
      <c r="AX5" s="67">
        <f>VLOOKUP($A5,Salary!$A:$AI,29,0)</f>
        <v>0</v>
      </c>
      <c r="AY5" s="67">
        <f>VLOOKUP($A5,Salary!$A:$AI,30,0)</f>
        <v>0</v>
      </c>
      <c r="AZ5" s="67">
        <f>VLOOKUP($A5,Salary!$A:$AI,31,0)</f>
        <v>0</v>
      </c>
      <c r="BA5" s="67">
        <f>VLOOKUP($A5,Salary!$A:$AI,32,0)</f>
        <v>0</v>
      </c>
      <c r="BB5" s="67">
        <f>VLOOKUP($A5,Salary!$A:$AI,33,0)</f>
        <v>200</v>
      </c>
      <c r="BC5" s="67">
        <f>VLOOKUP($A5,Salary!$A:$AI,21,0)</f>
        <v>35000</v>
      </c>
      <c r="BD5" s="67" t="str">
        <f>VLOOKUP($A5,Salary!$A:$AI,22,0)</f>
        <v>Thirty five thousand rupees only</v>
      </c>
      <c r="BE5" s="67">
        <f>VLOOKUP($A5,Salary!$A:$AI,34,0)</f>
        <v>0</v>
      </c>
      <c r="BF5" s="67">
        <f>VLOOKUP($A5,Salary!$A:$AI,35,0)</f>
        <v>0</v>
      </c>
    </row>
    <row r="6" spans="1:58" ht="29.25">
      <c r="A6" s="19" t="s">
        <v>52</v>
      </c>
      <c r="B6" s="62" t="str">
        <f>VLOOKUP(A6,Attendence!A:BC,2,0)</f>
        <v xml:space="preserve"> Shubham Verma (Remote)</v>
      </c>
      <c r="C6" s="64">
        <f>VLOOKUP(A6,Attendence!A:BC,34,0)</f>
        <v>0</v>
      </c>
      <c r="D6" s="65">
        <f>VLOOKUP($A6,Attendence!A:BC,35,0)</f>
        <v>0</v>
      </c>
      <c r="E6" s="65">
        <f>VLOOKUP($A6,Attendence!$A:$BD,36,0)</f>
        <v>0</v>
      </c>
      <c r="F6" s="65">
        <f>VLOOKUP($A6,Attendence!$A:$BD,37,0)</f>
        <v>31</v>
      </c>
      <c r="G6" s="65">
        <f>VLOOKUP($A6,Attendence!$A:$BD,38,0)</f>
        <v>0</v>
      </c>
      <c r="H6" s="65">
        <f>VLOOKUP($A6,Attendence!$A:$BD,39,0)</f>
        <v>1.75</v>
      </c>
      <c r="I6" s="65">
        <f>VLOOKUP($A6,Attendence!$A:$BD,40,0)</f>
        <v>0</v>
      </c>
      <c r="J6" s="65">
        <f>VLOOKUP($A6,Attendence!$A:$BD,41,0)</f>
        <v>1.75</v>
      </c>
      <c r="K6" s="65">
        <f>VLOOKUP($A6,Attendence!$A:$BD,42,0)</f>
        <v>0</v>
      </c>
      <c r="L6" s="65">
        <f>VLOOKUP($A6,Attendence!$A:$BD,43,0)</f>
        <v>0</v>
      </c>
      <c r="M6" s="65">
        <f>VLOOKUP($A6,Attendence!$A:$BD,44,0)</f>
        <v>31</v>
      </c>
      <c r="N6" s="65">
        <f>VLOOKUP($A6,Attendence!$A:$BD,45,0)</f>
        <v>0</v>
      </c>
      <c r="O6" s="65">
        <f>VLOOKUP($A6,Attendence!$A:$BD,46,0)</f>
        <v>4800</v>
      </c>
      <c r="P6" s="65">
        <f>VLOOKUP($A6,Attendence!$A:$BD,47,0)</f>
        <v>0</v>
      </c>
      <c r="Q6" s="65">
        <f>VLOOKUP($A6,Attendence!$A:$BD,48,0)</f>
        <v>0</v>
      </c>
      <c r="R6" s="65">
        <f>VLOOKUP($A6,Attendence!$A:$BD,49,0)</f>
        <v>0</v>
      </c>
      <c r="S6" s="65">
        <f>VLOOKUP($A6,Attendence!$A:$BD,50,0)</f>
        <v>0</v>
      </c>
      <c r="T6" s="65">
        <f>VLOOKUP($A6,Attendence!$A:$BD,51,0)</f>
        <v>0</v>
      </c>
      <c r="U6" s="65">
        <f>VLOOKUP($A6,Attendence!$A:$BD,52,0)</f>
        <v>4800</v>
      </c>
      <c r="V6" s="65">
        <f>VLOOKUP($A6,Attendence!$A:$BD,53,0)</f>
        <v>100000</v>
      </c>
      <c r="W6" s="65">
        <f>VLOOKUP($A6,Attendence!$A:$BD,54,0)</f>
        <v>95200</v>
      </c>
      <c r="X6" s="66"/>
      <c r="Y6" s="67" t="str">
        <f>VLOOKUP($A6,Salary!$A:$AI,2,0)</f>
        <v xml:space="preserve"> Shubham Verma (Remote)</v>
      </c>
      <c r="Z6" s="67">
        <f>VLOOKUP($A6,Salary!$A:$AI,3,0)</f>
        <v>45315</v>
      </c>
      <c r="AA6" s="67">
        <f>VLOOKUP($A6,Salary!$A:$AI,4,0)</f>
        <v>42410</v>
      </c>
      <c r="AB6" s="67" t="str">
        <f>VLOOKUP($A6,Salary!$A:$AI,5,0)</f>
        <v>SBI</v>
      </c>
      <c r="AC6" s="67" t="str">
        <f>VLOOKUP($A6,Salary!$A:$AI,6,0)</f>
        <v>ICICI099676</v>
      </c>
      <c r="AD6" s="67">
        <f>VLOOKUP($A6,Salary!$A:$AI,7,0)</f>
        <v>3342342343</v>
      </c>
      <c r="AE6" s="67" t="str">
        <f>VLOOKUP($A6,Salary!$A:$AI,8,0)</f>
        <v>KSNF7393</v>
      </c>
      <c r="AF6" s="67" t="str">
        <f>VLOOKUP($A6,Salary!$A:$AI,9,0)</f>
        <v>Sr.Magento Developer</v>
      </c>
      <c r="AG6" s="67" t="str">
        <f>VLOOKUP($A6,Salary!$A:$AI,10,0)</f>
        <v>Development</v>
      </c>
      <c r="AH6" s="67" t="str">
        <f>VLOOKUP($A6,Salary!$A:$AI,11,0)</f>
        <v>Remote</v>
      </c>
      <c r="AI6" s="67">
        <f>VLOOKUP($A6,Salary!$A:$AI,12,0)</f>
        <v>31</v>
      </c>
      <c r="AJ6" s="67">
        <f>VLOOKUP($A6,Salary!$A:$AI,13,0)</f>
        <v>29</v>
      </c>
      <c r="AK6" s="67">
        <f>VLOOKUP($A6,Salary!$A:$AI,14,0)</f>
        <v>50000</v>
      </c>
      <c r="AL6" s="67">
        <f>VLOOKUP($A6,Salary!$A:$AI,15,0)</f>
        <v>17000</v>
      </c>
      <c r="AM6" s="67">
        <f>VLOOKUP($A6,Salary!$A:$AI,16,0)</f>
        <v>6009</v>
      </c>
      <c r="AN6" s="67">
        <f>VLOOKUP($A6,Salary!$A:$AI,17,0)</f>
        <v>3000</v>
      </c>
      <c r="AO6" s="67">
        <f>VLOOKUP($A6,Salary!$A:$AI,18,0)</f>
        <v>4433</v>
      </c>
      <c r="AP6" s="67">
        <f>VLOOKUP($A6,Salary!$A:$AI,19,0)</f>
        <v>6443</v>
      </c>
      <c r="AQ6" s="67">
        <f>VLOOKUP($A6,Salary!$A:$AI,20,0)</f>
        <v>0</v>
      </c>
      <c r="AR6" s="67">
        <f>VLOOKUP($A6,Salary!$A:$AI,23,0)</f>
        <v>2</v>
      </c>
      <c r="AS6" s="67">
        <f>VLOOKUP($A6,Salary!$A:$AI,24,0)</f>
        <v>1</v>
      </c>
      <c r="AT6" s="67">
        <f>VLOOKUP($A6,Salary!$A:$AI,25,0)</f>
        <v>0</v>
      </c>
      <c r="AU6" s="67">
        <f>VLOOKUP($A6,Salary!$A:$AI,26,0)</f>
        <v>1</v>
      </c>
      <c r="AV6" s="67">
        <f>VLOOKUP($A6,Salary!$A:$AI,27,0)</f>
        <v>200</v>
      </c>
      <c r="AW6" s="67">
        <f>VLOOKUP($A6,Salary!$A:$AI,28,0)</f>
        <v>1000</v>
      </c>
      <c r="AX6" s="67">
        <f>VLOOKUP($A6,Salary!$A:$AI,29,0)</f>
        <v>0</v>
      </c>
      <c r="AY6" s="67">
        <f>VLOOKUP($A6,Salary!$A:$AI,30,0)</f>
        <v>5000</v>
      </c>
      <c r="AZ6" s="67">
        <f>VLOOKUP($A6,Salary!$A:$AI,31,0)</f>
        <v>0</v>
      </c>
      <c r="BA6" s="67">
        <f>VLOOKUP($A6,Salary!$A:$AI,32,0)</f>
        <v>0</v>
      </c>
      <c r="BB6" s="67">
        <f>VLOOKUP($A6,Salary!$A:$AI,33,0)</f>
        <v>6200</v>
      </c>
      <c r="BC6" s="67">
        <f>VLOOKUP($A6,Salary!$A:$AI,21,0)</f>
        <v>4800</v>
      </c>
      <c r="BD6" s="67" t="str">
        <f>VLOOKUP($A6,Salary!$A:$AI,22,0)</f>
        <v>Fourty eightthousand rupees only</v>
      </c>
      <c r="BE6" s="67">
        <f>VLOOKUP($A6,Salary!$A:$AI,34,0)</f>
        <v>0</v>
      </c>
      <c r="BF6" s="67">
        <f>VLOOKUP($A6,Salary!$A:$AI,35,0)</f>
        <v>0</v>
      </c>
    </row>
    <row r="7" spans="1:58" ht="29.25">
      <c r="A7" s="19" t="s">
        <v>54</v>
      </c>
      <c r="B7" s="62" t="str">
        <f>VLOOKUP(A7,Attendence!A:BC,2,0)</f>
        <v xml:space="preserve"> Vinay Kumar</v>
      </c>
      <c r="C7" s="64">
        <f>VLOOKUP(A7,Attendence!A:BC,34,0)</f>
        <v>0.25</v>
      </c>
      <c r="D7" s="65">
        <f>VLOOKUP($A7,Attendence!A:BC,35,0)</f>
        <v>0</v>
      </c>
      <c r="E7" s="65">
        <f>VLOOKUP($A7,Attendence!$A:$BD,36,0)</f>
        <v>2</v>
      </c>
      <c r="F7" s="65">
        <f>VLOOKUP($A7,Attendence!$A:$BD,37,0)</f>
        <v>28.75</v>
      </c>
      <c r="G7" s="65">
        <f>VLOOKUP($A7,Attendence!$A:$BD,38,0)</f>
        <v>2.25</v>
      </c>
      <c r="H7" s="65">
        <f>VLOOKUP($A7,Attendence!$A:$BD,39,0)</f>
        <v>1.5</v>
      </c>
      <c r="I7" s="65">
        <f>VLOOKUP($A7,Attendence!$A:$BD,40,0)</f>
        <v>1.5</v>
      </c>
      <c r="J7" s="65">
        <f>VLOOKUP($A7,Attendence!$A:$BD,41,0)</f>
        <v>0</v>
      </c>
      <c r="K7" s="65">
        <f>VLOOKUP($A7,Attendence!$A:$BD,42,0)</f>
        <v>0.75</v>
      </c>
      <c r="L7" s="65">
        <f>VLOOKUP($A7,Attendence!$A:$BD,43,0)</f>
        <v>0</v>
      </c>
      <c r="M7" s="65">
        <f>VLOOKUP($A7,Attendence!$A:$BD,44,0)</f>
        <v>30.25</v>
      </c>
      <c r="N7" s="65">
        <f>VLOOKUP($A7,Attendence!$A:$BD,45,0)</f>
        <v>967.74193548387098</v>
      </c>
      <c r="O7" s="65">
        <f>VLOOKUP($A7,Attendence!$A:$BD,46,0)</f>
        <v>0</v>
      </c>
      <c r="P7" s="65">
        <f>VLOOKUP($A7,Attendence!$A:$BD,47,0)</f>
        <v>0</v>
      </c>
      <c r="Q7" s="65">
        <f>VLOOKUP($A7,Attendence!$A:$BD,48,0)</f>
        <v>0</v>
      </c>
      <c r="R7" s="65">
        <f>VLOOKUP($A7,Attendence!$A:$BD,49,0)</f>
        <v>0</v>
      </c>
      <c r="S7" s="65">
        <f>VLOOKUP($A7,Attendence!$A:$BD,50,0)</f>
        <v>0</v>
      </c>
      <c r="T7" s="65">
        <f>VLOOKUP($A7,Attendence!$A:$BD,51,0)</f>
        <v>0</v>
      </c>
      <c r="U7" s="65">
        <f>VLOOKUP($A7,Attendence!$A:$BD,52,0)</f>
        <v>967.74193548387098</v>
      </c>
      <c r="V7" s="65">
        <f>VLOOKUP($A7,Attendence!$A:$BD,53,0)</f>
        <v>40000</v>
      </c>
      <c r="W7" s="65">
        <f>VLOOKUP($A7,Attendence!$A:$BD,54,0)</f>
        <v>39032.258064516129</v>
      </c>
      <c r="X7" s="66"/>
      <c r="Y7" s="67" t="str">
        <f>VLOOKUP($A7,Salary!$A:$AI,2,0)</f>
        <v xml:space="preserve"> Vinay Kumar</v>
      </c>
      <c r="Z7" s="67">
        <f>VLOOKUP($A7,Salary!$A:$AI,3,0)</f>
        <v>45315</v>
      </c>
      <c r="AA7" s="67">
        <f>VLOOKUP($A7,Salary!$A:$AI,4,0)</f>
        <v>43633</v>
      </c>
      <c r="AB7" s="67" t="str">
        <f>VLOOKUP($A7,Salary!$A:$AI,5,0)</f>
        <v>ICICI</v>
      </c>
      <c r="AC7" s="67" t="str">
        <f>VLOOKUP($A7,Salary!$A:$AI,6,0)</f>
        <v>ICICI099677</v>
      </c>
      <c r="AD7" s="67">
        <f>VLOOKUP($A7,Salary!$A:$AI,7,0)</f>
        <v>5456565656</v>
      </c>
      <c r="AE7" s="67" t="str">
        <f>VLOOKUP($A7,Salary!$A:$AI,8,0)</f>
        <v>EGFD4432</v>
      </c>
      <c r="AF7" s="67" t="str">
        <f>VLOOKUP($A7,Salary!$A:$AI,9,0)</f>
        <v>Laravel Developer</v>
      </c>
      <c r="AG7" s="67" t="str">
        <f>VLOOKUP($A7,Salary!$A:$AI,10,0)</f>
        <v>Development</v>
      </c>
      <c r="AH7" s="67" t="str">
        <f>VLOOKUP($A7,Salary!$A:$AI,11,0)</f>
        <v>Mohali</v>
      </c>
      <c r="AI7" s="67">
        <f>VLOOKUP($A7,Salary!$A:$AI,12,0)</f>
        <v>31</v>
      </c>
      <c r="AJ7" s="67">
        <f>VLOOKUP($A7,Salary!$A:$AI,13,0)</f>
        <v>30</v>
      </c>
      <c r="AK7" s="67">
        <f>VLOOKUP($A7,Salary!$A:$AI,14,0)</f>
        <v>46000</v>
      </c>
      <c r="AL7" s="67">
        <f>VLOOKUP($A7,Salary!$A:$AI,15,0)</f>
        <v>16000</v>
      </c>
      <c r="AM7" s="67">
        <f>VLOOKUP($A7,Salary!$A:$AI,16,0)</f>
        <v>6009</v>
      </c>
      <c r="AN7" s="67">
        <f>VLOOKUP($A7,Salary!$A:$AI,17,0)</f>
        <v>2500</v>
      </c>
      <c r="AO7" s="67">
        <f>VLOOKUP($A7,Salary!$A:$AI,18,0)</f>
        <v>4566</v>
      </c>
      <c r="AP7" s="67">
        <f>VLOOKUP($A7,Salary!$A:$AI,19,0)</f>
        <v>45777</v>
      </c>
      <c r="AQ7" s="67">
        <f>VLOOKUP($A7,Salary!$A:$AI,20,0)</f>
        <v>500</v>
      </c>
      <c r="AR7" s="67">
        <f>VLOOKUP($A7,Salary!$A:$AI,23,0)</f>
        <v>1</v>
      </c>
      <c r="AS7" s="67">
        <f>VLOOKUP($A7,Salary!$A:$AI,24,0)</f>
        <v>1</v>
      </c>
      <c r="AT7" s="67">
        <f>VLOOKUP($A7,Salary!$A:$AI,25,0)</f>
        <v>0</v>
      </c>
      <c r="AU7" s="67">
        <f>VLOOKUP($A7,Salary!$A:$AI,26,0)</f>
        <v>0</v>
      </c>
      <c r="AV7" s="67">
        <f>VLOOKUP($A7,Salary!$A:$AI,27,0)</f>
        <v>200</v>
      </c>
      <c r="AW7" s="67">
        <f>VLOOKUP($A7,Salary!$A:$AI,28,0)</f>
        <v>500</v>
      </c>
      <c r="AX7" s="67">
        <f>VLOOKUP($A7,Salary!$A:$AI,29,0)</f>
        <v>0</v>
      </c>
      <c r="AY7" s="67">
        <f>VLOOKUP($A7,Salary!$A:$AI,30,0)</f>
        <v>1500</v>
      </c>
      <c r="AZ7" s="67">
        <f>VLOOKUP($A7,Salary!$A:$AI,31,0)</f>
        <v>0</v>
      </c>
      <c r="BA7" s="67">
        <f>VLOOKUP($A7,Salary!$A:$AI,32,0)</f>
        <v>0</v>
      </c>
      <c r="BB7" s="67">
        <f>VLOOKUP($A7,Salary!$A:$AI,33,0)</f>
        <v>2200</v>
      </c>
      <c r="BC7" s="67">
        <f>VLOOKUP($A7,Salary!$A:$AI,21,0)</f>
        <v>4350</v>
      </c>
      <c r="BD7" s="67" t="str">
        <f>VLOOKUP($A7,Salary!$A:$AI,22,0)</f>
        <v>fourty three thousand  five hundred rupees only</v>
      </c>
      <c r="BE7" s="67">
        <f>VLOOKUP($A7,Salary!$A:$AI,34,0)</f>
        <v>0</v>
      </c>
      <c r="BF7" s="67">
        <f>VLOOKUP($A7,Salary!$A:$AI,35,0)</f>
        <v>0</v>
      </c>
    </row>
    <row r="8" spans="1:58" ht="29.25">
      <c r="A8" s="19" t="s">
        <v>56</v>
      </c>
      <c r="B8" s="62" t="str">
        <f>VLOOKUP(A8,Attendence!A:BC,2,0)</f>
        <v xml:space="preserve">Shaik Shabbir Ali </v>
      </c>
      <c r="C8" s="64">
        <f>VLOOKUP(A8,Attendence!A:BC,34,0)</f>
        <v>0</v>
      </c>
      <c r="D8" s="65">
        <f>VLOOKUP($A8,Attendence!A:BC,35,0)</f>
        <v>0</v>
      </c>
      <c r="E8" s="65">
        <f>VLOOKUP($A8,Attendence!$A:$BD,36,0)</f>
        <v>1</v>
      </c>
      <c r="F8" s="65">
        <f>VLOOKUP($A8,Attendence!$A:$BD,37,0)</f>
        <v>30</v>
      </c>
      <c r="G8" s="65">
        <f>VLOOKUP($A8,Attendence!$A:$BD,38,0)</f>
        <v>1</v>
      </c>
      <c r="H8" s="65">
        <f>VLOOKUP($A8,Attendence!$A:$BD,39,0)</f>
        <v>2</v>
      </c>
      <c r="I8" s="65">
        <f>VLOOKUP($A8,Attendence!$A:$BD,40,0)</f>
        <v>1</v>
      </c>
      <c r="J8" s="65">
        <f>VLOOKUP($A8,Attendence!$A:$BD,41,0)</f>
        <v>1</v>
      </c>
      <c r="K8" s="65">
        <f>VLOOKUP($A8,Attendence!$A:$BD,42,0)</f>
        <v>0</v>
      </c>
      <c r="L8" s="65">
        <f>VLOOKUP($A8,Attendence!$A:$BD,43,0)</f>
        <v>0</v>
      </c>
      <c r="M8" s="65">
        <f>VLOOKUP($A8,Attendence!$A:$BD,44,0)</f>
        <v>31</v>
      </c>
      <c r="N8" s="65">
        <f>VLOOKUP($A8,Attendence!$A:$BD,45,0)</f>
        <v>0</v>
      </c>
      <c r="O8" s="65">
        <f>VLOOKUP($A8,Attendence!$A:$BD,46,0)</f>
        <v>0</v>
      </c>
      <c r="P8" s="65">
        <f>VLOOKUP($A8,Attendence!$A:$BD,47,0)</f>
        <v>0</v>
      </c>
      <c r="Q8" s="65">
        <f>VLOOKUP($A8,Attendence!$A:$BD,48,0)</f>
        <v>0</v>
      </c>
      <c r="R8" s="65">
        <f>VLOOKUP($A8,Attendence!$A:$BD,49,0)</f>
        <v>0</v>
      </c>
      <c r="S8" s="65">
        <f>VLOOKUP($A8,Attendence!$A:$BD,50,0)</f>
        <v>0</v>
      </c>
      <c r="T8" s="65">
        <f>VLOOKUP($A8,Attendence!$A:$BD,51,0)</f>
        <v>0</v>
      </c>
      <c r="U8" s="65">
        <f>VLOOKUP($A8,Attendence!$A:$BD,52,0)</f>
        <v>0</v>
      </c>
      <c r="V8" s="65">
        <f>VLOOKUP($A8,Attendence!$A:$BD,53,0)</f>
        <v>58000</v>
      </c>
      <c r="W8" s="65">
        <f>VLOOKUP($A8,Attendence!$A:$BD,54,0)</f>
        <v>58000</v>
      </c>
      <c r="X8" s="66"/>
      <c r="Y8" s="67" t="str">
        <f>VLOOKUP($A8,Salary!$A:$AI,2,0)</f>
        <v xml:space="preserve">Shaik Shabbir Ali </v>
      </c>
      <c r="Z8" s="67">
        <f>VLOOKUP($A8,Salary!$A:$AI,3,0)</f>
        <v>45315</v>
      </c>
      <c r="AA8" s="67">
        <f>VLOOKUP($A8,Salary!$A:$AI,4,0)</f>
        <v>43871</v>
      </c>
      <c r="AB8" s="67" t="str">
        <f>VLOOKUP($A8,Salary!$A:$AI,5,0)</f>
        <v>ICICI</v>
      </c>
      <c r="AC8" s="67" t="str">
        <f>VLOOKUP($A8,Salary!$A:$AI,6,0)</f>
        <v>ICICI099678</v>
      </c>
      <c r="AD8" s="67">
        <f>VLOOKUP($A8,Salary!$A:$AI,7,0)</f>
        <v>7887878787</v>
      </c>
      <c r="AE8" s="67" t="str">
        <f>VLOOKUP($A8,Salary!$A:$AI,8,0)</f>
        <v>LKBD4543</v>
      </c>
      <c r="AF8" s="67" t="str">
        <f>VLOOKUP($A8,Salary!$A:$AI,9,0)</f>
        <v>Magento Developer</v>
      </c>
      <c r="AG8" s="67" t="str">
        <f>VLOOKUP($A8,Salary!$A:$AI,10,0)</f>
        <v>Ecommerce</v>
      </c>
      <c r="AH8" s="67" t="str">
        <f>VLOOKUP($A8,Salary!$A:$AI,11,0)</f>
        <v>Mohali</v>
      </c>
      <c r="AI8" s="67">
        <f>VLOOKUP($A8,Salary!$A:$AI,12,0)</f>
        <v>31</v>
      </c>
      <c r="AJ8" s="67">
        <f>VLOOKUP($A8,Salary!$A:$AI,13,0)</f>
        <v>31</v>
      </c>
      <c r="AK8" s="67">
        <f>VLOOKUP($A8,Salary!$A:$AI,14,0)</f>
        <v>35000</v>
      </c>
      <c r="AL8" s="67">
        <f>VLOOKUP($A8,Salary!$A:$AI,15,0)</f>
        <v>15500</v>
      </c>
      <c r="AM8" s="67">
        <f>VLOOKUP($A8,Salary!$A:$AI,16,0)</f>
        <v>6009</v>
      </c>
      <c r="AN8" s="67">
        <f>VLOOKUP($A8,Salary!$A:$AI,17,0)</f>
        <v>2000</v>
      </c>
      <c r="AO8" s="67">
        <f>VLOOKUP($A8,Salary!$A:$AI,18,0)</f>
        <v>6654</v>
      </c>
      <c r="AP8" s="67">
        <f>VLOOKUP($A8,Salary!$A:$AI,19,0)</f>
        <v>7888</v>
      </c>
      <c r="AQ8" s="67">
        <f>VLOOKUP($A8,Salary!$A:$AI,20,0)</f>
        <v>0</v>
      </c>
      <c r="AR8" s="67">
        <f>VLOOKUP($A8,Salary!$A:$AI,23,0)</f>
        <v>0</v>
      </c>
      <c r="AS8" s="67">
        <f>VLOOKUP($A8,Salary!$A:$AI,24,0)</f>
        <v>1</v>
      </c>
      <c r="AT8" s="67">
        <f>VLOOKUP($A8,Salary!$A:$AI,25,0)</f>
        <v>1</v>
      </c>
      <c r="AU8" s="67">
        <f>VLOOKUP($A8,Salary!$A:$AI,26,0)</f>
        <v>0</v>
      </c>
      <c r="AV8" s="67">
        <f>VLOOKUP($A8,Salary!$A:$AI,27,0)</f>
        <v>200</v>
      </c>
      <c r="AW8" s="67">
        <f>VLOOKUP($A8,Salary!$A:$AI,28,0)</f>
        <v>0</v>
      </c>
      <c r="AX8" s="67">
        <f>VLOOKUP($A8,Salary!$A:$AI,29,0)</f>
        <v>0</v>
      </c>
      <c r="AY8" s="67">
        <f>VLOOKUP($A8,Salary!$A:$AI,30,0)</f>
        <v>0</v>
      </c>
      <c r="AZ8" s="67">
        <f>VLOOKUP($A8,Salary!$A:$AI,31,0)</f>
        <v>0</v>
      </c>
      <c r="BA8" s="67">
        <f>VLOOKUP($A8,Salary!$A:$AI,32,0)</f>
        <v>0</v>
      </c>
      <c r="BB8" s="67">
        <f>VLOOKUP($A8,Salary!$A:$AI,33,0)</f>
        <v>200</v>
      </c>
      <c r="BC8" s="67">
        <f>VLOOKUP($A8,Salary!$A:$AI,21,0)</f>
        <v>35000</v>
      </c>
      <c r="BD8" s="67" t="str">
        <f>VLOOKUP($A8,Salary!$A:$AI,22,0)</f>
        <v>Thirty five thousand rupees only</v>
      </c>
      <c r="BE8" s="67">
        <f>VLOOKUP($A8,Salary!$A:$AI,34,0)</f>
        <v>0</v>
      </c>
      <c r="BF8" s="67">
        <f>VLOOKUP($A8,Salary!$A:$AI,35,0)</f>
        <v>0</v>
      </c>
    </row>
    <row r="9" spans="1:58" ht="29.25">
      <c r="A9" s="19" t="s">
        <v>58</v>
      </c>
      <c r="B9" s="62" t="str">
        <f>VLOOKUP(A9,Attendence!A:BC,2,0)</f>
        <v>Jaskirat Singh</v>
      </c>
      <c r="C9" s="64">
        <f>VLOOKUP(A9,Attendence!A:BC,34,0)</f>
        <v>0</v>
      </c>
      <c r="D9" s="65">
        <f>VLOOKUP($A9,Attendence!A:BC,35,0)</f>
        <v>0.5</v>
      </c>
      <c r="E9" s="65">
        <f>VLOOKUP($A9,Attendence!$A:$BD,36,0)</f>
        <v>1</v>
      </c>
      <c r="F9" s="65">
        <f>VLOOKUP($A9,Attendence!$A:$BD,37,0)</f>
        <v>29.5</v>
      </c>
      <c r="G9" s="65">
        <f>VLOOKUP($A9,Attendence!$A:$BD,38,0)</f>
        <v>1.5</v>
      </c>
      <c r="H9" s="65">
        <f>VLOOKUP($A9,Attendence!$A:$BD,39,0)</f>
        <v>5.75</v>
      </c>
      <c r="I9" s="65">
        <f>VLOOKUP($A9,Attendence!$A:$BD,40,0)</f>
        <v>1.5</v>
      </c>
      <c r="J9" s="65">
        <f>VLOOKUP($A9,Attendence!$A:$BD,41,0)</f>
        <v>4.25</v>
      </c>
      <c r="K9" s="65">
        <f>VLOOKUP($A9,Attendence!$A:$BD,42,0)</f>
        <v>0</v>
      </c>
      <c r="L9" s="65">
        <f>VLOOKUP($A9,Attendence!$A:$BD,43,0)</f>
        <v>0</v>
      </c>
      <c r="M9" s="65">
        <f>VLOOKUP($A9,Attendence!$A:$BD,44,0)</f>
        <v>31</v>
      </c>
      <c r="N9" s="65">
        <f>VLOOKUP($A9,Attendence!$A:$BD,45,0)</f>
        <v>0</v>
      </c>
      <c r="O9" s="65">
        <f>VLOOKUP($A9,Attendence!$A:$BD,46,0)</f>
        <v>0</v>
      </c>
      <c r="P9" s="65">
        <f>VLOOKUP($A9,Attendence!$A:$BD,47,0)</f>
        <v>0</v>
      </c>
      <c r="Q9" s="65">
        <f>VLOOKUP($A9,Attendence!$A:$BD,48,0)</f>
        <v>0</v>
      </c>
      <c r="R9" s="65">
        <f>VLOOKUP($A9,Attendence!$A:$BD,49,0)</f>
        <v>0</v>
      </c>
      <c r="S9" s="65">
        <f>VLOOKUP($A9,Attendence!$A:$BD,50,0)</f>
        <v>0</v>
      </c>
      <c r="T9" s="65">
        <f>VLOOKUP($A9,Attendence!$A:$BD,51,0)</f>
        <v>0</v>
      </c>
      <c r="U9" s="65">
        <f>VLOOKUP($A9,Attendence!$A:$BD,52,0)</f>
        <v>0</v>
      </c>
      <c r="V9" s="65">
        <f>VLOOKUP($A9,Attendence!$A:$BD,53,0)</f>
        <v>39800</v>
      </c>
      <c r="W9" s="65">
        <f>VLOOKUP($A9,Attendence!$A:$BD,54,0)</f>
        <v>39800</v>
      </c>
      <c r="X9" s="66"/>
      <c r="Y9" s="67" t="str">
        <f>VLOOKUP($A9,Salary!$A:$AI,2,0)</f>
        <v>Jaskirat Singh</v>
      </c>
      <c r="Z9" s="67">
        <f>VLOOKUP($A9,Salary!$A:$AI,3,0)</f>
        <v>45315</v>
      </c>
      <c r="AA9" s="67">
        <f>VLOOKUP($A9,Salary!$A:$AI,4,0)</f>
        <v>43871</v>
      </c>
      <c r="AB9" s="67" t="str">
        <f>VLOOKUP($A9,Salary!$A:$AI,5,0)</f>
        <v>ICICI</v>
      </c>
      <c r="AC9" s="67" t="str">
        <f>VLOOKUP($A9,Salary!$A:$AI,6,0)</f>
        <v>ICICI099678</v>
      </c>
      <c r="AD9" s="67">
        <f>VLOOKUP($A9,Salary!$A:$AI,7,0)</f>
        <v>7887878787</v>
      </c>
      <c r="AE9" s="67" t="str">
        <f>VLOOKUP($A9,Salary!$A:$AI,8,0)</f>
        <v>LKBD4543</v>
      </c>
      <c r="AF9" s="67" t="str">
        <f>VLOOKUP($A9,Salary!$A:$AI,9,0)</f>
        <v>Magento Developer</v>
      </c>
      <c r="AG9" s="67" t="str">
        <f>VLOOKUP($A9,Salary!$A:$AI,10,0)</f>
        <v>Ecommerce</v>
      </c>
      <c r="AH9" s="67" t="str">
        <f>VLOOKUP($A9,Salary!$A:$AI,11,0)</f>
        <v>Mohali</v>
      </c>
      <c r="AI9" s="67">
        <f>VLOOKUP($A9,Salary!$A:$AI,12,0)</f>
        <v>31</v>
      </c>
      <c r="AJ9" s="67">
        <f>VLOOKUP($A9,Salary!$A:$AI,13,0)</f>
        <v>31</v>
      </c>
      <c r="AK9" s="67">
        <f>VLOOKUP($A9,Salary!$A:$AI,14,0)</f>
        <v>35000</v>
      </c>
      <c r="AL9" s="67">
        <f>VLOOKUP($A9,Salary!$A:$AI,15,0)</f>
        <v>15500</v>
      </c>
      <c r="AM9" s="67">
        <f>VLOOKUP($A9,Salary!$A:$AI,16,0)</f>
        <v>6009</v>
      </c>
      <c r="AN9" s="67">
        <f>VLOOKUP($A9,Salary!$A:$AI,17,0)</f>
        <v>2000</v>
      </c>
      <c r="AO9" s="67">
        <f>VLOOKUP($A9,Salary!$A:$AI,18,0)</f>
        <v>6654</v>
      </c>
      <c r="AP9" s="67">
        <f>VLOOKUP($A9,Salary!$A:$AI,19,0)</f>
        <v>7888</v>
      </c>
      <c r="AQ9" s="67">
        <f>VLOOKUP($A9,Salary!$A:$AI,20,0)</f>
        <v>0</v>
      </c>
      <c r="AR9" s="67">
        <f>VLOOKUP($A9,Salary!$A:$AI,23,0)</f>
        <v>0</v>
      </c>
      <c r="AS9" s="67">
        <f>VLOOKUP($A9,Salary!$A:$AI,24,0)</f>
        <v>1</v>
      </c>
      <c r="AT9" s="67">
        <f>VLOOKUP($A9,Salary!$A:$AI,25,0)</f>
        <v>1</v>
      </c>
      <c r="AU9" s="67">
        <f>VLOOKUP($A9,Salary!$A:$AI,26,0)</f>
        <v>0</v>
      </c>
      <c r="AV9" s="67">
        <f>VLOOKUP($A9,Salary!$A:$AI,27,0)</f>
        <v>200</v>
      </c>
      <c r="AW9" s="67">
        <f>VLOOKUP($A9,Salary!$A:$AI,28,0)</f>
        <v>0</v>
      </c>
      <c r="AX9" s="67">
        <f>VLOOKUP($A9,Salary!$A:$AI,29,0)</f>
        <v>0</v>
      </c>
      <c r="AY9" s="67">
        <f>VLOOKUP($A9,Salary!$A:$AI,30,0)</f>
        <v>0</v>
      </c>
      <c r="AZ9" s="67">
        <f>VLOOKUP($A9,Salary!$A:$AI,31,0)</f>
        <v>0</v>
      </c>
      <c r="BA9" s="67">
        <f>VLOOKUP($A9,Salary!$A:$AI,32,0)</f>
        <v>0</v>
      </c>
      <c r="BB9" s="67">
        <f>VLOOKUP($A9,Salary!$A:$AI,33,0)</f>
        <v>200</v>
      </c>
      <c r="BC9" s="67">
        <f>VLOOKUP($A9,Salary!$A:$AI,21,0)</f>
        <v>35000</v>
      </c>
      <c r="BD9" s="67" t="str">
        <f>VLOOKUP($A9,Salary!$A:$AI,22,0)</f>
        <v>Thirty five thousand rupees only</v>
      </c>
      <c r="BE9" s="67">
        <f>VLOOKUP($A9,Salary!$A:$AI,34,0)</f>
        <v>0</v>
      </c>
      <c r="BF9" s="67">
        <f>VLOOKUP($A9,Salary!$A:$AI,35,0)</f>
        <v>0</v>
      </c>
    </row>
    <row r="10" spans="1:58" ht="29.25">
      <c r="A10" s="19" t="s">
        <v>60</v>
      </c>
      <c r="B10" s="62" t="str">
        <f>VLOOKUP(A10,Attendence!A:BC,2,0)</f>
        <v>Kavita Rani</v>
      </c>
      <c r="C10" s="64">
        <f>VLOOKUP(A10,Attendence!A:BC,34,0)</f>
        <v>0</v>
      </c>
      <c r="D10" s="65">
        <f>VLOOKUP($A10,Attendence!A:BC,35,0)</f>
        <v>0.5</v>
      </c>
      <c r="E10" s="65">
        <f>VLOOKUP($A10,Attendence!$A:$BD,36,0)</f>
        <v>1</v>
      </c>
      <c r="F10" s="65">
        <f>VLOOKUP($A10,Attendence!$A:$BD,37,0)</f>
        <v>29.5</v>
      </c>
      <c r="G10" s="65">
        <f>VLOOKUP($A10,Attendence!$A:$BD,38,0)</f>
        <v>1.5</v>
      </c>
      <c r="H10" s="65">
        <f>VLOOKUP($A10,Attendence!$A:$BD,39,0)</f>
        <v>1</v>
      </c>
      <c r="I10" s="65">
        <f>VLOOKUP($A10,Attendence!$A:$BD,40,0)</f>
        <v>1</v>
      </c>
      <c r="J10" s="65">
        <f>VLOOKUP($A10,Attendence!$A:$BD,41,0)</f>
        <v>0</v>
      </c>
      <c r="K10" s="65">
        <f>VLOOKUP($A10,Attendence!$A:$BD,42,0)</f>
        <v>0.5</v>
      </c>
      <c r="L10" s="65">
        <f>VLOOKUP($A10,Attendence!$A:$BD,43,0)</f>
        <v>0</v>
      </c>
      <c r="M10" s="65">
        <f>VLOOKUP($A10,Attendence!$A:$BD,44,0)</f>
        <v>30.5</v>
      </c>
      <c r="N10" s="65">
        <f>VLOOKUP($A10,Attendence!$A:$BD,45,0)</f>
        <v>806.45161290322585</v>
      </c>
      <c r="O10" s="65">
        <f>VLOOKUP($A10,Attendence!$A:$BD,46,0)</f>
        <v>0</v>
      </c>
      <c r="P10" s="65">
        <f>VLOOKUP($A10,Attendence!$A:$BD,47,0)</f>
        <v>0</v>
      </c>
      <c r="Q10" s="65">
        <f>VLOOKUP($A10,Attendence!$A:$BD,48,0)</f>
        <v>0</v>
      </c>
      <c r="R10" s="65">
        <f>VLOOKUP($A10,Attendence!$A:$BD,49,0)</f>
        <v>0</v>
      </c>
      <c r="S10" s="65">
        <f>VLOOKUP($A10,Attendence!$A:$BD,50,0)</f>
        <v>0</v>
      </c>
      <c r="T10" s="65">
        <f>VLOOKUP($A10,Attendence!$A:$BD,51,0)</f>
        <v>0</v>
      </c>
      <c r="U10" s="65">
        <f>VLOOKUP($A10,Attendence!$A:$BD,52,0)</f>
        <v>806.45161290322585</v>
      </c>
      <c r="V10" s="65">
        <f>VLOOKUP($A10,Attendence!$A:$BD,53,0)</f>
        <v>50000</v>
      </c>
      <c r="W10" s="65">
        <f>VLOOKUP($A10,Attendence!$A:$BD,54,0)</f>
        <v>49193.548387096773</v>
      </c>
      <c r="X10" s="66"/>
      <c r="Y10" s="67" t="str">
        <f>VLOOKUP($A10,Salary!$A:$AI,2,0)</f>
        <v>Kavita Rani</v>
      </c>
      <c r="Z10" s="67">
        <f>VLOOKUP($A10,Salary!$A:$AI,3,0)</f>
        <v>45315</v>
      </c>
      <c r="AA10" s="67">
        <f>VLOOKUP($A10,Salary!$A:$AI,4,0)</f>
        <v>42410</v>
      </c>
      <c r="AB10" s="67" t="str">
        <f>VLOOKUP($A10,Salary!$A:$AI,5,0)</f>
        <v>SBI</v>
      </c>
      <c r="AC10" s="67" t="str">
        <f>VLOOKUP($A10,Salary!$A:$AI,6,0)</f>
        <v>ICICI099676</v>
      </c>
      <c r="AD10" s="67">
        <f>VLOOKUP($A10,Salary!$A:$AI,7,0)</f>
        <v>3342342343</v>
      </c>
      <c r="AE10" s="67" t="str">
        <f>VLOOKUP($A10,Salary!$A:$AI,8,0)</f>
        <v>KSNF7393</v>
      </c>
      <c r="AF10" s="67" t="str">
        <f>VLOOKUP($A10,Salary!$A:$AI,9,0)</f>
        <v>Sr.Magento Developer</v>
      </c>
      <c r="AG10" s="67" t="str">
        <f>VLOOKUP($A10,Salary!$A:$AI,10,0)</f>
        <v>Development</v>
      </c>
      <c r="AH10" s="67" t="str">
        <f>VLOOKUP($A10,Salary!$A:$AI,11,0)</f>
        <v>Remote</v>
      </c>
      <c r="AI10" s="67">
        <f>VLOOKUP($A10,Salary!$A:$AI,12,0)</f>
        <v>31</v>
      </c>
      <c r="AJ10" s="67">
        <f>VLOOKUP($A10,Salary!$A:$AI,13,0)</f>
        <v>29</v>
      </c>
      <c r="AK10" s="67">
        <f>VLOOKUP($A10,Salary!$A:$AI,14,0)</f>
        <v>50000</v>
      </c>
      <c r="AL10" s="67">
        <f>VLOOKUP($A10,Salary!$A:$AI,15,0)</f>
        <v>17000</v>
      </c>
      <c r="AM10" s="67">
        <f>VLOOKUP($A10,Salary!$A:$AI,16,0)</f>
        <v>6009</v>
      </c>
      <c r="AN10" s="67">
        <f>VLOOKUP($A10,Salary!$A:$AI,17,0)</f>
        <v>3000</v>
      </c>
      <c r="AO10" s="67">
        <f>VLOOKUP($A10,Salary!$A:$AI,18,0)</f>
        <v>4433</v>
      </c>
      <c r="AP10" s="67">
        <f>VLOOKUP($A10,Salary!$A:$AI,19,0)</f>
        <v>6443</v>
      </c>
      <c r="AQ10" s="67">
        <f>VLOOKUP($A10,Salary!$A:$AI,20,0)</f>
        <v>0</v>
      </c>
      <c r="AR10" s="67">
        <f>VLOOKUP($A10,Salary!$A:$AI,23,0)</f>
        <v>2</v>
      </c>
      <c r="AS10" s="67">
        <f>VLOOKUP($A10,Salary!$A:$AI,24,0)</f>
        <v>1</v>
      </c>
      <c r="AT10" s="67">
        <f>VLOOKUP($A10,Salary!$A:$AI,25,0)</f>
        <v>0</v>
      </c>
      <c r="AU10" s="67">
        <f>VLOOKUP($A10,Salary!$A:$AI,26,0)</f>
        <v>1</v>
      </c>
      <c r="AV10" s="67">
        <f>VLOOKUP($A10,Salary!$A:$AI,27,0)</f>
        <v>200</v>
      </c>
      <c r="AW10" s="67">
        <f>VLOOKUP($A10,Salary!$A:$AI,28,0)</f>
        <v>1000</v>
      </c>
      <c r="AX10" s="67">
        <f>VLOOKUP($A10,Salary!$A:$AI,29,0)</f>
        <v>0</v>
      </c>
      <c r="AY10" s="67">
        <f>VLOOKUP($A10,Salary!$A:$AI,30,0)</f>
        <v>5000</v>
      </c>
      <c r="AZ10" s="67">
        <f>VLOOKUP($A10,Salary!$A:$AI,31,0)</f>
        <v>0</v>
      </c>
      <c r="BA10" s="67">
        <f>VLOOKUP($A10,Salary!$A:$AI,32,0)</f>
        <v>0</v>
      </c>
      <c r="BB10" s="67">
        <f>VLOOKUP($A10,Salary!$A:$AI,33,0)</f>
        <v>6200</v>
      </c>
      <c r="BC10" s="67">
        <f>VLOOKUP($A10,Salary!$A:$AI,21,0)</f>
        <v>4800</v>
      </c>
      <c r="BD10" s="67" t="str">
        <f>VLOOKUP($A10,Salary!$A:$AI,22,0)</f>
        <v>Fourty eightthousand rupees only</v>
      </c>
      <c r="BE10" s="67">
        <f>VLOOKUP($A10,Salary!$A:$AI,34,0)</f>
        <v>0</v>
      </c>
      <c r="BF10" s="67">
        <f>VLOOKUP($A10,Salary!$A:$AI,35,0)</f>
        <v>0</v>
      </c>
    </row>
    <row r="11" spans="1:58" ht="29.25">
      <c r="A11" s="35" t="s">
        <v>62</v>
      </c>
      <c r="B11" s="62" t="str">
        <f>VLOOKUP(A11,Attendence!A:BC,2,0)</f>
        <v>Balwinder kumar</v>
      </c>
      <c r="C11" s="64">
        <f>VLOOKUP(A11,Attendence!A:BC,34,0)</f>
        <v>0</v>
      </c>
      <c r="D11" s="65">
        <f>VLOOKUP($A11,Attendence!A:BC,35,0)</f>
        <v>0.5</v>
      </c>
      <c r="E11" s="65">
        <f>VLOOKUP($A11,Attendence!$A:$BD,36,0)</f>
        <v>0</v>
      </c>
      <c r="F11" s="65">
        <f>VLOOKUP($A11,Attendence!$A:$BD,37,0)</f>
        <v>30.5</v>
      </c>
      <c r="G11" s="65">
        <f>VLOOKUP($A11,Attendence!$A:$BD,38,0)</f>
        <v>0.5</v>
      </c>
      <c r="H11" s="65">
        <f>VLOOKUP($A11,Attendence!$A:$BD,39,0)</f>
        <v>2.25</v>
      </c>
      <c r="I11" s="65">
        <f>VLOOKUP($A11,Attendence!$A:$BD,40,0)</f>
        <v>0.5</v>
      </c>
      <c r="J11" s="65">
        <f>VLOOKUP($A11,Attendence!$A:$BD,41,0)</f>
        <v>1.75</v>
      </c>
      <c r="K11" s="65">
        <f>VLOOKUP($A11,Attendence!$A:$BD,42,0)</f>
        <v>0</v>
      </c>
      <c r="L11" s="65">
        <f>VLOOKUP($A11,Attendence!$A:$BD,43,0)</f>
        <v>0</v>
      </c>
      <c r="M11" s="65">
        <f>VLOOKUP($A11,Attendence!$A:$BD,44,0)</f>
        <v>31</v>
      </c>
      <c r="N11" s="65">
        <f>VLOOKUP($A11,Attendence!$A:$BD,45,0)</f>
        <v>0</v>
      </c>
      <c r="O11" s="65">
        <f>VLOOKUP($A11,Attendence!$A:$BD,46,0)</f>
        <v>0</v>
      </c>
      <c r="P11" s="65">
        <f>VLOOKUP($A11,Attendence!$A:$BD,47,0)</f>
        <v>0</v>
      </c>
      <c r="Q11" s="65">
        <f>VLOOKUP($A11,Attendence!$A:$BD,48,0)</f>
        <v>0</v>
      </c>
      <c r="R11" s="65">
        <f>VLOOKUP($A11,Attendence!$A:$BD,49,0)</f>
        <v>0</v>
      </c>
      <c r="S11" s="65">
        <f>VLOOKUP($A11,Attendence!$A:$BD,50,0)</f>
        <v>0</v>
      </c>
      <c r="T11" s="65">
        <f>VLOOKUP($A11,Attendence!$A:$BD,51,0)</f>
        <v>0</v>
      </c>
      <c r="U11" s="65">
        <f>VLOOKUP($A11,Attendence!$A:$BD,52,0)</f>
        <v>0</v>
      </c>
      <c r="V11" s="65">
        <f>VLOOKUP($A11,Attendence!$A:$BD,53,0)</f>
        <v>70000</v>
      </c>
      <c r="W11" s="65">
        <f>VLOOKUP($A11,Attendence!$A:$BD,54,0)</f>
        <v>70000</v>
      </c>
      <c r="X11" s="66"/>
      <c r="Y11" s="67" t="str">
        <f>VLOOKUP($A11,Salary!$A:$AI,2,0)</f>
        <v>Balwinder kumar</v>
      </c>
      <c r="Z11" s="67">
        <f>VLOOKUP($A11,Salary!$A:$AI,3,0)</f>
        <v>45315</v>
      </c>
      <c r="AA11" s="67">
        <f>VLOOKUP($A11,Salary!$A:$AI,4,0)</f>
        <v>43633</v>
      </c>
      <c r="AB11" s="67" t="str">
        <f>VLOOKUP($A11,Salary!$A:$AI,5,0)</f>
        <v>ICICI</v>
      </c>
      <c r="AC11" s="67" t="str">
        <f>VLOOKUP($A11,Salary!$A:$AI,6,0)</f>
        <v>ICICI099677</v>
      </c>
      <c r="AD11" s="67">
        <f>VLOOKUP($A11,Salary!$A:$AI,7,0)</f>
        <v>5456565656</v>
      </c>
      <c r="AE11" s="67" t="str">
        <f>VLOOKUP($A11,Salary!$A:$AI,8,0)</f>
        <v>EGFD4432</v>
      </c>
      <c r="AF11" s="67" t="str">
        <f>VLOOKUP($A11,Salary!$A:$AI,9,0)</f>
        <v>Laravel Developer</v>
      </c>
      <c r="AG11" s="67" t="str">
        <f>VLOOKUP($A11,Salary!$A:$AI,10,0)</f>
        <v>Development</v>
      </c>
      <c r="AH11" s="67" t="str">
        <f>VLOOKUP($A11,Salary!$A:$AI,11,0)</f>
        <v>Mohali</v>
      </c>
      <c r="AI11" s="67">
        <f>VLOOKUP($A11,Salary!$A:$AI,12,0)</f>
        <v>31</v>
      </c>
      <c r="AJ11" s="67">
        <f>VLOOKUP($A11,Salary!$A:$AI,13,0)</f>
        <v>30</v>
      </c>
      <c r="AK11" s="67">
        <f>VLOOKUP($A11,Salary!$A:$AI,14,0)</f>
        <v>46000</v>
      </c>
      <c r="AL11" s="67">
        <f>VLOOKUP($A11,Salary!$A:$AI,15,0)</f>
        <v>16000</v>
      </c>
      <c r="AM11" s="67">
        <f>VLOOKUP($A11,Salary!$A:$AI,16,0)</f>
        <v>6009</v>
      </c>
      <c r="AN11" s="67">
        <f>VLOOKUP($A11,Salary!$A:$AI,17,0)</f>
        <v>2500</v>
      </c>
      <c r="AO11" s="67">
        <f>VLOOKUP($A11,Salary!$A:$AI,18,0)</f>
        <v>4566</v>
      </c>
      <c r="AP11" s="67">
        <f>VLOOKUP($A11,Salary!$A:$AI,19,0)</f>
        <v>45777</v>
      </c>
      <c r="AQ11" s="67">
        <f>VLOOKUP($A11,Salary!$A:$AI,20,0)</f>
        <v>500</v>
      </c>
      <c r="AR11" s="67">
        <f>VLOOKUP($A11,Salary!$A:$AI,23,0)</f>
        <v>1</v>
      </c>
      <c r="AS11" s="67">
        <f>VLOOKUP($A11,Salary!$A:$AI,24,0)</f>
        <v>1</v>
      </c>
      <c r="AT11" s="67">
        <f>VLOOKUP($A11,Salary!$A:$AI,25,0)</f>
        <v>0</v>
      </c>
      <c r="AU11" s="67">
        <f>VLOOKUP($A11,Salary!$A:$AI,26,0)</f>
        <v>0</v>
      </c>
      <c r="AV11" s="67">
        <f>VLOOKUP($A11,Salary!$A:$AI,27,0)</f>
        <v>200</v>
      </c>
      <c r="AW11" s="67">
        <f>VLOOKUP($A11,Salary!$A:$AI,28,0)</f>
        <v>500</v>
      </c>
      <c r="AX11" s="67">
        <f>VLOOKUP($A11,Salary!$A:$AI,29,0)</f>
        <v>0</v>
      </c>
      <c r="AY11" s="67">
        <f>VLOOKUP($A11,Salary!$A:$AI,30,0)</f>
        <v>1500</v>
      </c>
      <c r="AZ11" s="67">
        <f>VLOOKUP($A11,Salary!$A:$AI,31,0)</f>
        <v>0</v>
      </c>
      <c r="BA11" s="67">
        <f>VLOOKUP($A11,Salary!$A:$AI,32,0)</f>
        <v>0</v>
      </c>
      <c r="BB11" s="67">
        <f>VLOOKUP($A11,Salary!$A:$AI,33,0)</f>
        <v>2200</v>
      </c>
      <c r="BC11" s="67">
        <f>VLOOKUP($A11,Salary!$A:$AI,21,0)</f>
        <v>4350</v>
      </c>
      <c r="BD11" s="67" t="str">
        <f>VLOOKUP($A11,Salary!$A:$AI,22,0)</f>
        <v>fourty three thousand  five hundred rupees only</v>
      </c>
      <c r="BE11" s="67">
        <f>VLOOKUP($A11,Salary!$A:$AI,34,0)</f>
        <v>0</v>
      </c>
      <c r="BF11" s="67">
        <f>VLOOKUP($A11,Salary!$A:$AI,35,0)</f>
        <v>0</v>
      </c>
    </row>
    <row r="12" spans="1:58" ht="29.25">
      <c r="A12" s="35" t="s">
        <v>64</v>
      </c>
      <c r="B12" s="62" t="str">
        <f>VLOOKUP(A12,Attendence!A:BC,2,0)</f>
        <v>Utkarsh Rathi</v>
      </c>
      <c r="C12" s="64">
        <f>VLOOKUP(A12,Attendence!A:BC,34,0)</f>
        <v>0.75</v>
      </c>
      <c r="D12" s="65">
        <f>VLOOKUP($A12,Attendence!A:BC,35,0)</f>
        <v>0.5</v>
      </c>
      <c r="E12" s="65">
        <f>VLOOKUP($A12,Attendence!$A:$BD,36,0)</f>
        <v>11</v>
      </c>
      <c r="F12" s="65">
        <f>VLOOKUP($A12,Attendence!$A:$BD,37,0)</f>
        <v>18.75</v>
      </c>
      <c r="G12" s="65">
        <f>VLOOKUP($A12,Attendence!$A:$BD,38,0)</f>
        <v>12.25</v>
      </c>
      <c r="H12" s="65">
        <f>VLOOKUP($A12,Attendence!$A:$BD,39,0)</f>
        <v>0</v>
      </c>
      <c r="I12" s="65">
        <f>VLOOKUP($A12,Attendence!$A:$BD,40,0)</f>
        <v>0</v>
      </c>
      <c r="J12" s="65">
        <f>VLOOKUP($A12,Attendence!$A:$BD,41,0)</f>
        <v>0</v>
      </c>
      <c r="K12" s="65">
        <f>VLOOKUP($A12,Attendence!$A:$BD,42,0)</f>
        <v>12.25</v>
      </c>
      <c r="L12" s="65">
        <f>VLOOKUP($A12,Attendence!$A:$BD,43,0)</f>
        <v>0</v>
      </c>
      <c r="M12" s="65">
        <f>VLOOKUP($A12,Attendence!$A:$BD,44,0)</f>
        <v>18.75</v>
      </c>
      <c r="N12" s="65">
        <f>VLOOKUP($A12,Attendence!$A:$BD,45,0)</f>
        <v>9879.032258064517</v>
      </c>
      <c r="O12" s="65">
        <f>VLOOKUP($A12,Attendence!$A:$BD,46,0)</f>
        <v>0</v>
      </c>
      <c r="P12" s="65">
        <f>VLOOKUP($A12,Attendence!$A:$BD,47,0)</f>
        <v>0</v>
      </c>
      <c r="Q12" s="65">
        <f>VLOOKUP($A12,Attendence!$A:$BD,48,0)</f>
        <v>0</v>
      </c>
      <c r="R12" s="65">
        <f>VLOOKUP($A12,Attendence!$A:$BD,49,0)</f>
        <v>0</v>
      </c>
      <c r="S12" s="65">
        <f>VLOOKUP($A12,Attendence!$A:$BD,50,0)</f>
        <v>0</v>
      </c>
      <c r="T12" s="65">
        <f>VLOOKUP($A12,Attendence!$A:$BD,51,0)</f>
        <v>9685</v>
      </c>
      <c r="U12" s="65">
        <f>VLOOKUP($A12,Attendence!$A:$BD,52,0)</f>
        <v>9879.032258064517</v>
      </c>
      <c r="V12" s="65">
        <f>VLOOKUP($A12,Attendence!$A:$BD,53,0)</f>
        <v>25000</v>
      </c>
      <c r="W12" s="65">
        <f>VLOOKUP($A12,Attendence!$A:$BD,54,0)</f>
        <v>24805.967741935485</v>
      </c>
      <c r="X12" s="66"/>
      <c r="Y12" s="67" t="str">
        <f>VLOOKUP($A12,Salary!$A:$AI,2,0)</f>
        <v>Utkarsh Rathi</v>
      </c>
      <c r="Z12" s="67">
        <f>VLOOKUP($A12,Salary!$A:$AI,3,0)</f>
        <v>45315</v>
      </c>
      <c r="AA12" s="67">
        <f>VLOOKUP($A12,Salary!$A:$AI,4,0)</f>
        <v>43871</v>
      </c>
      <c r="AB12" s="67" t="str">
        <f>VLOOKUP($A12,Salary!$A:$AI,5,0)</f>
        <v>ICICI</v>
      </c>
      <c r="AC12" s="67" t="str">
        <f>VLOOKUP($A12,Salary!$A:$AI,6,0)</f>
        <v>ICICI099678</v>
      </c>
      <c r="AD12" s="67">
        <f>VLOOKUP($A12,Salary!$A:$AI,7,0)</f>
        <v>7887878787</v>
      </c>
      <c r="AE12" s="67" t="str">
        <f>VLOOKUP($A12,Salary!$A:$AI,8,0)</f>
        <v>LKBD4543</v>
      </c>
      <c r="AF12" s="67" t="str">
        <f>VLOOKUP($A12,Salary!$A:$AI,9,0)</f>
        <v>Magento Developer</v>
      </c>
      <c r="AG12" s="67" t="str">
        <f>VLOOKUP($A12,Salary!$A:$AI,10,0)</f>
        <v>Ecommerce</v>
      </c>
      <c r="AH12" s="67" t="str">
        <f>VLOOKUP($A12,Salary!$A:$AI,11,0)</f>
        <v>Mohali</v>
      </c>
      <c r="AI12" s="67">
        <f>VLOOKUP($A12,Salary!$A:$AI,12,0)</f>
        <v>31</v>
      </c>
      <c r="AJ12" s="67">
        <f>VLOOKUP($A12,Salary!$A:$AI,13,0)</f>
        <v>31</v>
      </c>
      <c r="AK12" s="67">
        <f>VLOOKUP($A12,Salary!$A:$AI,14,0)</f>
        <v>35000</v>
      </c>
      <c r="AL12" s="67">
        <f>VLOOKUP($A12,Salary!$A:$AI,15,0)</f>
        <v>15500</v>
      </c>
      <c r="AM12" s="67">
        <f>VLOOKUP($A12,Salary!$A:$AI,16,0)</f>
        <v>6009</v>
      </c>
      <c r="AN12" s="67">
        <f>VLOOKUP($A12,Salary!$A:$AI,17,0)</f>
        <v>2000</v>
      </c>
      <c r="AO12" s="67">
        <f>VLOOKUP($A12,Salary!$A:$AI,18,0)</f>
        <v>6654</v>
      </c>
      <c r="AP12" s="67">
        <f>VLOOKUP($A12,Salary!$A:$AI,19,0)</f>
        <v>7888</v>
      </c>
      <c r="AQ12" s="67">
        <f>VLOOKUP($A12,Salary!$A:$AI,20,0)</f>
        <v>0</v>
      </c>
      <c r="AR12" s="67">
        <f>VLOOKUP($A12,Salary!$A:$AI,23,0)</f>
        <v>0</v>
      </c>
      <c r="AS12" s="67">
        <f>VLOOKUP($A12,Salary!$A:$AI,24,0)</f>
        <v>1</v>
      </c>
      <c r="AT12" s="67">
        <f>VLOOKUP($A12,Salary!$A:$AI,25,0)</f>
        <v>1</v>
      </c>
      <c r="AU12" s="67">
        <f>VLOOKUP($A12,Salary!$A:$AI,26,0)</f>
        <v>0</v>
      </c>
      <c r="AV12" s="67">
        <f>VLOOKUP($A12,Salary!$A:$AI,27,0)</f>
        <v>200</v>
      </c>
      <c r="AW12" s="67">
        <f>VLOOKUP($A12,Salary!$A:$AI,28,0)</f>
        <v>0</v>
      </c>
      <c r="AX12" s="67">
        <f>VLOOKUP($A12,Salary!$A:$AI,29,0)</f>
        <v>0</v>
      </c>
      <c r="AY12" s="67">
        <f>VLOOKUP($A12,Salary!$A:$AI,30,0)</f>
        <v>0</v>
      </c>
      <c r="AZ12" s="67">
        <f>VLOOKUP($A12,Salary!$A:$AI,31,0)</f>
        <v>0</v>
      </c>
      <c r="BA12" s="67">
        <f>VLOOKUP($A12,Salary!$A:$AI,32,0)</f>
        <v>0</v>
      </c>
      <c r="BB12" s="67">
        <f>VLOOKUP($A12,Salary!$A:$AI,33,0)</f>
        <v>200</v>
      </c>
      <c r="BC12" s="67">
        <f>VLOOKUP($A12,Salary!$A:$AI,21,0)</f>
        <v>35000</v>
      </c>
      <c r="BD12" s="67" t="str">
        <f>VLOOKUP($A12,Salary!$A:$AI,22,0)</f>
        <v>Thirty five thousand rupees only</v>
      </c>
      <c r="BE12" s="67">
        <f>VLOOKUP($A12,Salary!$A:$AI,34,0)</f>
        <v>0</v>
      </c>
      <c r="BF12" s="67">
        <f>VLOOKUP($A12,Salary!$A:$AI,35,0)</f>
        <v>0</v>
      </c>
    </row>
    <row r="13" spans="1:58" ht="29.25">
      <c r="A13" s="19" t="s">
        <v>66</v>
      </c>
      <c r="B13" s="62" t="str">
        <f>VLOOKUP(A13,Attendence!A:BC,2,0)</f>
        <v>Syed Imtiyaz</v>
      </c>
      <c r="C13" s="64">
        <f>VLOOKUP(A13,Attendence!A:BC,34,0)</f>
        <v>0.25</v>
      </c>
      <c r="D13" s="65">
        <f>VLOOKUP($A13,Attendence!A:BC,35,0)</f>
        <v>0.5</v>
      </c>
      <c r="E13" s="65">
        <f>VLOOKUP($A13,Attendence!$A:$BD,36,0)</f>
        <v>1</v>
      </c>
      <c r="F13" s="65">
        <f>VLOOKUP($A13,Attendence!$A:$BD,37,0)</f>
        <v>29.25</v>
      </c>
      <c r="G13" s="65">
        <f>VLOOKUP($A13,Attendence!$A:$BD,38,0)</f>
        <v>1.75</v>
      </c>
      <c r="H13" s="65">
        <f>VLOOKUP($A13,Attendence!$A:$BD,39,0)</f>
        <v>0</v>
      </c>
      <c r="I13" s="65">
        <f>VLOOKUP($A13,Attendence!$A:$BD,40,0)</f>
        <v>0</v>
      </c>
      <c r="J13" s="65">
        <f>VLOOKUP($A13,Attendence!$A:$BD,41,0)</f>
        <v>0</v>
      </c>
      <c r="K13" s="65">
        <f>VLOOKUP($A13,Attendence!$A:$BD,42,0)</f>
        <v>1.75</v>
      </c>
      <c r="L13" s="65">
        <f>VLOOKUP($A13,Attendence!$A:$BD,43,0)</f>
        <v>0</v>
      </c>
      <c r="M13" s="65">
        <f>VLOOKUP($A13,Attendence!$A:$BD,44,0)</f>
        <v>29.25</v>
      </c>
      <c r="N13" s="65">
        <f>VLOOKUP($A13,Attendence!$A:$BD,45,0)</f>
        <v>2145.1612903225805</v>
      </c>
      <c r="O13" s="65">
        <f>VLOOKUP($A13,Attendence!$A:$BD,46,0)</f>
        <v>0</v>
      </c>
      <c r="P13" s="65">
        <f>VLOOKUP($A13,Attendence!$A:$BD,47,0)</f>
        <v>16735</v>
      </c>
      <c r="Q13" s="65">
        <f>VLOOKUP($A13,Attendence!$A:$BD,48,0)</f>
        <v>0</v>
      </c>
      <c r="R13" s="65">
        <f>VLOOKUP($A13,Attendence!$A:$BD,49,0)</f>
        <v>1800</v>
      </c>
      <c r="S13" s="65">
        <f>VLOOKUP($A13,Attendence!$A:$BD,50,0)</f>
        <v>0</v>
      </c>
      <c r="T13" s="65">
        <f>VLOOKUP($A13,Attendence!$A:$BD,51,0)</f>
        <v>9131</v>
      </c>
      <c r="U13" s="65">
        <f>VLOOKUP($A13,Attendence!$A:$BD,52,0)</f>
        <v>20680.16129032258</v>
      </c>
      <c r="V13" s="65">
        <f>VLOOKUP($A13,Attendence!$A:$BD,53,0)</f>
        <v>38000</v>
      </c>
      <c r="W13" s="65">
        <f>VLOOKUP($A13,Attendence!$A:$BD,54,0)</f>
        <v>26450.83870967742</v>
      </c>
      <c r="X13" s="66"/>
      <c r="Y13" s="67" t="str">
        <f>VLOOKUP($A13,Salary!$A:$AI,2,0)</f>
        <v>Syed Imtiyaz</v>
      </c>
      <c r="Z13" s="67">
        <f>VLOOKUP($A13,Salary!$A:$AI,3,0)</f>
        <v>45315</v>
      </c>
      <c r="AA13" s="67">
        <f>VLOOKUP($A13,Salary!$A:$AI,4,0)</f>
        <v>43871</v>
      </c>
      <c r="AB13" s="67" t="str">
        <f>VLOOKUP($A13,Salary!$A:$AI,5,0)</f>
        <v>ICICI</v>
      </c>
      <c r="AC13" s="67" t="str">
        <f>VLOOKUP($A13,Salary!$A:$AI,6,0)</f>
        <v>ICICI099678</v>
      </c>
      <c r="AD13" s="67">
        <f>VLOOKUP($A13,Salary!$A:$AI,7,0)</f>
        <v>7887878787</v>
      </c>
      <c r="AE13" s="67" t="str">
        <f>VLOOKUP($A13,Salary!$A:$AI,8,0)</f>
        <v>LKBD4543</v>
      </c>
      <c r="AF13" s="67" t="str">
        <f>VLOOKUP($A13,Salary!$A:$AI,9,0)</f>
        <v>Magento Developer</v>
      </c>
      <c r="AG13" s="67" t="str">
        <f>VLOOKUP($A13,Salary!$A:$AI,10,0)</f>
        <v>Ecommerce</v>
      </c>
      <c r="AH13" s="67" t="str">
        <f>VLOOKUP($A13,Salary!$A:$AI,11,0)</f>
        <v>Mohali</v>
      </c>
      <c r="AI13" s="67">
        <f>VLOOKUP($A13,Salary!$A:$AI,12,0)</f>
        <v>31</v>
      </c>
      <c r="AJ13" s="67">
        <f>VLOOKUP($A13,Salary!$A:$AI,13,0)</f>
        <v>31</v>
      </c>
      <c r="AK13" s="67">
        <f>VLOOKUP($A13,Salary!$A:$AI,14,0)</f>
        <v>35000</v>
      </c>
      <c r="AL13" s="67">
        <f>VLOOKUP($A13,Salary!$A:$AI,15,0)</f>
        <v>15500</v>
      </c>
      <c r="AM13" s="67">
        <f>VLOOKUP($A13,Salary!$A:$AI,16,0)</f>
        <v>6009</v>
      </c>
      <c r="AN13" s="67">
        <f>VLOOKUP($A13,Salary!$A:$AI,17,0)</f>
        <v>2000</v>
      </c>
      <c r="AO13" s="67">
        <f>VLOOKUP($A13,Salary!$A:$AI,18,0)</f>
        <v>6654</v>
      </c>
      <c r="AP13" s="67">
        <f>VLOOKUP($A13,Salary!$A:$AI,19,0)</f>
        <v>7888</v>
      </c>
      <c r="AQ13" s="67">
        <f>VLOOKUP($A13,Salary!$A:$AI,20,0)</f>
        <v>0</v>
      </c>
      <c r="AR13" s="67">
        <f>VLOOKUP($A13,Salary!$A:$AI,23,0)</f>
        <v>0</v>
      </c>
      <c r="AS13" s="67">
        <f>VLOOKUP($A13,Salary!$A:$AI,24,0)</f>
        <v>1</v>
      </c>
      <c r="AT13" s="67">
        <f>VLOOKUP($A13,Salary!$A:$AI,25,0)</f>
        <v>1</v>
      </c>
      <c r="AU13" s="67">
        <f>VLOOKUP($A13,Salary!$A:$AI,26,0)</f>
        <v>0</v>
      </c>
      <c r="AV13" s="67">
        <f>VLOOKUP($A13,Salary!$A:$AI,27,0)</f>
        <v>200</v>
      </c>
      <c r="AW13" s="67">
        <f>VLOOKUP($A13,Salary!$A:$AI,28,0)</f>
        <v>0</v>
      </c>
      <c r="AX13" s="67">
        <f>VLOOKUP($A13,Salary!$A:$AI,29,0)</f>
        <v>0</v>
      </c>
      <c r="AY13" s="67">
        <f>VLOOKUP($A13,Salary!$A:$AI,30,0)</f>
        <v>0</v>
      </c>
      <c r="AZ13" s="67">
        <f>VLOOKUP($A13,Salary!$A:$AI,31,0)</f>
        <v>0</v>
      </c>
      <c r="BA13" s="67">
        <f>VLOOKUP($A13,Salary!$A:$AI,32,0)</f>
        <v>0</v>
      </c>
      <c r="BB13" s="67">
        <f>VLOOKUP($A13,Salary!$A:$AI,33,0)</f>
        <v>200</v>
      </c>
      <c r="BC13" s="67">
        <f>VLOOKUP($A13,Salary!$A:$AI,21,0)</f>
        <v>35000</v>
      </c>
      <c r="BD13" s="67" t="str">
        <f>VLOOKUP($A13,Salary!$A:$AI,22,0)</f>
        <v>Thirty five thousand rupees only</v>
      </c>
      <c r="BE13" s="67">
        <f>VLOOKUP($A13,Salary!$A:$AI,34,0)</f>
        <v>0</v>
      </c>
      <c r="BF13" s="67">
        <f>VLOOKUP($A13,Salary!$A:$AI,35,0)</f>
        <v>0</v>
      </c>
    </row>
    <row r="14" spans="1:58" ht="29.25">
      <c r="A14" s="19" t="s">
        <v>68</v>
      </c>
      <c r="B14" s="62" t="str">
        <f>VLOOKUP(A14,Attendence!A:BC,2,0)</f>
        <v>Akhil Pathania</v>
      </c>
      <c r="C14" s="64">
        <f>VLOOKUP(A14,Attendence!A:BC,34,0)</f>
        <v>0.25</v>
      </c>
      <c r="D14" s="65">
        <f>VLOOKUP($A14,Attendence!A:BC,35,0)</f>
        <v>1</v>
      </c>
      <c r="E14" s="65">
        <f>VLOOKUP($A14,Attendence!$A:$BD,36,0)</f>
        <v>1</v>
      </c>
      <c r="F14" s="65">
        <f>VLOOKUP($A14,Attendence!$A:$BD,37,0)</f>
        <v>28.75</v>
      </c>
      <c r="G14" s="65">
        <f>VLOOKUP($A14,Attendence!$A:$BD,38,0)</f>
        <v>2.25</v>
      </c>
      <c r="H14" s="65">
        <f>VLOOKUP($A14,Attendence!$A:$BD,39,0)</f>
        <v>1</v>
      </c>
      <c r="I14" s="65">
        <f>VLOOKUP($A14,Attendence!$A:$BD,40,0)</f>
        <v>1</v>
      </c>
      <c r="J14" s="65">
        <f>VLOOKUP($A14,Attendence!$A:$BD,41,0)</f>
        <v>0</v>
      </c>
      <c r="K14" s="65">
        <f>VLOOKUP($A14,Attendence!$A:$BD,42,0)</f>
        <v>1.25</v>
      </c>
      <c r="L14" s="65">
        <f>VLOOKUP($A14,Attendence!$A:$BD,43,0)</f>
        <v>0</v>
      </c>
      <c r="M14" s="65">
        <f>VLOOKUP($A14,Attendence!$A:$BD,44,0)</f>
        <v>29.75</v>
      </c>
      <c r="N14" s="65">
        <f>VLOOKUP($A14,Attendence!$A:$BD,45,0)</f>
        <v>2217.7419354838712</v>
      </c>
      <c r="O14" s="65">
        <f>VLOOKUP($A14,Attendence!$A:$BD,46,0)</f>
        <v>5000</v>
      </c>
      <c r="P14" s="65">
        <f>VLOOKUP($A14,Attendence!$A:$BD,47,0)</f>
        <v>0</v>
      </c>
      <c r="Q14" s="65">
        <f>VLOOKUP($A14,Attendence!$A:$BD,48,0)</f>
        <v>0</v>
      </c>
      <c r="R14" s="65">
        <f>VLOOKUP($A14,Attendence!$A:$BD,49,0)</f>
        <v>0</v>
      </c>
      <c r="S14" s="65">
        <f>VLOOKUP($A14,Attendence!$A:$BD,50,0)</f>
        <v>0</v>
      </c>
      <c r="T14" s="65">
        <f>VLOOKUP($A14,Attendence!$A:$BD,51,0)</f>
        <v>0</v>
      </c>
      <c r="U14" s="65">
        <f>VLOOKUP($A14,Attendence!$A:$BD,52,0)</f>
        <v>7217.7419354838712</v>
      </c>
      <c r="V14" s="65">
        <f>VLOOKUP($A14,Attendence!$A:$BD,53,0)</f>
        <v>55000</v>
      </c>
      <c r="W14" s="65">
        <f>VLOOKUP($A14,Attendence!$A:$BD,54,0)</f>
        <v>47782.258064516129</v>
      </c>
      <c r="X14" s="66"/>
      <c r="Y14" s="67" t="str">
        <f>VLOOKUP($A14,Salary!$A:$AI,2,0)</f>
        <v>Akhil Pathania</v>
      </c>
      <c r="Z14" s="67">
        <f>VLOOKUP($A14,Salary!$A:$AI,3,0)</f>
        <v>45315</v>
      </c>
      <c r="AA14" s="67">
        <f>VLOOKUP($A14,Salary!$A:$AI,4,0)</f>
        <v>42410</v>
      </c>
      <c r="AB14" s="67" t="str">
        <f>VLOOKUP($A14,Salary!$A:$AI,5,0)</f>
        <v>SBI</v>
      </c>
      <c r="AC14" s="67" t="str">
        <f>VLOOKUP($A14,Salary!$A:$AI,6,0)</f>
        <v>ICICI099676</v>
      </c>
      <c r="AD14" s="67">
        <f>VLOOKUP($A14,Salary!$A:$AI,7,0)</f>
        <v>3342342343</v>
      </c>
      <c r="AE14" s="67" t="str">
        <f>VLOOKUP($A14,Salary!$A:$AI,8,0)</f>
        <v>KSNF7393</v>
      </c>
      <c r="AF14" s="67" t="str">
        <f>VLOOKUP($A14,Salary!$A:$AI,9,0)</f>
        <v>Sr.Magento Developer</v>
      </c>
      <c r="AG14" s="67" t="str">
        <f>VLOOKUP($A14,Salary!$A:$AI,10,0)</f>
        <v>Development</v>
      </c>
      <c r="AH14" s="67" t="str">
        <f>VLOOKUP($A14,Salary!$A:$AI,11,0)</f>
        <v>Remote</v>
      </c>
      <c r="AI14" s="67">
        <f>VLOOKUP($A14,Salary!$A:$AI,12,0)</f>
        <v>31</v>
      </c>
      <c r="AJ14" s="67">
        <f>VLOOKUP($A14,Salary!$A:$AI,13,0)</f>
        <v>29</v>
      </c>
      <c r="AK14" s="67">
        <f>VLOOKUP($A14,Salary!$A:$AI,14,0)</f>
        <v>50000</v>
      </c>
      <c r="AL14" s="67">
        <f>VLOOKUP($A14,Salary!$A:$AI,15,0)</f>
        <v>17000</v>
      </c>
      <c r="AM14" s="67">
        <f>VLOOKUP($A14,Salary!$A:$AI,16,0)</f>
        <v>6009</v>
      </c>
      <c r="AN14" s="67">
        <f>VLOOKUP($A14,Salary!$A:$AI,17,0)</f>
        <v>3000</v>
      </c>
      <c r="AO14" s="67">
        <f>VLOOKUP($A14,Salary!$A:$AI,18,0)</f>
        <v>4433</v>
      </c>
      <c r="AP14" s="67">
        <f>VLOOKUP($A14,Salary!$A:$AI,19,0)</f>
        <v>6443</v>
      </c>
      <c r="AQ14" s="67">
        <f>VLOOKUP($A14,Salary!$A:$AI,20,0)</f>
        <v>0</v>
      </c>
      <c r="AR14" s="67">
        <f>VLOOKUP($A14,Salary!$A:$AI,23,0)</f>
        <v>2</v>
      </c>
      <c r="AS14" s="67">
        <f>VLOOKUP($A14,Salary!$A:$AI,24,0)</f>
        <v>1</v>
      </c>
      <c r="AT14" s="67">
        <f>VLOOKUP($A14,Salary!$A:$AI,25,0)</f>
        <v>0</v>
      </c>
      <c r="AU14" s="67">
        <f>VLOOKUP($A14,Salary!$A:$AI,26,0)</f>
        <v>1</v>
      </c>
      <c r="AV14" s="67">
        <f>VLOOKUP($A14,Salary!$A:$AI,27,0)</f>
        <v>200</v>
      </c>
      <c r="AW14" s="67">
        <f>VLOOKUP($A14,Salary!$A:$AI,28,0)</f>
        <v>1000</v>
      </c>
      <c r="AX14" s="67">
        <f>VLOOKUP($A14,Salary!$A:$AI,29,0)</f>
        <v>0</v>
      </c>
      <c r="AY14" s="67">
        <f>VLOOKUP($A14,Salary!$A:$AI,30,0)</f>
        <v>5000</v>
      </c>
      <c r="AZ14" s="67">
        <f>VLOOKUP($A14,Salary!$A:$AI,31,0)</f>
        <v>0</v>
      </c>
      <c r="BA14" s="67">
        <f>VLOOKUP($A14,Salary!$A:$AI,32,0)</f>
        <v>0</v>
      </c>
      <c r="BB14" s="67">
        <f>VLOOKUP($A14,Salary!$A:$AI,33,0)</f>
        <v>6200</v>
      </c>
      <c r="BC14" s="67">
        <f>VLOOKUP($A14,Salary!$A:$AI,21,0)</f>
        <v>4800</v>
      </c>
      <c r="BD14" s="67" t="str">
        <f>VLOOKUP($A14,Salary!$A:$AI,22,0)</f>
        <v>Fourty eightthousand rupees only</v>
      </c>
      <c r="BE14" s="67">
        <f>VLOOKUP($A14,Salary!$A:$AI,34,0)</f>
        <v>0</v>
      </c>
      <c r="BF14" s="67">
        <f>VLOOKUP($A14,Salary!$A:$AI,35,0)</f>
        <v>0</v>
      </c>
    </row>
    <row r="15" spans="1:58" ht="29.25">
      <c r="A15" s="19" t="s">
        <v>71</v>
      </c>
      <c r="B15" s="62" t="str">
        <f>VLOOKUP(A15,Attendence!A:BC,2,0)</f>
        <v>Bhanu Partap singh</v>
      </c>
      <c r="C15" s="64">
        <f>VLOOKUP(A15,Attendence!A:BC,34,0)</f>
        <v>0</v>
      </c>
      <c r="D15" s="65">
        <f>VLOOKUP($A15,Attendence!A:BC,35,0)</f>
        <v>0</v>
      </c>
      <c r="E15" s="65">
        <f>VLOOKUP($A15,Attendence!$A:$BD,36,0)</f>
        <v>1</v>
      </c>
      <c r="F15" s="65">
        <f>VLOOKUP($A15,Attendence!$A:$BD,37,0)</f>
        <v>30</v>
      </c>
      <c r="G15" s="65">
        <f>VLOOKUP($A15,Attendence!$A:$BD,38,0)</f>
        <v>1</v>
      </c>
      <c r="H15" s="65">
        <f>VLOOKUP($A15,Attendence!$A:$BD,39,0)</f>
        <v>1</v>
      </c>
      <c r="I15" s="65">
        <f>VLOOKUP($A15,Attendence!$A:$BD,40,0)</f>
        <v>1</v>
      </c>
      <c r="J15" s="65">
        <f>VLOOKUP($A15,Attendence!$A:$BD,41,0)</f>
        <v>0</v>
      </c>
      <c r="K15" s="65">
        <f>VLOOKUP($A15,Attendence!$A:$BD,42,0)</f>
        <v>0</v>
      </c>
      <c r="L15" s="65">
        <f>VLOOKUP($A15,Attendence!$A:$BD,43,0)</f>
        <v>0</v>
      </c>
      <c r="M15" s="65">
        <f>VLOOKUP($A15,Attendence!$A:$BD,44,0)</f>
        <v>31</v>
      </c>
      <c r="N15" s="65">
        <f>VLOOKUP($A15,Attendence!$A:$BD,45,0)</f>
        <v>0</v>
      </c>
      <c r="O15" s="65">
        <f>VLOOKUP($A15,Attendence!$A:$BD,46,0)</f>
        <v>0</v>
      </c>
      <c r="P15" s="65">
        <f>VLOOKUP($A15,Attendence!$A:$BD,47,0)</f>
        <v>0</v>
      </c>
      <c r="Q15" s="65">
        <f>VLOOKUP($A15,Attendence!$A:$BD,48,0)</f>
        <v>0</v>
      </c>
      <c r="R15" s="65">
        <f>VLOOKUP($A15,Attendence!$A:$BD,49,0)</f>
        <v>0</v>
      </c>
      <c r="S15" s="65">
        <f>VLOOKUP($A15,Attendence!$A:$BD,50,0)</f>
        <v>0</v>
      </c>
      <c r="T15" s="65">
        <f>VLOOKUP($A15,Attendence!$A:$BD,51,0)</f>
        <v>1100</v>
      </c>
      <c r="U15" s="65">
        <f>VLOOKUP($A15,Attendence!$A:$BD,52,0)</f>
        <v>0</v>
      </c>
      <c r="V15" s="65">
        <f>VLOOKUP($A15,Attendence!$A:$BD,53,0)</f>
        <v>38800</v>
      </c>
      <c r="W15" s="65">
        <f>VLOOKUP($A15,Attendence!$A:$BD,54,0)</f>
        <v>39900</v>
      </c>
      <c r="X15" s="66"/>
      <c r="Y15" s="67" t="str">
        <f>VLOOKUP($A15,Salary!$A:$AI,2,0)</f>
        <v>Bhanu Partap singh</v>
      </c>
      <c r="Z15" s="67">
        <f>VLOOKUP($A15,Salary!$A:$AI,3,0)</f>
        <v>45315</v>
      </c>
      <c r="AA15" s="67">
        <f>VLOOKUP($A15,Salary!$A:$AI,4,0)</f>
        <v>43633</v>
      </c>
      <c r="AB15" s="67" t="str">
        <f>VLOOKUP($A15,Salary!$A:$AI,5,0)</f>
        <v>ICICI</v>
      </c>
      <c r="AC15" s="67" t="str">
        <f>VLOOKUP($A15,Salary!$A:$AI,6,0)</f>
        <v>ICICI099677</v>
      </c>
      <c r="AD15" s="67">
        <f>VLOOKUP($A15,Salary!$A:$AI,7,0)</f>
        <v>5456565656</v>
      </c>
      <c r="AE15" s="67" t="str">
        <f>VLOOKUP($A15,Salary!$A:$AI,8,0)</f>
        <v>EGFD4432</v>
      </c>
      <c r="AF15" s="67" t="str">
        <f>VLOOKUP($A15,Salary!$A:$AI,9,0)</f>
        <v>Laravel Developer</v>
      </c>
      <c r="AG15" s="67" t="str">
        <f>VLOOKUP($A15,Salary!$A:$AI,10,0)</f>
        <v>Development</v>
      </c>
      <c r="AH15" s="67" t="str">
        <f>VLOOKUP($A15,Salary!$A:$AI,11,0)</f>
        <v>Mohali</v>
      </c>
      <c r="AI15" s="67">
        <f>VLOOKUP($A15,Salary!$A:$AI,12,0)</f>
        <v>31</v>
      </c>
      <c r="AJ15" s="67">
        <f>VLOOKUP($A15,Salary!$A:$AI,13,0)</f>
        <v>30</v>
      </c>
      <c r="AK15" s="67">
        <f>VLOOKUP($A15,Salary!$A:$AI,14,0)</f>
        <v>46000</v>
      </c>
      <c r="AL15" s="67">
        <f>VLOOKUP($A15,Salary!$A:$AI,15,0)</f>
        <v>16000</v>
      </c>
      <c r="AM15" s="67">
        <f>VLOOKUP($A15,Salary!$A:$AI,16,0)</f>
        <v>6009</v>
      </c>
      <c r="AN15" s="67">
        <f>VLOOKUP($A15,Salary!$A:$AI,17,0)</f>
        <v>2500</v>
      </c>
      <c r="AO15" s="67">
        <f>VLOOKUP($A15,Salary!$A:$AI,18,0)</f>
        <v>4566</v>
      </c>
      <c r="AP15" s="67">
        <f>VLOOKUP($A15,Salary!$A:$AI,19,0)</f>
        <v>45777</v>
      </c>
      <c r="AQ15" s="67">
        <f>VLOOKUP($A15,Salary!$A:$AI,20,0)</f>
        <v>500</v>
      </c>
      <c r="AR15" s="67">
        <f>VLOOKUP($A15,Salary!$A:$AI,23,0)</f>
        <v>1</v>
      </c>
      <c r="AS15" s="67">
        <f>VLOOKUP($A15,Salary!$A:$AI,24,0)</f>
        <v>1</v>
      </c>
      <c r="AT15" s="67">
        <f>VLOOKUP($A15,Salary!$A:$AI,25,0)</f>
        <v>0</v>
      </c>
      <c r="AU15" s="67">
        <f>VLOOKUP($A15,Salary!$A:$AI,26,0)</f>
        <v>0</v>
      </c>
      <c r="AV15" s="67">
        <f>VLOOKUP($A15,Salary!$A:$AI,27,0)</f>
        <v>200</v>
      </c>
      <c r="AW15" s="67">
        <f>VLOOKUP($A15,Salary!$A:$AI,28,0)</f>
        <v>500</v>
      </c>
      <c r="AX15" s="67">
        <f>VLOOKUP($A15,Salary!$A:$AI,29,0)</f>
        <v>0</v>
      </c>
      <c r="AY15" s="67">
        <f>VLOOKUP($A15,Salary!$A:$AI,30,0)</f>
        <v>1500</v>
      </c>
      <c r="AZ15" s="67">
        <f>VLOOKUP($A15,Salary!$A:$AI,31,0)</f>
        <v>0</v>
      </c>
      <c r="BA15" s="67">
        <f>VLOOKUP($A15,Salary!$A:$AI,32,0)</f>
        <v>0</v>
      </c>
      <c r="BB15" s="67">
        <f>VLOOKUP($A15,Salary!$A:$AI,33,0)</f>
        <v>2200</v>
      </c>
      <c r="BC15" s="67">
        <f>VLOOKUP($A15,Salary!$A:$AI,21,0)</f>
        <v>4350</v>
      </c>
      <c r="BD15" s="67" t="str">
        <f>VLOOKUP($A15,Salary!$A:$AI,22,0)</f>
        <v>fourty three thousand  five hundred rupees only</v>
      </c>
      <c r="BE15" s="67">
        <f>VLOOKUP($A15,Salary!$A:$AI,34,0)</f>
        <v>0</v>
      </c>
      <c r="BF15" s="67">
        <f>VLOOKUP($A15,Salary!$A:$AI,35,0)</f>
        <v>0</v>
      </c>
    </row>
    <row r="16" spans="1:58" ht="29.25">
      <c r="A16" s="19" t="s">
        <v>73</v>
      </c>
      <c r="B16" s="62" t="str">
        <f>VLOOKUP(A16,Attendence!A:BC,2,0)</f>
        <v>Chhavi garg</v>
      </c>
      <c r="C16" s="64">
        <f>VLOOKUP(A16,Attendence!A:BC,34,0)</f>
        <v>0</v>
      </c>
      <c r="D16" s="65">
        <f>VLOOKUP($A16,Attendence!A:BC,35,0)</f>
        <v>0.5</v>
      </c>
      <c r="E16" s="65">
        <f>VLOOKUP($A16,Attendence!$A:$BD,36,0)</f>
        <v>1</v>
      </c>
      <c r="F16" s="65">
        <f>VLOOKUP($A16,Attendence!$A:$BD,37,0)</f>
        <v>29.5</v>
      </c>
      <c r="G16" s="65">
        <f>VLOOKUP($A16,Attendence!$A:$BD,38,0)</f>
        <v>1.5</v>
      </c>
      <c r="H16" s="65">
        <f>VLOOKUP($A16,Attendence!$A:$BD,39,0)</f>
        <v>4</v>
      </c>
      <c r="I16" s="65">
        <f>VLOOKUP($A16,Attendence!$A:$BD,40,0)</f>
        <v>1.5</v>
      </c>
      <c r="J16" s="65">
        <f>VLOOKUP($A16,Attendence!$A:$BD,41,0)</f>
        <v>2.5</v>
      </c>
      <c r="K16" s="65">
        <f>VLOOKUP($A16,Attendence!$A:$BD,42,0)</f>
        <v>0</v>
      </c>
      <c r="L16" s="65">
        <f>VLOOKUP($A16,Attendence!$A:$BD,43,0)</f>
        <v>0</v>
      </c>
      <c r="M16" s="65">
        <f>VLOOKUP($A16,Attendence!$A:$BD,44,0)</f>
        <v>31</v>
      </c>
      <c r="N16" s="65">
        <f>VLOOKUP($A16,Attendence!$A:$BD,45,0)</f>
        <v>0</v>
      </c>
      <c r="O16" s="65">
        <f>VLOOKUP($A16,Attendence!$A:$BD,46,0)</f>
        <v>0</v>
      </c>
      <c r="P16" s="65">
        <f>VLOOKUP($A16,Attendence!$A:$BD,47,0)</f>
        <v>2340</v>
      </c>
      <c r="Q16" s="65">
        <f>VLOOKUP($A16,Attendence!$A:$BD,48,0)</f>
        <v>0</v>
      </c>
      <c r="R16" s="65">
        <f>VLOOKUP($A16,Attendence!$A:$BD,49,0)</f>
        <v>0</v>
      </c>
      <c r="S16" s="65">
        <f>VLOOKUP($A16,Attendence!$A:$BD,50,0)</f>
        <v>0</v>
      </c>
      <c r="T16" s="65">
        <f>VLOOKUP($A16,Attendence!$A:$BD,51,0)</f>
        <v>0</v>
      </c>
      <c r="U16" s="65">
        <f>VLOOKUP($A16,Attendence!$A:$BD,52,0)</f>
        <v>2340</v>
      </c>
      <c r="V16" s="65">
        <f>VLOOKUP($A16,Attendence!$A:$BD,53,0)</f>
        <v>40000</v>
      </c>
      <c r="W16" s="65">
        <f>VLOOKUP($A16,Attendence!$A:$BD,54,0)</f>
        <v>37660</v>
      </c>
      <c r="X16" s="66"/>
      <c r="Y16" s="67" t="str">
        <f>VLOOKUP($A16,Salary!$A:$AI,2,0)</f>
        <v>Chhavi garg</v>
      </c>
      <c r="Z16" s="67">
        <f>VLOOKUP($A16,Salary!$A:$AI,3,0)</f>
        <v>45315</v>
      </c>
      <c r="AA16" s="67">
        <f>VLOOKUP($A16,Salary!$A:$AI,4,0)</f>
        <v>43871</v>
      </c>
      <c r="AB16" s="67" t="str">
        <f>VLOOKUP($A16,Salary!$A:$AI,5,0)</f>
        <v>ICICI</v>
      </c>
      <c r="AC16" s="67" t="str">
        <f>VLOOKUP($A16,Salary!$A:$AI,6,0)</f>
        <v>ICICI099678</v>
      </c>
      <c r="AD16" s="67">
        <f>VLOOKUP($A16,Salary!$A:$AI,7,0)</f>
        <v>7887878787</v>
      </c>
      <c r="AE16" s="67" t="str">
        <f>VLOOKUP($A16,Salary!$A:$AI,8,0)</f>
        <v>LKBD4543</v>
      </c>
      <c r="AF16" s="67" t="str">
        <f>VLOOKUP($A16,Salary!$A:$AI,9,0)</f>
        <v>Magento Developer</v>
      </c>
      <c r="AG16" s="67" t="str">
        <f>VLOOKUP($A16,Salary!$A:$AI,10,0)</f>
        <v>Ecommerce</v>
      </c>
      <c r="AH16" s="67" t="str">
        <f>VLOOKUP($A16,Salary!$A:$AI,11,0)</f>
        <v>Mohali</v>
      </c>
      <c r="AI16" s="67">
        <f>VLOOKUP($A16,Salary!$A:$AI,12,0)</f>
        <v>31</v>
      </c>
      <c r="AJ16" s="67">
        <f>VLOOKUP($A16,Salary!$A:$AI,13,0)</f>
        <v>31</v>
      </c>
      <c r="AK16" s="67">
        <f>VLOOKUP($A16,Salary!$A:$AI,14,0)</f>
        <v>35000</v>
      </c>
      <c r="AL16" s="67">
        <f>VLOOKUP($A16,Salary!$A:$AI,15,0)</f>
        <v>15500</v>
      </c>
      <c r="AM16" s="67">
        <f>VLOOKUP($A16,Salary!$A:$AI,16,0)</f>
        <v>6009</v>
      </c>
      <c r="AN16" s="67">
        <f>VLOOKUP($A16,Salary!$A:$AI,17,0)</f>
        <v>2000</v>
      </c>
      <c r="AO16" s="67">
        <f>VLOOKUP($A16,Salary!$A:$AI,18,0)</f>
        <v>6654</v>
      </c>
      <c r="AP16" s="67">
        <f>VLOOKUP($A16,Salary!$A:$AI,19,0)</f>
        <v>7888</v>
      </c>
      <c r="AQ16" s="67">
        <f>VLOOKUP($A16,Salary!$A:$AI,20,0)</f>
        <v>0</v>
      </c>
      <c r="AR16" s="67">
        <f>VLOOKUP($A16,Salary!$A:$AI,23,0)</f>
        <v>0</v>
      </c>
      <c r="AS16" s="67">
        <f>VLOOKUP($A16,Salary!$A:$AI,24,0)</f>
        <v>1</v>
      </c>
      <c r="AT16" s="67">
        <f>VLOOKUP($A16,Salary!$A:$AI,25,0)</f>
        <v>1</v>
      </c>
      <c r="AU16" s="67">
        <f>VLOOKUP($A16,Salary!$A:$AI,26,0)</f>
        <v>0</v>
      </c>
      <c r="AV16" s="67">
        <f>VLOOKUP($A16,Salary!$A:$AI,27,0)</f>
        <v>200</v>
      </c>
      <c r="AW16" s="67">
        <f>VLOOKUP($A16,Salary!$A:$AI,28,0)</f>
        <v>0</v>
      </c>
      <c r="AX16" s="67">
        <f>VLOOKUP($A16,Salary!$A:$AI,29,0)</f>
        <v>0</v>
      </c>
      <c r="AY16" s="67">
        <f>VLOOKUP($A16,Salary!$A:$AI,30,0)</f>
        <v>0</v>
      </c>
      <c r="AZ16" s="67">
        <f>VLOOKUP($A16,Salary!$A:$AI,31,0)</f>
        <v>0</v>
      </c>
      <c r="BA16" s="67">
        <f>VLOOKUP($A16,Salary!$A:$AI,32,0)</f>
        <v>0</v>
      </c>
      <c r="BB16" s="67">
        <f>VLOOKUP($A16,Salary!$A:$AI,33,0)</f>
        <v>200</v>
      </c>
      <c r="BC16" s="67">
        <f>VLOOKUP($A16,Salary!$A:$AI,21,0)</f>
        <v>35000</v>
      </c>
      <c r="BD16" s="67" t="str">
        <f>VLOOKUP($A16,Salary!$A:$AI,22,0)</f>
        <v>Thirty five thousand rupees only</v>
      </c>
      <c r="BE16" s="67">
        <f>VLOOKUP($A16,Salary!$A:$AI,34,0)</f>
        <v>0</v>
      </c>
      <c r="BF16" s="67">
        <f>VLOOKUP($A16,Salary!$A:$AI,35,0)</f>
        <v>0</v>
      </c>
    </row>
    <row r="17" spans="1:58" ht="29.25">
      <c r="A17" s="19" t="s">
        <v>75</v>
      </c>
      <c r="B17" s="62" t="str">
        <f>VLOOKUP(A17,Attendence!A:BC,2,0)</f>
        <v xml:space="preserve">Vishal Sharma </v>
      </c>
      <c r="C17" s="64">
        <f>VLOOKUP(A17,Attendence!A:BC,34,0)</f>
        <v>0</v>
      </c>
      <c r="D17" s="65">
        <f>VLOOKUP($A17,Attendence!A:BC,35,0)</f>
        <v>1</v>
      </c>
      <c r="E17" s="65">
        <f>VLOOKUP($A17,Attendence!$A:$BD,36,0)</f>
        <v>0</v>
      </c>
      <c r="F17" s="65">
        <f>VLOOKUP($A17,Attendence!$A:$BD,37,0)</f>
        <v>30</v>
      </c>
      <c r="G17" s="65">
        <f>VLOOKUP($A17,Attendence!$A:$BD,38,0)</f>
        <v>1</v>
      </c>
      <c r="H17" s="65">
        <f>VLOOKUP($A17,Attendence!$A:$BD,39,0)</f>
        <v>1</v>
      </c>
      <c r="I17" s="65">
        <f>VLOOKUP($A17,Attendence!$A:$BD,40,0)</f>
        <v>1</v>
      </c>
      <c r="J17" s="65">
        <f>VLOOKUP($A17,Attendence!$A:$BD,41,0)</f>
        <v>0</v>
      </c>
      <c r="K17" s="65">
        <f>VLOOKUP($A17,Attendence!$A:$BD,42,0)</f>
        <v>0</v>
      </c>
      <c r="L17" s="65">
        <f>VLOOKUP($A17,Attendence!$A:$BD,43,0)</f>
        <v>0</v>
      </c>
      <c r="M17" s="65">
        <f>VLOOKUP($A17,Attendence!$A:$BD,44,0)</f>
        <v>31</v>
      </c>
      <c r="N17" s="65">
        <f>VLOOKUP($A17,Attendence!$A:$BD,45,0)</f>
        <v>0</v>
      </c>
      <c r="O17" s="65">
        <f>VLOOKUP($A17,Attendence!$A:$BD,46,0)</f>
        <v>0</v>
      </c>
      <c r="P17" s="65">
        <f>VLOOKUP($A17,Attendence!$A:$BD,47,0)</f>
        <v>0</v>
      </c>
      <c r="Q17" s="65">
        <f>VLOOKUP($A17,Attendence!$A:$BD,48,0)</f>
        <v>0</v>
      </c>
      <c r="R17" s="65">
        <f>VLOOKUP($A17,Attendence!$A:$BD,49,0)</f>
        <v>0</v>
      </c>
      <c r="S17" s="65">
        <f>VLOOKUP($A17,Attendence!$A:$BD,50,0)</f>
        <v>0</v>
      </c>
      <c r="T17" s="65">
        <f>VLOOKUP($A17,Attendence!$A:$BD,51,0)</f>
        <v>0</v>
      </c>
      <c r="U17" s="65">
        <f>VLOOKUP($A17,Attendence!$A:$BD,52,0)</f>
        <v>0</v>
      </c>
      <c r="V17" s="65">
        <f>VLOOKUP($A17,Attendence!$A:$BD,53,0)</f>
        <v>24000</v>
      </c>
      <c r="W17" s="65">
        <f>VLOOKUP($A17,Attendence!$A:$BD,54,0)</f>
        <v>24000</v>
      </c>
      <c r="X17" s="66"/>
      <c r="Y17" s="67" t="str">
        <f>VLOOKUP($A17,Salary!$A:$AI,2,0)</f>
        <v xml:space="preserve">Vishal Sharma </v>
      </c>
      <c r="Z17" s="67">
        <f>VLOOKUP($A17,Salary!$A:$AI,3,0)</f>
        <v>45315</v>
      </c>
      <c r="AA17" s="67">
        <f>VLOOKUP($A17,Salary!$A:$AI,4,0)</f>
        <v>43871</v>
      </c>
      <c r="AB17" s="67" t="str">
        <f>VLOOKUP($A17,Salary!$A:$AI,5,0)</f>
        <v>ICICI</v>
      </c>
      <c r="AC17" s="67" t="str">
        <f>VLOOKUP($A17,Salary!$A:$AI,6,0)</f>
        <v>ICICI099678</v>
      </c>
      <c r="AD17" s="67">
        <f>VLOOKUP($A17,Salary!$A:$AI,7,0)</f>
        <v>7887878787</v>
      </c>
      <c r="AE17" s="67" t="str">
        <f>VLOOKUP($A17,Salary!$A:$AI,8,0)</f>
        <v>LKBD4543</v>
      </c>
      <c r="AF17" s="67" t="str">
        <f>VLOOKUP($A17,Salary!$A:$AI,9,0)</f>
        <v>Magento Developer</v>
      </c>
      <c r="AG17" s="67" t="str">
        <f>VLOOKUP($A17,Salary!$A:$AI,10,0)</f>
        <v>Ecommerce</v>
      </c>
      <c r="AH17" s="67" t="str">
        <f>VLOOKUP($A17,Salary!$A:$AI,11,0)</f>
        <v>Mohali</v>
      </c>
      <c r="AI17" s="67">
        <f>VLOOKUP($A17,Salary!$A:$AI,12,0)</f>
        <v>31</v>
      </c>
      <c r="AJ17" s="67">
        <f>VLOOKUP($A17,Salary!$A:$AI,13,0)</f>
        <v>31</v>
      </c>
      <c r="AK17" s="67">
        <f>VLOOKUP($A17,Salary!$A:$AI,14,0)</f>
        <v>35000</v>
      </c>
      <c r="AL17" s="67">
        <f>VLOOKUP($A17,Salary!$A:$AI,15,0)</f>
        <v>15500</v>
      </c>
      <c r="AM17" s="67">
        <f>VLOOKUP($A17,Salary!$A:$AI,16,0)</f>
        <v>6009</v>
      </c>
      <c r="AN17" s="67">
        <f>VLOOKUP($A17,Salary!$A:$AI,17,0)</f>
        <v>2000</v>
      </c>
      <c r="AO17" s="67">
        <f>VLOOKUP($A17,Salary!$A:$AI,18,0)</f>
        <v>6654</v>
      </c>
      <c r="AP17" s="67">
        <f>VLOOKUP($A17,Salary!$A:$AI,19,0)</f>
        <v>7888</v>
      </c>
      <c r="AQ17" s="67">
        <f>VLOOKUP($A17,Salary!$A:$AI,20,0)</f>
        <v>0</v>
      </c>
      <c r="AR17" s="67">
        <f>VLOOKUP($A17,Salary!$A:$AI,23,0)</f>
        <v>0</v>
      </c>
      <c r="AS17" s="67">
        <f>VLOOKUP($A17,Salary!$A:$AI,24,0)</f>
        <v>1</v>
      </c>
      <c r="AT17" s="67">
        <f>VLOOKUP($A17,Salary!$A:$AI,25,0)</f>
        <v>1</v>
      </c>
      <c r="AU17" s="67">
        <f>VLOOKUP($A17,Salary!$A:$AI,26,0)</f>
        <v>0</v>
      </c>
      <c r="AV17" s="67">
        <f>VLOOKUP($A17,Salary!$A:$AI,27,0)</f>
        <v>200</v>
      </c>
      <c r="AW17" s="67">
        <f>VLOOKUP($A17,Salary!$A:$AI,28,0)</f>
        <v>0</v>
      </c>
      <c r="AX17" s="67">
        <f>VLOOKUP($A17,Salary!$A:$AI,29,0)</f>
        <v>0</v>
      </c>
      <c r="AY17" s="67">
        <f>VLOOKUP($A17,Salary!$A:$AI,30,0)</f>
        <v>0</v>
      </c>
      <c r="AZ17" s="67">
        <f>VLOOKUP($A17,Salary!$A:$AI,31,0)</f>
        <v>0</v>
      </c>
      <c r="BA17" s="67">
        <f>VLOOKUP($A17,Salary!$A:$AI,32,0)</f>
        <v>0</v>
      </c>
      <c r="BB17" s="67">
        <f>VLOOKUP($A17,Salary!$A:$AI,33,0)</f>
        <v>200</v>
      </c>
      <c r="BC17" s="67">
        <f>VLOOKUP($A17,Salary!$A:$AI,21,0)</f>
        <v>35000</v>
      </c>
      <c r="BD17" s="67" t="str">
        <f>VLOOKUP($A17,Salary!$A:$AI,22,0)</f>
        <v>Thirty five thousand rupees only</v>
      </c>
      <c r="BE17" s="67">
        <f>VLOOKUP($A17,Salary!$A:$AI,34,0)</f>
        <v>0</v>
      </c>
      <c r="BF17" s="67">
        <f>VLOOKUP($A17,Salary!$A:$AI,35,0)</f>
        <v>0</v>
      </c>
    </row>
    <row r="18" spans="1:58" ht="29.25">
      <c r="A18" s="19" t="s">
        <v>77</v>
      </c>
      <c r="B18" s="62" t="str">
        <f>VLOOKUP(A18,Attendence!A:BC,2,0)</f>
        <v>ANANDA  BALU HYALIJ</v>
      </c>
      <c r="C18" s="64">
        <f>VLOOKUP(A18,Attendence!A:BC,34,0)</f>
        <v>0</v>
      </c>
      <c r="D18" s="65">
        <f>VLOOKUP($A18,Attendence!A:BC,35,0)</f>
        <v>0</v>
      </c>
      <c r="E18" s="65">
        <f>VLOOKUP($A18,Attendence!$A:$BD,36,0)</f>
        <v>4</v>
      </c>
      <c r="F18" s="65">
        <f>VLOOKUP($A18,Attendence!$A:$BD,37,0)</f>
        <v>27</v>
      </c>
      <c r="G18" s="65">
        <f>VLOOKUP($A18,Attendence!$A:$BD,38,0)</f>
        <v>4</v>
      </c>
      <c r="H18" s="65">
        <f>VLOOKUP($A18,Attendence!$A:$BD,39,0)</f>
        <v>4.75</v>
      </c>
      <c r="I18" s="65">
        <f>VLOOKUP($A18,Attendence!$A:$BD,40,0)</f>
        <v>4</v>
      </c>
      <c r="J18" s="65">
        <f>VLOOKUP($A18,Attendence!$A:$BD,41,0)</f>
        <v>0.75</v>
      </c>
      <c r="K18" s="65">
        <f>VLOOKUP($A18,Attendence!$A:$BD,42,0)</f>
        <v>0</v>
      </c>
      <c r="L18" s="65">
        <f>VLOOKUP($A18,Attendence!$A:$BD,43,0)</f>
        <v>0</v>
      </c>
      <c r="M18" s="65">
        <f>VLOOKUP($A18,Attendence!$A:$BD,44,0)</f>
        <v>31</v>
      </c>
      <c r="N18" s="65">
        <f>VLOOKUP($A18,Attendence!$A:$BD,45,0)</f>
        <v>0</v>
      </c>
      <c r="O18" s="65">
        <f>VLOOKUP($A18,Attendence!$A:$BD,46,0)</f>
        <v>0</v>
      </c>
      <c r="P18" s="65">
        <f>VLOOKUP($A18,Attendence!$A:$BD,47,0)</f>
        <v>0</v>
      </c>
      <c r="Q18" s="65">
        <f>VLOOKUP($A18,Attendence!$A:$BD,48,0)</f>
        <v>0</v>
      </c>
      <c r="R18" s="65">
        <f>VLOOKUP($A18,Attendence!$A:$BD,49,0)</f>
        <v>0</v>
      </c>
      <c r="S18" s="65">
        <f>VLOOKUP($A18,Attendence!$A:$BD,50,0)</f>
        <v>0</v>
      </c>
      <c r="T18" s="65">
        <f>VLOOKUP($A18,Attendence!$A:$BD,51,0)</f>
        <v>0</v>
      </c>
      <c r="U18" s="65">
        <f>VLOOKUP($A18,Attendence!$A:$BD,52,0)</f>
        <v>0</v>
      </c>
      <c r="V18" s="65">
        <f>VLOOKUP($A18,Attendence!$A:$BD,53,0)</f>
        <v>20000</v>
      </c>
      <c r="W18" s="65">
        <f>VLOOKUP($A18,Attendence!$A:$BD,54,0)</f>
        <v>20000</v>
      </c>
      <c r="X18" s="66"/>
      <c r="Y18" s="67" t="str">
        <f>VLOOKUP($A18,Salary!$A:$AI,2,0)</f>
        <v>ANANDA  BALU HYALIJ</v>
      </c>
      <c r="Z18" s="67">
        <f>VLOOKUP($A18,Salary!$A:$AI,3,0)</f>
        <v>45315</v>
      </c>
      <c r="AA18" s="67">
        <f>VLOOKUP($A18,Salary!$A:$AI,4,0)</f>
        <v>42410</v>
      </c>
      <c r="AB18" s="67" t="str">
        <f>VLOOKUP($A18,Salary!$A:$AI,5,0)</f>
        <v>SBI</v>
      </c>
      <c r="AC18" s="67" t="str">
        <f>VLOOKUP($A18,Salary!$A:$AI,6,0)</f>
        <v>ICICI099676</v>
      </c>
      <c r="AD18" s="67">
        <f>VLOOKUP($A18,Salary!$A:$AI,7,0)</f>
        <v>3342342343</v>
      </c>
      <c r="AE18" s="67" t="str">
        <f>VLOOKUP($A18,Salary!$A:$AI,8,0)</f>
        <v>KSNF7393</v>
      </c>
      <c r="AF18" s="67" t="str">
        <f>VLOOKUP($A18,Salary!$A:$AI,9,0)</f>
        <v>Sr.Magento Developer</v>
      </c>
      <c r="AG18" s="67" t="str">
        <f>VLOOKUP($A18,Salary!$A:$AI,10,0)</f>
        <v>Development</v>
      </c>
      <c r="AH18" s="67" t="str">
        <f>VLOOKUP($A18,Salary!$A:$AI,11,0)</f>
        <v>Remote</v>
      </c>
      <c r="AI18" s="67">
        <f>VLOOKUP($A18,Salary!$A:$AI,12,0)</f>
        <v>31</v>
      </c>
      <c r="AJ18" s="67">
        <f>VLOOKUP($A18,Salary!$A:$AI,13,0)</f>
        <v>29</v>
      </c>
      <c r="AK18" s="67">
        <f>VLOOKUP($A18,Salary!$A:$AI,14,0)</f>
        <v>50000</v>
      </c>
      <c r="AL18" s="67">
        <f>VLOOKUP($A18,Salary!$A:$AI,15,0)</f>
        <v>17000</v>
      </c>
      <c r="AM18" s="67">
        <f>VLOOKUP($A18,Salary!$A:$AI,16,0)</f>
        <v>6009</v>
      </c>
      <c r="AN18" s="67">
        <f>VLOOKUP($A18,Salary!$A:$AI,17,0)</f>
        <v>3000</v>
      </c>
      <c r="AO18" s="67">
        <f>VLOOKUP($A18,Salary!$A:$AI,18,0)</f>
        <v>4433</v>
      </c>
      <c r="AP18" s="67">
        <f>VLOOKUP($A18,Salary!$A:$AI,19,0)</f>
        <v>6443</v>
      </c>
      <c r="AQ18" s="67">
        <f>VLOOKUP($A18,Salary!$A:$AI,20,0)</f>
        <v>0</v>
      </c>
      <c r="AR18" s="67">
        <f>VLOOKUP($A18,Salary!$A:$AI,23,0)</f>
        <v>2</v>
      </c>
      <c r="AS18" s="67">
        <f>VLOOKUP($A18,Salary!$A:$AI,24,0)</f>
        <v>1</v>
      </c>
      <c r="AT18" s="67">
        <f>VLOOKUP($A18,Salary!$A:$AI,25,0)</f>
        <v>0</v>
      </c>
      <c r="AU18" s="67">
        <f>VLOOKUP($A18,Salary!$A:$AI,26,0)</f>
        <v>1</v>
      </c>
      <c r="AV18" s="67">
        <f>VLOOKUP($A18,Salary!$A:$AI,27,0)</f>
        <v>200</v>
      </c>
      <c r="AW18" s="67">
        <f>VLOOKUP($A18,Salary!$A:$AI,28,0)</f>
        <v>1000</v>
      </c>
      <c r="AX18" s="67">
        <f>VLOOKUP($A18,Salary!$A:$AI,29,0)</f>
        <v>0</v>
      </c>
      <c r="AY18" s="67">
        <f>VLOOKUP($A18,Salary!$A:$AI,30,0)</f>
        <v>5000</v>
      </c>
      <c r="AZ18" s="67">
        <f>VLOOKUP($A18,Salary!$A:$AI,31,0)</f>
        <v>0</v>
      </c>
      <c r="BA18" s="67">
        <f>VLOOKUP($A18,Salary!$A:$AI,32,0)</f>
        <v>0</v>
      </c>
      <c r="BB18" s="67">
        <f>VLOOKUP($A18,Salary!$A:$AI,33,0)</f>
        <v>6200</v>
      </c>
      <c r="BC18" s="67">
        <f>VLOOKUP($A18,Salary!$A:$AI,21,0)</f>
        <v>4800</v>
      </c>
      <c r="BD18" s="67" t="str">
        <f>VLOOKUP($A18,Salary!$A:$AI,22,0)</f>
        <v>Fourty eightthousand rupees only</v>
      </c>
      <c r="BE18" s="67">
        <f>VLOOKUP($A18,Salary!$A:$AI,34,0)</f>
        <v>0</v>
      </c>
      <c r="BF18" s="67">
        <f>VLOOKUP($A18,Salary!$A:$AI,35,0)</f>
        <v>0</v>
      </c>
    </row>
    <row r="19" spans="1:58" ht="29.25">
      <c r="A19" s="35" t="s">
        <v>80</v>
      </c>
      <c r="B19" s="62" t="str">
        <f>VLOOKUP(A19,Attendence!A:BC,2,0)</f>
        <v xml:space="preserve">Harsh </v>
      </c>
      <c r="C19" s="64">
        <f>VLOOKUP(A19,Attendence!A:BC,34,0)</f>
        <v>0</v>
      </c>
      <c r="D19" s="65">
        <f>VLOOKUP($A19,Attendence!A:BC,35,0)</f>
        <v>0.5</v>
      </c>
      <c r="E19" s="65">
        <f>VLOOKUP($A19,Attendence!$A:$BD,36,0)</f>
        <v>8</v>
      </c>
      <c r="F19" s="65">
        <f>VLOOKUP($A19,Attendence!$A:$BD,37,0)</f>
        <v>30</v>
      </c>
      <c r="G19" s="65">
        <f>VLOOKUP($A19,Attendence!$A:$BD,38,0)</f>
        <v>1</v>
      </c>
      <c r="H19" s="65">
        <f>VLOOKUP($A19,Attendence!$A:$BD,39,0)</f>
        <v>1</v>
      </c>
      <c r="I19" s="65">
        <f>VLOOKUP($A19,Attendence!$A:$BD,40,0)</f>
        <v>1</v>
      </c>
      <c r="J19" s="65">
        <f>VLOOKUP($A19,Attendence!$A:$BD,41,0)</f>
        <v>0</v>
      </c>
      <c r="K19" s="65">
        <f>VLOOKUP($A19,Attendence!$A:$BD,42,0)</f>
        <v>8.5</v>
      </c>
      <c r="L19" s="65">
        <f>VLOOKUP($A19,Attendence!$A:$BD,43,0)</f>
        <v>0</v>
      </c>
      <c r="M19" s="65">
        <f>VLOOKUP($A19,Attendence!$A:$BD,44,0)</f>
        <v>22.5</v>
      </c>
      <c r="N19" s="65">
        <f>VLOOKUP($A19,Attendence!$A:$BD,45,0)</f>
        <v>6854.8387096774195</v>
      </c>
      <c r="O19" s="65">
        <f>VLOOKUP($A19,Attendence!$A:$BD,46,0)</f>
        <v>0</v>
      </c>
      <c r="P19" s="65">
        <f>VLOOKUP($A19,Attendence!$A:$BD,47,0)</f>
        <v>0</v>
      </c>
      <c r="Q19" s="65">
        <f>VLOOKUP($A19,Attendence!$A:$BD,48,0)</f>
        <v>113</v>
      </c>
      <c r="R19" s="65">
        <f>VLOOKUP($A19,Attendence!$A:$BD,49,0)</f>
        <v>0</v>
      </c>
      <c r="S19" s="65">
        <f>VLOOKUP($A19,Attendence!$A:$BD,50,0)</f>
        <v>0</v>
      </c>
      <c r="T19" s="65">
        <f>VLOOKUP($A19,Attendence!$A:$BD,51,0)</f>
        <v>88</v>
      </c>
      <c r="U19" s="65">
        <f>VLOOKUP($A19,Attendence!$A:$BD,52,0)</f>
        <v>6967.8387096774195</v>
      </c>
      <c r="V19" s="65">
        <f>VLOOKUP($A19,Attendence!$A:$BD,53,0)</f>
        <v>25000</v>
      </c>
      <c r="W19" s="65">
        <f>VLOOKUP($A19,Attendence!$A:$BD,54,0)</f>
        <v>18120.16129032258</v>
      </c>
      <c r="X19" s="66"/>
      <c r="Y19" s="67" t="str">
        <f>VLOOKUP($A19,Salary!$A:$AI,2,0)</f>
        <v xml:space="preserve">Harsh </v>
      </c>
      <c r="Z19" s="67">
        <f>VLOOKUP($A19,Salary!$A:$AI,3,0)</f>
        <v>45315</v>
      </c>
      <c r="AA19" s="67">
        <f>VLOOKUP($A19,Salary!$A:$AI,4,0)</f>
        <v>43633</v>
      </c>
      <c r="AB19" s="67" t="str">
        <f>VLOOKUP($A19,Salary!$A:$AI,5,0)</f>
        <v>ICICI</v>
      </c>
      <c r="AC19" s="67" t="str">
        <f>VLOOKUP($A19,Salary!$A:$AI,6,0)</f>
        <v>ICICI099677</v>
      </c>
      <c r="AD19" s="67">
        <f>VLOOKUP($A19,Salary!$A:$AI,7,0)</f>
        <v>5456565656</v>
      </c>
      <c r="AE19" s="67" t="str">
        <f>VLOOKUP($A19,Salary!$A:$AI,8,0)</f>
        <v>EGFD4432</v>
      </c>
      <c r="AF19" s="67" t="str">
        <f>VLOOKUP($A19,Salary!$A:$AI,9,0)</f>
        <v>Laravel Developer</v>
      </c>
      <c r="AG19" s="67" t="str">
        <f>VLOOKUP($A19,Salary!$A:$AI,10,0)</f>
        <v>Development</v>
      </c>
      <c r="AH19" s="67" t="str">
        <f>VLOOKUP($A19,Salary!$A:$AI,11,0)</f>
        <v>Mohali</v>
      </c>
      <c r="AI19" s="67">
        <f>VLOOKUP($A19,Salary!$A:$AI,12,0)</f>
        <v>31</v>
      </c>
      <c r="AJ19" s="67">
        <f>VLOOKUP($A19,Salary!$A:$AI,13,0)</f>
        <v>30</v>
      </c>
      <c r="AK19" s="67">
        <f>VLOOKUP($A19,Salary!$A:$AI,14,0)</f>
        <v>46000</v>
      </c>
      <c r="AL19" s="67">
        <f>VLOOKUP($A19,Salary!$A:$AI,15,0)</f>
        <v>16000</v>
      </c>
      <c r="AM19" s="67">
        <f>VLOOKUP($A19,Salary!$A:$AI,16,0)</f>
        <v>6009</v>
      </c>
      <c r="AN19" s="67">
        <f>VLOOKUP($A19,Salary!$A:$AI,17,0)</f>
        <v>2500</v>
      </c>
      <c r="AO19" s="67">
        <f>VLOOKUP($A19,Salary!$A:$AI,18,0)</f>
        <v>4566</v>
      </c>
      <c r="AP19" s="67">
        <f>VLOOKUP($A19,Salary!$A:$AI,19,0)</f>
        <v>45777</v>
      </c>
      <c r="AQ19" s="67">
        <f>VLOOKUP($A19,Salary!$A:$AI,20,0)</f>
        <v>500</v>
      </c>
      <c r="AR19" s="67">
        <f>VLOOKUP($A19,Salary!$A:$AI,23,0)</f>
        <v>1</v>
      </c>
      <c r="AS19" s="67">
        <f>VLOOKUP($A19,Salary!$A:$AI,24,0)</f>
        <v>1</v>
      </c>
      <c r="AT19" s="67">
        <f>VLOOKUP($A19,Salary!$A:$AI,25,0)</f>
        <v>0</v>
      </c>
      <c r="AU19" s="67">
        <f>VLOOKUP($A19,Salary!$A:$AI,26,0)</f>
        <v>0</v>
      </c>
      <c r="AV19" s="67">
        <f>VLOOKUP($A19,Salary!$A:$AI,27,0)</f>
        <v>200</v>
      </c>
      <c r="AW19" s="67">
        <f>VLOOKUP($A19,Salary!$A:$AI,28,0)</f>
        <v>500</v>
      </c>
      <c r="AX19" s="67">
        <f>VLOOKUP($A19,Salary!$A:$AI,29,0)</f>
        <v>0</v>
      </c>
      <c r="AY19" s="67">
        <f>VLOOKUP($A19,Salary!$A:$AI,30,0)</f>
        <v>1500</v>
      </c>
      <c r="AZ19" s="67">
        <f>VLOOKUP($A19,Salary!$A:$AI,31,0)</f>
        <v>0</v>
      </c>
      <c r="BA19" s="67">
        <f>VLOOKUP($A19,Salary!$A:$AI,32,0)</f>
        <v>0</v>
      </c>
      <c r="BB19" s="67">
        <f>VLOOKUP($A19,Salary!$A:$AI,33,0)</f>
        <v>2200</v>
      </c>
      <c r="BC19" s="67">
        <f>VLOOKUP($A19,Salary!$A:$AI,21,0)</f>
        <v>4350</v>
      </c>
      <c r="BD19" s="67" t="str">
        <f>VLOOKUP($A19,Salary!$A:$AI,22,0)</f>
        <v>fourty three thousand  five hundred rupees only</v>
      </c>
      <c r="BE19" s="67">
        <f>VLOOKUP($A19,Salary!$A:$AI,34,0)</f>
        <v>0</v>
      </c>
      <c r="BF19" s="67">
        <f>VLOOKUP($A19,Salary!$A:$AI,35,0)</f>
        <v>0</v>
      </c>
    </row>
    <row r="20" spans="1:58" ht="29.25">
      <c r="A20" s="19" t="s">
        <v>82</v>
      </c>
      <c r="B20" s="62" t="str">
        <f>VLOOKUP(A20,Attendence!A:BC,2,0)</f>
        <v>Palkin</v>
      </c>
      <c r="C20" s="64">
        <f>VLOOKUP(A20,Attendence!A:BC,34,0)</f>
        <v>0</v>
      </c>
      <c r="D20" s="65">
        <f>VLOOKUP($A20,Attendence!A:BC,35,0)</f>
        <v>0</v>
      </c>
      <c r="E20" s="65">
        <f>VLOOKUP($A20,Attendence!$A:$BD,36,0)</f>
        <v>0</v>
      </c>
      <c r="F20" s="65">
        <f>VLOOKUP($A20,Attendence!$A:$BD,37,0)</f>
        <v>31</v>
      </c>
      <c r="G20" s="65">
        <f>VLOOKUP($A20,Attendence!$A:$BD,38,0)</f>
        <v>0</v>
      </c>
      <c r="H20" s="65">
        <f>VLOOKUP($A20,Attendence!$A:$BD,39,0)</f>
        <v>1</v>
      </c>
      <c r="I20" s="65">
        <f>VLOOKUP($A20,Attendence!$A:$BD,40,0)</f>
        <v>1</v>
      </c>
      <c r="J20" s="65">
        <f>VLOOKUP($A20,Attendence!$A:$BD,41,0)</f>
        <v>0</v>
      </c>
      <c r="K20" s="65">
        <f>VLOOKUP($A20,Attendence!$A:$BD,42,0)</f>
        <v>0</v>
      </c>
      <c r="L20" s="65">
        <f>VLOOKUP($A20,Attendence!$A:$BD,43,0)</f>
        <v>0</v>
      </c>
      <c r="M20" s="65">
        <f>VLOOKUP($A20,Attendence!$A:$BD,44,0)</f>
        <v>31</v>
      </c>
      <c r="N20" s="65">
        <f>VLOOKUP($A20,Attendence!$A:$BD,45,0)</f>
        <v>0</v>
      </c>
      <c r="O20" s="65">
        <f>VLOOKUP($A20,Attendence!$A:$BD,46,0)</f>
        <v>0</v>
      </c>
      <c r="P20" s="65">
        <f>VLOOKUP($A20,Attendence!$A:$BD,47,0)</f>
        <v>0</v>
      </c>
      <c r="Q20" s="65">
        <f>VLOOKUP($A20,Attendence!$A:$BD,48,0)</f>
        <v>0</v>
      </c>
      <c r="R20" s="65">
        <f>VLOOKUP($A20,Attendence!$A:$BD,49,0)</f>
        <v>0</v>
      </c>
      <c r="S20" s="65">
        <f>VLOOKUP($A20,Attendence!$A:$BD,50,0)</f>
        <v>0</v>
      </c>
      <c r="T20" s="65">
        <f>VLOOKUP($A20,Attendence!$A:$BD,51,0)</f>
        <v>0</v>
      </c>
      <c r="U20" s="65">
        <f>VLOOKUP($A20,Attendence!$A:$BD,52,0)</f>
        <v>0</v>
      </c>
      <c r="V20" s="65">
        <f>VLOOKUP($A20,Attendence!$A:$BD,53,0)</f>
        <v>30000</v>
      </c>
      <c r="W20" s="65">
        <f>VLOOKUP($A20,Attendence!$A:$BD,54,0)</f>
        <v>30000</v>
      </c>
      <c r="X20" s="66"/>
      <c r="Y20" s="67" t="str">
        <f>VLOOKUP($A20,Salary!$A:$AI,2,0)</f>
        <v>Palkin</v>
      </c>
      <c r="Z20" s="67">
        <f>VLOOKUP($A20,Salary!$A:$AI,3,0)</f>
        <v>45315</v>
      </c>
      <c r="AA20" s="67">
        <f>VLOOKUP($A20,Salary!$A:$AI,4,0)</f>
        <v>43871</v>
      </c>
      <c r="AB20" s="67" t="str">
        <f>VLOOKUP($A20,Salary!$A:$AI,5,0)</f>
        <v>ICICI</v>
      </c>
      <c r="AC20" s="67" t="str">
        <f>VLOOKUP($A20,Salary!$A:$AI,6,0)</f>
        <v>ICICI099678</v>
      </c>
      <c r="AD20" s="67">
        <f>VLOOKUP($A20,Salary!$A:$AI,7,0)</f>
        <v>7887878787</v>
      </c>
      <c r="AE20" s="67" t="str">
        <f>VLOOKUP($A20,Salary!$A:$AI,8,0)</f>
        <v>LKBD4543</v>
      </c>
      <c r="AF20" s="67" t="str">
        <f>VLOOKUP($A20,Salary!$A:$AI,9,0)</f>
        <v>Magento Developer</v>
      </c>
      <c r="AG20" s="67" t="str">
        <f>VLOOKUP($A20,Salary!$A:$AI,10,0)</f>
        <v>Ecommerce</v>
      </c>
      <c r="AH20" s="67" t="str">
        <f>VLOOKUP($A20,Salary!$A:$AI,11,0)</f>
        <v>Mohali</v>
      </c>
      <c r="AI20" s="67">
        <f>VLOOKUP($A20,Salary!$A:$AI,12,0)</f>
        <v>31</v>
      </c>
      <c r="AJ20" s="67">
        <f>VLOOKUP($A20,Salary!$A:$AI,13,0)</f>
        <v>31</v>
      </c>
      <c r="AK20" s="67">
        <f>VLOOKUP($A20,Salary!$A:$AI,14,0)</f>
        <v>35000</v>
      </c>
      <c r="AL20" s="67">
        <f>VLOOKUP($A20,Salary!$A:$AI,15,0)</f>
        <v>15500</v>
      </c>
      <c r="AM20" s="67">
        <f>VLOOKUP($A20,Salary!$A:$AI,16,0)</f>
        <v>6009</v>
      </c>
      <c r="AN20" s="67">
        <f>VLOOKUP($A20,Salary!$A:$AI,17,0)</f>
        <v>2000</v>
      </c>
      <c r="AO20" s="67">
        <f>VLOOKUP($A20,Salary!$A:$AI,18,0)</f>
        <v>6654</v>
      </c>
      <c r="AP20" s="67">
        <f>VLOOKUP($A20,Salary!$A:$AI,19,0)</f>
        <v>7888</v>
      </c>
      <c r="AQ20" s="67">
        <f>VLOOKUP($A20,Salary!$A:$AI,20,0)</f>
        <v>0</v>
      </c>
      <c r="AR20" s="67">
        <f>VLOOKUP($A20,Salary!$A:$AI,23,0)</f>
        <v>0</v>
      </c>
      <c r="AS20" s="67">
        <f>VLOOKUP($A20,Salary!$A:$AI,24,0)</f>
        <v>1</v>
      </c>
      <c r="AT20" s="67">
        <f>VLOOKUP($A20,Salary!$A:$AI,25,0)</f>
        <v>1</v>
      </c>
      <c r="AU20" s="67">
        <f>VLOOKUP($A20,Salary!$A:$AI,26,0)</f>
        <v>0</v>
      </c>
      <c r="AV20" s="67">
        <f>VLOOKUP($A20,Salary!$A:$AI,27,0)</f>
        <v>200</v>
      </c>
      <c r="AW20" s="67">
        <f>VLOOKUP($A20,Salary!$A:$AI,28,0)</f>
        <v>0</v>
      </c>
      <c r="AX20" s="67">
        <f>VLOOKUP($A20,Salary!$A:$AI,29,0)</f>
        <v>0</v>
      </c>
      <c r="AY20" s="67">
        <f>VLOOKUP($A20,Salary!$A:$AI,30,0)</f>
        <v>0</v>
      </c>
      <c r="AZ20" s="67">
        <f>VLOOKUP($A20,Salary!$A:$AI,31,0)</f>
        <v>0</v>
      </c>
      <c r="BA20" s="67">
        <f>VLOOKUP($A20,Salary!$A:$AI,32,0)</f>
        <v>0</v>
      </c>
      <c r="BB20" s="67">
        <f>VLOOKUP($A20,Salary!$A:$AI,33,0)</f>
        <v>200</v>
      </c>
      <c r="BC20" s="67">
        <f>VLOOKUP($A20,Salary!$A:$AI,21,0)</f>
        <v>35000</v>
      </c>
      <c r="BD20" s="67" t="str">
        <f>VLOOKUP($A20,Salary!$A:$AI,22,0)</f>
        <v>Thirty five thousand rupees only</v>
      </c>
      <c r="BE20" s="67">
        <f>VLOOKUP($A20,Salary!$A:$AI,34,0)</f>
        <v>0</v>
      </c>
      <c r="BF20" s="67">
        <f>VLOOKUP($A20,Salary!$A:$AI,35,0)</f>
        <v>0</v>
      </c>
    </row>
    <row r="21" spans="1:58" ht="29.25">
      <c r="A21" s="19" t="s">
        <v>84</v>
      </c>
      <c r="B21" s="62" t="str">
        <f>VLOOKUP(A21,Attendence!A:BC,2,0)</f>
        <v>Mehak Gupta</v>
      </c>
      <c r="C21" s="64">
        <f>VLOOKUP(A21,Attendence!A:BC,34,0)</f>
        <v>0</v>
      </c>
      <c r="D21" s="65">
        <f>VLOOKUP($A21,Attendence!A:BC,35,0)</f>
        <v>0</v>
      </c>
      <c r="E21" s="65">
        <f>VLOOKUP($A21,Attendence!$A:$BD,36,0)</f>
        <v>0</v>
      </c>
      <c r="F21" s="65">
        <f>VLOOKUP($A21,Attendence!$A:$BD,37,0)</f>
        <v>31</v>
      </c>
      <c r="G21" s="65">
        <f>VLOOKUP($A21,Attendence!$A:$BD,38,0)</f>
        <v>0</v>
      </c>
      <c r="H21" s="65">
        <f>VLOOKUP($A21,Attendence!$A:$BD,39,0)</f>
        <v>0</v>
      </c>
      <c r="I21" s="65">
        <f>VLOOKUP($A21,Attendence!$A:$BD,40,0)</f>
        <v>0</v>
      </c>
      <c r="J21" s="65">
        <f>VLOOKUP($A21,Attendence!$A:$BD,41,0)</f>
        <v>0</v>
      </c>
      <c r="K21" s="65">
        <f>VLOOKUP($A21,Attendence!$A:$BD,42,0)</f>
        <v>0</v>
      </c>
      <c r="L21" s="65">
        <f>VLOOKUP($A21,Attendence!$A:$BD,43,0)</f>
        <v>0</v>
      </c>
      <c r="M21" s="65">
        <f>VLOOKUP($A21,Attendence!$A:$BD,44,0)</f>
        <v>31</v>
      </c>
      <c r="N21" s="65">
        <f>VLOOKUP($A21,Attendence!$A:$BD,45,0)</f>
        <v>0</v>
      </c>
      <c r="O21" s="65">
        <f>VLOOKUP($A21,Attendence!$A:$BD,46,0)</f>
        <v>0</v>
      </c>
      <c r="P21" s="65">
        <f>VLOOKUP($A21,Attendence!$A:$BD,47,0)</f>
        <v>0</v>
      </c>
      <c r="Q21" s="65">
        <f>VLOOKUP($A21,Attendence!$A:$BD,48,0)</f>
        <v>0</v>
      </c>
      <c r="R21" s="65">
        <f>VLOOKUP($A21,Attendence!$A:$BD,49,0)</f>
        <v>1800</v>
      </c>
      <c r="S21" s="65">
        <f>VLOOKUP($A21,Attendence!$A:$BD,50,0)</f>
        <v>0</v>
      </c>
      <c r="T21" s="65">
        <f>VLOOKUP($A21,Attendence!$A:$BD,51,0)</f>
        <v>0</v>
      </c>
      <c r="U21" s="65">
        <f>VLOOKUP($A21,Attendence!$A:$BD,52,0)</f>
        <v>1800</v>
      </c>
      <c r="V21" s="65">
        <f>VLOOKUP($A21,Attendence!$A:$BD,53,0)</f>
        <v>44000</v>
      </c>
      <c r="W21" s="65">
        <f>VLOOKUP($A21,Attendence!$A:$BD,54,0)</f>
        <v>42200</v>
      </c>
      <c r="X21" s="66"/>
      <c r="Y21" s="67" t="str">
        <f>VLOOKUP($A21,Salary!$A:$AI,2,0)</f>
        <v>Mehak Gupta</v>
      </c>
      <c r="Z21" s="67">
        <f>VLOOKUP($A21,Salary!$A:$AI,3,0)</f>
        <v>45315</v>
      </c>
      <c r="AA21" s="67">
        <f>VLOOKUP($A21,Salary!$A:$AI,4,0)</f>
        <v>43871</v>
      </c>
      <c r="AB21" s="67" t="str">
        <f>VLOOKUP($A21,Salary!$A:$AI,5,0)</f>
        <v>ICICI</v>
      </c>
      <c r="AC21" s="67" t="str">
        <f>VLOOKUP($A21,Salary!$A:$AI,6,0)</f>
        <v>ICICI099678</v>
      </c>
      <c r="AD21" s="67">
        <f>VLOOKUP($A21,Salary!$A:$AI,7,0)</f>
        <v>7887878787</v>
      </c>
      <c r="AE21" s="67" t="str">
        <f>VLOOKUP($A21,Salary!$A:$AI,8,0)</f>
        <v>LKBD4543</v>
      </c>
      <c r="AF21" s="67" t="str">
        <f>VLOOKUP($A21,Salary!$A:$AI,9,0)</f>
        <v>Magento Developer</v>
      </c>
      <c r="AG21" s="67" t="str">
        <f>VLOOKUP($A21,Salary!$A:$AI,10,0)</f>
        <v>Ecommerce</v>
      </c>
      <c r="AH21" s="67" t="str">
        <f>VLOOKUP($A21,Salary!$A:$AI,11,0)</f>
        <v>Mohali</v>
      </c>
      <c r="AI21" s="67">
        <f>VLOOKUP($A21,Salary!$A:$AI,12,0)</f>
        <v>31</v>
      </c>
      <c r="AJ21" s="67">
        <f>VLOOKUP($A21,Salary!$A:$AI,13,0)</f>
        <v>31</v>
      </c>
      <c r="AK21" s="67">
        <f>VLOOKUP($A21,Salary!$A:$AI,14,0)</f>
        <v>35000</v>
      </c>
      <c r="AL21" s="67">
        <f>VLOOKUP($A21,Salary!$A:$AI,15,0)</f>
        <v>15500</v>
      </c>
      <c r="AM21" s="67">
        <f>VLOOKUP($A21,Salary!$A:$AI,16,0)</f>
        <v>6009</v>
      </c>
      <c r="AN21" s="67">
        <f>VLOOKUP($A21,Salary!$A:$AI,17,0)</f>
        <v>2000</v>
      </c>
      <c r="AO21" s="67">
        <f>VLOOKUP($A21,Salary!$A:$AI,18,0)</f>
        <v>6654</v>
      </c>
      <c r="AP21" s="67">
        <f>VLOOKUP($A21,Salary!$A:$AI,19,0)</f>
        <v>7888</v>
      </c>
      <c r="AQ21" s="67">
        <f>VLOOKUP($A21,Salary!$A:$AI,20,0)</f>
        <v>0</v>
      </c>
      <c r="AR21" s="67">
        <f>VLOOKUP($A21,Salary!$A:$AI,23,0)</f>
        <v>0</v>
      </c>
      <c r="AS21" s="67">
        <f>VLOOKUP($A21,Salary!$A:$AI,24,0)</f>
        <v>1</v>
      </c>
      <c r="AT21" s="67">
        <f>VLOOKUP($A21,Salary!$A:$AI,25,0)</f>
        <v>1</v>
      </c>
      <c r="AU21" s="67">
        <f>VLOOKUP($A21,Salary!$A:$AI,26,0)</f>
        <v>0</v>
      </c>
      <c r="AV21" s="67">
        <f>VLOOKUP($A21,Salary!$A:$AI,27,0)</f>
        <v>200</v>
      </c>
      <c r="AW21" s="67">
        <f>VLOOKUP($A21,Salary!$A:$AI,28,0)</f>
        <v>0</v>
      </c>
      <c r="AX21" s="67">
        <f>VLOOKUP($A21,Salary!$A:$AI,29,0)</f>
        <v>0</v>
      </c>
      <c r="AY21" s="67">
        <f>VLOOKUP($A21,Salary!$A:$AI,30,0)</f>
        <v>0</v>
      </c>
      <c r="AZ21" s="67">
        <f>VLOOKUP($A21,Salary!$A:$AI,31,0)</f>
        <v>0</v>
      </c>
      <c r="BA21" s="67">
        <f>VLOOKUP($A21,Salary!$A:$AI,32,0)</f>
        <v>0</v>
      </c>
      <c r="BB21" s="67">
        <f>VLOOKUP($A21,Salary!$A:$AI,33,0)</f>
        <v>200</v>
      </c>
      <c r="BC21" s="67">
        <f>VLOOKUP($A21,Salary!$A:$AI,21,0)</f>
        <v>35000</v>
      </c>
      <c r="BD21" s="67" t="str">
        <f>VLOOKUP($A21,Salary!$A:$AI,22,0)</f>
        <v>Thirty five thousand rupees only</v>
      </c>
      <c r="BE21" s="67">
        <f>VLOOKUP($A21,Salary!$A:$AI,34,0)</f>
        <v>0</v>
      </c>
      <c r="BF21" s="67">
        <f>VLOOKUP($A21,Salary!$A:$AI,35,0)</f>
        <v>0</v>
      </c>
    </row>
    <row r="22" spans="1:58" ht="29.25">
      <c r="A22" s="19" t="s">
        <v>86</v>
      </c>
      <c r="B22" s="62" t="str">
        <f>VLOOKUP(A22,Attendence!A:BC,2,0)</f>
        <v>Harjot Kaur</v>
      </c>
      <c r="C22" s="64">
        <f>VLOOKUP(A22,Attendence!A:BC,34,0)</f>
        <v>0</v>
      </c>
      <c r="D22" s="65">
        <f>VLOOKUP($A22,Attendence!A:BC,35,0)</f>
        <v>0</v>
      </c>
      <c r="E22" s="65">
        <f>VLOOKUP($A22,Attendence!$A:$BD,36,0)</f>
        <v>0</v>
      </c>
      <c r="F22" s="65">
        <f>VLOOKUP($A22,Attendence!$A:$BD,37,0)</f>
        <v>31</v>
      </c>
      <c r="G22" s="65">
        <f>VLOOKUP($A22,Attendence!$A:$BD,38,0)</f>
        <v>0</v>
      </c>
      <c r="H22" s="65">
        <f>VLOOKUP($A22,Attendence!$A:$BD,39,0)</f>
        <v>0</v>
      </c>
      <c r="I22" s="65">
        <f>VLOOKUP($A22,Attendence!$A:$BD,40,0)</f>
        <v>0</v>
      </c>
      <c r="J22" s="65">
        <f>VLOOKUP($A22,Attendence!$A:$BD,41,0)</f>
        <v>0</v>
      </c>
      <c r="K22" s="65">
        <f>VLOOKUP($A22,Attendence!$A:$BD,42,0)</f>
        <v>0</v>
      </c>
      <c r="L22" s="65">
        <f>VLOOKUP($A22,Attendence!$A:$BD,43,0)</f>
        <v>0</v>
      </c>
      <c r="M22" s="65">
        <f>VLOOKUP($A22,Attendence!$A:$BD,44,0)</f>
        <v>31</v>
      </c>
      <c r="N22" s="65">
        <f>VLOOKUP($A22,Attendence!$A:$BD,45,0)</f>
        <v>0</v>
      </c>
      <c r="O22" s="65">
        <f>VLOOKUP($A22,Attendence!$A:$BD,46,0)</f>
        <v>0</v>
      </c>
      <c r="P22" s="65">
        <f>VLOOKUP($A22,Attendence!$A:$BD,47,0)</f>
        <v>0</v>
      </c>
      <c r="Q22" s="65">
        <f>VLOOKUP($A22,Attendence!$A:$BD,48,0)</f>
        <v>0</v>
      </c>
      <c r="R22" s="65">
        <f>VLOOKUP($A22,Attendence!$A:$BD,49,0)</f>
        <v>0</v>
      </c>
      <c r="S22" s="65">
        <f>VLOOKUP($A22,Attendence!$A:$BD,50,0)</f>
        <v>0</v>
      </c>
      <c r="T22" s="65">
        <f>VLOOKUP($A22,Attendence!$A:$BD,51,0)</f>
        <v>0</v>
      </c>
      <c r="U22" s="65">
        <f>VLOOKUP($A22,Attendence!$A:$BD,52,0)</f>
        <v>0</v>
      </c>
      <c r="V22" s="65">
        <f>VLOOKUP($A22,Attendence!$A:$BD,53,0)</f>
        <v>30800</v>
      </c>
      <c r="W22" s="65">
        <f>VLOOKUP($A22,Attendence!$A:$BD,54,0)</f>
        <v>30800</v>
      </c>
      <c r="X22" s="66"/>
      <c r="Y22" s="67" t="str">
        <f>VLOOKUP($A22,Salary!$A:$AI,2,0)</f>
        <v>Harjot Kaur</v>
      </c>
      <c r="Z22" s="67">
        <f>VLOOKUP($A22,Salary!$A:$AI,3,0)</f>
        <v>45315</v>
      </c>
      <c r="AA22" s="67">
        <f>VLOOKUP($A22,Salary!$A:$AI,4,0)</f>
        <v>43871</v>
      </c>
      <c r="AB22" s="67" t="str">
        <f>VLOOKUP($A22,Salary!$A:$AI,5,0)</f>
        <v>ICICI</v>
      </c>
      <c r="AC22" s="67" t="str">
        <f>VLOOKUP($A22,Salary!$A:$AI,6,0)</f>
        <v>ICICI099679</v>
      </c>
      <c r="AD22" s="67">
        <f>VLOOKUP($A22,Salary!$A:$AI,7,0)</f>
        <v>7887878788</v>
      </c>
      <c r="AE22" s="67" t="str">
        <f>VLOOKUP($A22,Salary!$A:$AI,8,0)</f>
        <v>LKBD4544</v>
      </c>
      <c r="AF22" s="67" t="str">
        <f>VLOOKUP($A22,Salary!$A:$AI,9,0)</f>
        <v>Magento Developer</v>
      </c>
      <c r="AG22" s="67" t="str">
        <f>VLOOKUP($A22,Salary!$A:$AI,10,0)</f>
        <v>Ecommerce</v>
      </c>
      <c r="AH22" s="67" t="str">
        <f>VLOOKUP($A22,Salary!$A:$AI,11,0)</f>
        <v>Mohali</v>
      </c>
      <c r="AI22" s="67">
        <f>VLOOKUP($A22,Salary!$A:$AI,12,0)</f>
        <v>31</v>
      </c>
      <c r="AJ22" s="67">
        <f>VLOOKUP($A22,Salary!$A:$AI,13,0)</f>
        <v>31</v>
      </c>
      <c r="AK22" s="67">
        <f>VLOOKUP($A22,Salary!$A:$AI,14,0)</f>
        <v>35000</v>
      </c>
      <c r="AL22" s="67">
        <f>VLOOKUP($A22,Salary!$A:$AI,15,0)</f>
        <v>15500</v>
      </c>
      <c r="AM22" s="67">
        <f>VLOOKUP($A22,Salary!$A:$AI,16,0)</f>
        <v>6009</v>
      </c>
      <c r="AN22" s="67">
        <f>VLOOKUP($A22,Salary!$A:$AI,17,0)</f>
        <v>2000</v>
      </c>
      <c r="AO22" s="67">
        <f>VLOOKUP($A22,Salary!$A:$AI,18,0)</f>
        <v>6654</v>
      </c>
      <c r="AP22" s="67">
        <f>VLOOKUP($A22,Salary!$A:$AI,19,0)</f>
        <v>7888</v>
      </c>
      <c r="AQ22" s="67">
        <f>VLOOKUP($A22,Salary!$A:$AI,20,0)</f>
        <v>0</v>
      </c>
      <c r="AR22" s="67">
        <f>VLOOKUP($A22,Salary!$A:$AI,23,0)</f>
        <v>0</v>
      </c>
      <c r="AS22" s="67">
        <f>VLOOKUP($A22,Salary!$A:$AI,24,0)</f>
        <v>1</v>
      </c>
      <c r="AT22" s="67">
        <f>VLOOKUP($A22,Salary!$A:$AI,25,0)</f>
        <v>1</v>
      </c>
      <c r="AU22" s="67">
        <f>VLOOKUP($A22,Salary!$A:$AI,26,0)</f>
        <v>0</v>
      </c>
      <c r="AV22" s="67">
        <f>VLOOKUP($A22,Salary!$A:$AI,27,0)</f>
        <v>200</v>
      </c>
      <c r="AW22" s="67">
        <f>VLOOKUP($A22,Salary!$A:$AI,28,0)</f>
        <v>0</v>
      </c>
      <c r="AX22" s="67">
        <f>VLOOKUP($A22,Salary!$A:$AI,29,0)</f>
        <v>0</v>
      </c>
      <c r="AY22" s="67">
        <f>VLOOKUP($A22,Salary!$A:$AI,30,0)</f>
        <v>0</v>
      </c>
      <c r="AZ22" s="67">
        <f>VLOOKUP($A22,Salary!$A:$AI,31,0)</f>
        <v>0</v>
      </c>
      <c r="BA22" s="67">
        <f>VLOOKUP($A22,Salary!$A:$AI,32,0)</f>
        <v>0</v>
      </c>
      <c r="BB22" s="67">
        <f>VLOOKUP($A22,Salary!$A:$AI,33,0)</f>
        <v>200</v>
      </c>
      <c r="BC22" s="67">
        <f>VLOOKUP($A22,Salary!$A:$AI,21,0)</f>
        <v>35000</v>
      </c>
      <c r="BD22" s="67" t="str">
        <f>VLOOKUP($A22,Salary!$A:$AI,22,0)</f>
        <v>Thirty five thousand rupees only</v>
      </c>
      <c r="BE22" s="67">
        <f>VLOOKUP($A22,Salary!$A:$AI,34,0)</f>
        <v>0</v>
      </c>
      <c r="BF22" s="67">
        <f>VLOOKUP($A22,Salary!$A:$AI,35,0)</f>
        <v>0</v>
      </c>
    </row>
    <row r="23" spans="1:58" ht="29.25">
      <c r="A23" s="19" t="s">
        <v>88</v>
      </c>
      <c r="B23" s="62" t="str">
        <f>VLOOKUP(A23,Attendence!A:BC,2,0)</f>
        <v>Ankita</v>
      </c>
      <c r="C23" s="64">
        <f>VLOOKUP(A23,Attendence!A:BC,34,0)</f>
        <v>0</v>
      </c>
      <c r="D23" s="65">
        <f>VLOOKUP($A23,Attendence!A:BC,35,0)</f>
        <v>0</v>
      </c>
      <c r="E23" s="65">
        <f>VLOOKUP($A23,Attendence!$A:$BD,36,0)</f>
        <v>0</v>
      </c>
      <c r="F23" s="65">
        <f>VLOOKUP($A23,Attendence!$A:$BD,37,0)</f>
        <v>31</v>
      </c>
      <c r="G23" s="65">
        <f>VLOOKUP($A23,Attendence!$A:$BD,38,0)</f>
        <v>0</v>
      </c>
      <c r="H23" s="65">
        <f>VLOOKUP($A23,Attendence!$A:$BD,39,0)</f>
        <v>0</v>
      </c>
      <c r="I23" s="65">
        <f>VLOOKUP($A23,Attendence!$A:$BD,40,0)</f>
        <v>0</v>
      </c>
      <c r="J23" s="65">
        <f>VLOOKUP($A23,Attendence!$A:$BD,41,0)</f>
        <v>0</v>
      </c>
      <c r="K23" s="65">
        <f>VLOOKUP($A23,Attendence!$A:$BD,42,0)</f>
        <v>0</v>
      </c>
      <c r="L23" s="65">
        <f>VLOOKUP($A23,Attendence!$A:$BD,43,0)</f>
        <v>0</v>
      </c>
      <c r="M23" s="65">
        <f>VLOOKUP($A23,Attendence!$A:$BD,44,0)</f>
        <v>23</v>
      </c>
      <c r="N23" s="65">
        <f>VLOOKUP($A23,Attendence!$A:$BD,45,0)</f>
        <v>0</v>
      </c>
      <c r="O23" s="65">
        <f>VLOOKUP($A23,Attendence!$A:$BD,46,0)</f>
        <v>4100</v>
      </c>
      <c r="P23" s="65">
        <f>VLOOKUP($A23,Attendence!$A:$BD,47,0)</f>
        <v>0</v>
      </c>
      <c r="Q23" s="65">
        <f>VLOOKUP($A23,Attendence!$A:$BD,48,0)</f>
        <v>0</v>
      </c>
      <c r="R23" s="65">
        <f>VLOOKUP($A23,Attendence!$A:$BD,49,0)</f>
        <v>0</v>
      </c>
      <c r="S23" s="65">
        <f>VLOOKUP($A23,Attendence!$A:$BD,50,0)</f>
        <v>0</v>
      </c>
      <c r="T23" s="65">
        <f>VLOOKUP($A23,Attendence!$A:$BD,51,0)</f>
        <v>0</v>
      </c>
      <c r="U23" s="65">
        <f>VLOOKUP($A23,Attendence!$A:$BD,52,0)</f>
        <v>4100</v>
      </c>
      <c r="V23" s="65">
        <f>VLOOKUP($A23,Attendence!$A:$BD,53,0)</f>
        <v>45800</v>
      </c>
      <c r="W23" s="65">
        <f>VLOOKUP($A23,Attendence!$A:$BD,54,0)</f>
        <v>41700</v>
      </c>
      <c r="X23" s="66"/>
      <c r="Y23" s="67" t="str">
        <f>VLOOKUP($A23,Salary!$A:$AI,2,0)</f>
        <v>Ankita</v>
      </c>
      <c r="Z23" s="67">
        <f>VLOOKUP($A23,Salary!$A:$AI,3,0)</f>
        <v>45315</v>
      </c>
      <c r="AA23" s="67">
        <f>VLOOKUP($A23,Salary!$A:$AI,4,0)</f>
        <v>43871</v>
      </c>
      <c r="AB23" s="67" t="str">
        <f>VLOOKUP($A23,Salary!$A:$AI,5,0)</f>
        <v>ICICI</v>
      </c>
      <c r="AC23" s="67" t="str">
        <f>VLOOKUP($A23,Salary!$A:$AI,6,0)</f>
        <v>ICICI099680</v>
      </c>
      <c r="AD23" s="67">
        <f>VLOOKUP($A23,Salary!$A:$AI,7,0)</f>
        <v>7887878789</v>
      </c>
      <c r="AE23" s="67" t="str">
        <f>VLOOKUP($A23,Salary!$A:$AI,8,0)</f>
        <v>LKBD4545</v>
      </c>
      <c r="AF23" s="67" t="str">
        <f>VLOOKUP($A23,Salary!$A:$AI,9,0)</f>
        <v>Magento Developer</v>
      </c>
      <c r="AG23" s="67" t="str">
        <f>VLOOKUP($A23,Salary!$A:$AI,10,0)</f>
        <v>Ecommerce</v>
      </c>
      <c r="AH23" s="67" t="str">
        <f>VLOOKUP($A23,Salary!$A:$AI,11,0)</f>
        <v>Mohali</v>
      </c>
      <c r="AI23" s="67">
        <f>VLOOKUP($A23,Salary!$A:$AI,12,0)</f>
        <v>31</v>
      </c>
      <c r="AJ23" s="67">
        <f>VLOOKUP($A23,Salary!$A:$AI,13,0)</f>
        <v>31</v>
      </c>
      <c r="AK23" s="67">
        <f>VLOOKUP($A23,Salary!$A:$AI,14,0)</f>
        <v>35000</v>
      </c>
      <c r="AL23" s="67">
        <f>VLOOKUP($A23,Salary!$A:$AI,15,0)</f>
        <v>15500</v>
      </c>
      <c r="AM23" s="67">
        <f>VLOOKUP($A23,Salary!$A:$AI,16,0)</f>
        <v>6009</v>
      </c>
      <c r="AN23" s="67">
        <f>VLOOKUP($A23,Salary!$A:$AI,17,0)</f>
        <v>2000</v>
      </c>
      <c r="AO23" s="67">
        <f>VLOOKUP($A23,Salary!$A:$AI,18,0)</f>
        <v>6654</v>
      </c>
      <c r="AP23" s="67">
        <f>VLOOKUP($A23,Salary!$A:$AI,19,0)</f>
        <v>7888</v>
      </c>
      <c r="AQ23" s="67">
        <f>VLOOKUP($A23,Salary!$A:$AI,20,0)</f>
        <v>0</v>
      </c>
      <c r="AR23" s="67">
        <f>VLOOKUP($A23,Salary!$A:$AI,23,0)</f>
        <v>0</v>
      </c>
      <c r="AS23" s="67">
        <f>VLOOKUP($A23,Salary!$A:$AI,24,0)</f>
        <v>1</v>
      </c>
      <c r="AT23" s="67">
        <f>VLOOKUP($A23,Salary!$A:$AI,25,0)</f>
        <v>1</v>
      </c>
      <c r="AU23" s="67">
        <f>VLOOKUP($A23,Salary!$A:$AI,26,0)</f>
        <v>0</v>
      </c>
      <c r="AV23" s="67">
        <f>VLOOKUP($A23,Salary!$A:$AI,27,0)</f>
        <v>200</v>
      </c>
      <c r="AW23" s="67">
        <f>VLOOKUP($A23,Salary!$A:$AI,28,0)</f>
        <v>0</v>
      </c>
      <c r="AX23" s="67">
        <f>VLOOKUP($A23,Salary!$A:$AI,29,0)</f>
        <v>0</v>
      </c>
      <c r="AY23" s="67">
        <f>VLOOKUP($A23,Salary!$A:$AI,30,0)</f>
        <v>0</v>
      </c>
      <c r="AZ23" s="67">
        <f>VLOOKUP($A23,Salary!$A:$AI,31,0)</f>
        <v>0</v>
      </c>
      <c r="BA23" s="67">
        <f>VLOOKUP($A23,Salary!$A:$AI,32,0)</f>
        <v>0</v>
      </c>
      <c r="BB23" s="67">
        <f>VLOOKUP($A23,Salary!$A:$AI,33,0)</f>
        <v>200</v>
      </c>
      <c r="BC23" s="67">
        <f>VLOOKUP($A23,Salary!$A:$AI,21,0)</f>
        <v>35000</v>
      </c>
      <c r="BD23" s="67" t="str">
        <f>VLOOKUP($A23,Salary!$A:$AI,22,0)</f>
        <v>Thirty five thousand rupees only</v>
      </c>
      <c r="BE23" s="67">
        <f>VLOOKUP($A23,Salary!$A:$AI,34,0)</f>
        <v>0</v>
      </c>
      <c r="BF23" s="67">
        <f>VLOOKUP($A23,Salary!$A:$AI,35,0)</f>
        <v>0</v>
      </c>
    </row>
    <row r="24" spans="1:58" ht="29.25">
      <c r="A24" s="19" t="s">
        <v>90</v>
      </c>
      <c r="B24" s="62" t="str">
        <f>VLOOKUP(A24,Attendence!A:BC,2,0)</f>
        <v>Sanjay</v>
      </c>
      <c r="C24" s="64">
        <f>VLOOKUP(A24,Attendence!A:BC,34,0)</f>
        <v>0</v>
      </c>
      <c r="D24" s="65">
        <f>VLOOKUP($A24,Attendence!A:BC,35,0)</f>
        <v>0</v>
      </c>
      <c r="E24" s="65">
        <f>VLOOKUP($A24,Attendence!$A:$BD,36,0)</f>
        <v>2</v>
      </c>
      <c r="F24" s="65">
        <f>VLOOKUP($A24,Attendence!$A:$BD,37,0)</f>
        <v>29</v>
      </c>
      <c r="G24" s="65">
        <f>VLOOKUP($A24,Attendence!$A:$BD,38,0)</f>
        <v>2</v>
      </c>
      <c r="H24" s="65">
        <f>VLOOKUP($A24,Attendence!$A:$BD,39,0)</f>
        <v>0.5</v>
      </c>
      <c r="I24" s="65">
        <f>VLOOKUP($A24,Attendence!$A:$BD,40,0)</f>
        <v>0.5</v>
      </c>
      <c r="J24" s="65">
        <f>VLOOKUP($A24,Attendence!$A:$BD,41,0)</f>
        <v>0</v>
      </c>
      <c r="K24" s="65">
        <f>VLOOKUP($A24,Attendence!$A:$BD,42,0)</f>
        <v>1.5</v>
      </c>
      <c r="L24" s="65">
        <f>VLOOKUP($A24,Attendence!$A:$BD,43,0)</f>
        <v>0</v>
      </c>
      <c r="M24" s="65">
        <f>VLOOKUP($A24,Attendence!$A:$BD,44,0)</f>
        <v>29.5</v>
      </c>
      <c r="N24" s="65">
        <f>VLOOKUP($A24,Attendence!$A:$BD,45,0)</f>
        <v>1877.4193548387095</v>
      </c>
      <c r="O24" s="65">
        <f>VLOOKUP($A24,Attendence!$A:$BD,46,0)</f>
        <v>5500</v>
      </c>
      <c r="P24" s="65">
        <f>VLOOKUP($A24,Attendence!$A:$BD,47,0)</f>
        <v>0</v>
      </c>
      <c r="Q24" s="65">
        <f>VLOOKUP($A24,Attendence!$A:$BD,48,0)</f>
        <v>0</v>
      </c>
      <c r="R24" s="65">
        <f>VLOOKUP($A24,Attendence!$A:$BD,49,0)</f>
        <v>0</v>
      </c>
      <c r="S24" s="65">
        <f>VLOOKUP($A24,Attendence!$A:$BD,50,0)</f>
        <v>0</v>
      </c>
      <c r="T24" s="65">
        <f>VLOOKUP($A24,Attendence!$A:$BD,51,0)</f>
        <v>0</v>
      </c>
      <c r="U24" s="65">
        <f>VLOOKUP($A24,Attendence!$A:$BD,52,0)</f>
        <v>7377.4193548387093</v>
      </c>
      <c r="V24" s="65">
        <f>VLOOKUP($A24,Attendence!$A:$BD,53,0)</f>
        <v>38800</v>
      </c>
      <c r="W24" s="65">
        <f>VLOOKUP($A24,Attendence!$A:$BD,54,0)</f>
        <v>31422.580645161292</v>
      </c>
      <c r="X24" s="66"/>
      <c r="Y24" s="67" t="str">
        <f>VLOOKUP($A24,Salary!$A:$AI,2,0)</f>
        <v>Sanjay</v>
      </c>
      <c r="Z24" s="67">
        <f>VLOOKUP($A24,Salary!$A:$AI,3,0)</f>
        <v>45315</v>
      </c>
      <c r="AA24" s="67">
        <f>VLOOKUP($A24,Salary!$A:$AI,4,0)</f>
        <v>43871</v>
      </c>
      <c r="AB24" s="67" t="str">
        <f>VLOOKUP($A24,Salary!$A:$AI,5,0)</f>
        <v>ICICI</v>
      </c>
      <c r="AC24" s="67" t="str">
        <f>VLOOKUP($A24,Salary!$A:$AI,6,0)</f>
        <v>ICICI099681</v>
      </c>
      <c r="AD24" s="67">
        <f>VLOOKUP($A24,Salary!$A:$AI,7,0)</f>
        <v>7887878790</v>
      </c>
      <c r="AE24" s="67" t="str">
        <f>VLOOKUP($A24,Salary!$A:$AI,8,0)</f>
        <v>LKBD4546</v>
      </c>
      <c r="AF24" s="67" t="str">
        <f>VLOOKUP($A24,Salary!$A:$AI,9,0)</f>
        <v>Magento Developer</v>
      </c>
      <c r="AG24" s="67" t="str">
        <f>VLOOKUP($A24,Salary!$A:$AI,10,0)</f>
        <v>Ecommerce</v>
      </c>
      <c r="AH24" s="67" t="str">
        <f>VLOOKUP($A24,Salary!$A:$AI,11,0)</f>
        <v>Mohali</v>
      </c>
      <c r="AI24" s="67">
        <f>VLOOKUP($A24,Salary!$A:$AI,12,0)</f>
        <v>31</v>
      </c>
      <c r="AJ24" s="67">
        <f>VLOOKUP($A24,Salary!$A:$AI,13,0)</f>
        <v>31</v>
      </c>
      <c r="AK24" s="67">
        <f>VLOOKUP($A24,Salary!$A:$AI,14,0)</f>
        <v>35000</v>
      </c>
      <c r="AL24" s="67">
        <f>VLOOKUP($A24,Salary!$A:$AI,15,0)</f>
        <v>15500</v>
      </c>
      <c r="AM24" s="67">
        <f>VLOOKUP($A24,Salary!$A:$AI,16,0)</f>
        <v>6009</v>
      </c>
      <c r="AN24" s="67">
        <f>VLOOKUP($A24,Salary!$A:$AI,17,0)</f>
        <v>2000</v>
      </c>
      <c r="AO24" s="67">
        <f>VLOOKUP($A24,Salary!$A:$AI,18,0)</f>
        <v>6654</v>
      </c>
      <c r="AP24" s="67">
        <f>VLOOKUP($A24,Salary!$A:$AI,19,0)</f>
        <v>7888</v>
      </c>
      <c r="AQ24" s="67">
        <f>VLOOKUP($A24,Salary!$A:$AI,20,0)</f>
        <v>0</v>
      </c>
      <c r="AR24" s="67">
        <f>VLOOKUP($A24,Salary!$A:$AI,23,0)</f>
        <v>0</v>
      </c>
      <c r="AS24" s="67">
        <f>VLOOKUP($A24,Salary!$A:$AI,24,0)</f>
        <v>1</v>
      </c>
      <c r="AT24" s="67">
        <f>VLOOKUP($A24,Salary!$A:$AI,25,0)</f>
        <v>1</v>
      </c>
      <c r="AU24" s="67">
        <f>VLOOKUP($A24,Salary!$A:$AI,26,0)</f>
        <v>0</v>
      </c>
      <c r="AV24" s="67">
        <f>VLOOKUP($A24,Salary!$A:$AI,27,0)</f>
        <v>200</v>
      </c>
      <c r="AW24" s="67">
        <f>VLOOKUP($A24,Salary!$A:$AI,28,0)</f>
        <v>0</v>
      </c>
      <c r="AX24" s="67">
        <f>VLOOKUP($A24,Salary!$A:$AI,29,0)</f>
        <v>0</v>
      </c>
      <c r="AY24" s="67">
        <f>VLOOKUP($A24,Salary!$A:$AI,30,0)</f>
        <v>0</v>
      </c>
      <c r="AZ24" s="67">
        <f>VLOOKUP($A24,Salary!$A:$AI,31,0)</f>
        <v>0</v>
      </c>
      <c r="BA24" s="67">
        <f>VLOOKUP($A24,Salary!$A:$AI,32,0)</f>
        <v>0</v>
      </c>
      <c r="BB24" s="67">
        <f>VLOOKUP($A24,Salary!$A:$AI,33,0)</f>
        <v>200</v>
      </c>
      <c r="BC24" s="67">
        <f>VLOOKUP($A24,Salary!$A:$AI,21,0)</f>
        <v>35000</v>
      </c>
      <c r="BD24" s="67" t="str">
        <f>VLOOKUP($A24,Salary!$A:$AI,22,0)</f>
        <v>Thirty five thousand rupees only</v>
      </c>
      <c r="BE24" s="67">
        <f>VLOOKUP($A24,Salary!$A:$AI,34,0)</f>
        <v>0</v>
      </c>
      <c r="BF24" s="67">
        <f>VLOOKUP($A24,Salary!$A:$AI,35,0)</f>
        <v>0</v>
      </c>
    </row>
    <row r="25" spans="1:58" ht="29.25">
      <c r="A25" s="19" t="s">
        <v>92</v>
      </c>
      <c r="B25" s="62" t="str">
        <f>VLOOKUP(A25,Attendence!A:BC,2,0)</f>
        <v>Brijesh  Kumar</v>
      </c>
      <c r="C25" s="64">
        <f>VLOOKUP(A25,Attendence!A:BC,34,0)</f>
        <v>0</v>
      </c>
      <c r="D25" s="65">
        <f>VLOOKUP($A25,Attendence!A:BC,35,0)</f>
        <v>0</v>
      </c>
      <c r="E25" s="65">
        <f>VLOOKUP($A25,Attendence!$A:$BD,36,0)</f>
        <v>19</v>
      </c>
      <c r="F25" s="65">
        <f>VLOOKUP($A25,Attendence!$A:$BD,37,0)</f>
        <v>12</v>
      </c>
      <c r="G25" s="65">
        <f>VLOOKUP($A25,Attendence!$A:$BD,38,0)</f>
        <v>19</v>
      </c>
      <c r="H25" s="65">
        <f>VLOOKUP($A25,Attendence!$A:$BD,39,0)</f>
        <v>0</v>
      </c>
      <c r="I25" s="65">
        <f>VLOOKUP($A25,Attendence!$A:$BD,40,0)</f>
        <v>0</v>
      </c>
      <c r="J25" s="65">
        <f>VLOOKUP($A25,Attendence!$A:$BD,41,0)</f>
        <v>0</v>
      </c>
      <c r="K25" s="65">
        <f>VLOOKUP($A25,Attendence!$A:$BD,42,0)</f>
        <v>19</v>
      </c>
      <c r="L25" s="65">
        <f>VLOOKUP($A25,Attendence!$A:$BD,43,0)</f>
        <v>0</v>
      </c>
      <c r="M25" s="65">
        <f>VLOOKUP($A25,Attendence!$A:$BD,44,0)</f>
        <v>12</v>
      </c>
      <c r="N25" s="65">
        <f>VLOOKUP($A25,Attendence!$A:$BD,45,0)</f>
        <v>24516.129032258064</v>
      </c>
      <c r="O25" s="65">
        <f>VLOOKUP($A25,Attendence!$A:$BD,46,0)</f>
        <v>3800</v>
      </c>
      <c r="P25" s="65">
        <f>VLOOKUP($A25,Attendence!$A:$BD,47,0)</f>
        <v>0</v>
      </c>
      <c r="Q25" s="65">
        <f>VLOOKUP($A25,Attendence!$A:$BD,48,0)</f>
        <v>0</v>
      </c>
      <c r="R25" s="65">
        <f>VLOOKUP($A25,Attendence!$A:$BD,49,0)</f>
        <v>0</v>
      </c>
      <c r="S25" s="65">
        <f>VLOOKUP($A25,Attendence!$A:$BD,50,0)</f>
        <v>0</v>
      </c>
      <c r="T25" s="65">
        <f>VLOOKUP($A25,Attendence!$A:$BD,51,0)</f>
        <v>0</v>
      </c>
      <c r="U25" s="65">
        <f>VLOOKUP($A25,Attendence!$A:$BD,52,0)</f>
        <v>28316.129032258064</v>
      </c>
      <c r="V25" s="65">
        <f>VLOOKUP($A25,Attendence!$A:$BD,53,0)</f>
        <v>40000</v>
      </c>
      <c r="W25" s="65">
        <f>VLOOKUP($A25,Attendence!$A:$BD,54,0)</f>
        <v>11683.870967741936</v>
      </c>
      <c r="X25" s="66"/>
      <c r="Y25" s="67" t="str">
        <f>VLOOKUP($A25,Salary!$A:$AI,2,0)</f>
        <v>Brijesh  Kumar</v>
      </c>
      <c r="Z25" s="67">
        <f>VLOOKUP($A25,Salary!$A:$AI,3,0)</f>
        <v>45315</v>
      </c>
      <c r="AA25" s="67">
        <f>VLOOKUP($A25,Salary!$A:$AI,4,0)</f>
        <v>43871</v>
      </c>
      <c r="AB25" s="67" t="str">
        <f>VLOOKUP($A25,Salary!$A:$AI,5,0)</f>
        <v>ICICI</v>
      </c>
      <c r="AC25" s="67" t="str">
        <f>VLOOKUP($A25,Salary!$A:$AI,6,0)</f>
        <v>ICICI099682</v>
      </c>
      <c r="AD25" s="67">
        <f>VLOOKUP($A25,Salary!$A:$AI,7,0)</f>
        <v>7887878791</v>
      </c>
      <c r="AE25" s="67" t="str">
        <f>VLOOKUP($A25,Salary!$A:$AI,8,0)</f>
        <v>LKBD4547</v>
      </c>
      <c r="AF25" s="67" t="str">
        <f>VLOOKUP($A25,Salary!$A:$AI,9,0)</f>
        <v>Magento Developer</v>
      </c>
      <c r="AG25" s="67" t="str">
        <f>VLOOKUP($A25,Salary!$A:$AI,10,0)</f>
        <v>Ecommerce</v>
      </c>
      <c r="AH25" s="67" t="str">
        <f>VLOOKUP($A25,Salary!$A:$AI,11,0)</f>
        <v>Mohali</v>
      </c>
      <c r="AI25" s="67">
        <f>VLOOKUP($A25,Salary!$A:$AI,12,0)</f>
        <v>31</v>
      </c>
      <c r="AJ25" s="67">
        <f>VLOOKUP($A25,Salary!$A:$AI,13,0)</f>
        <v>31</v>
      </c>
      <c r="AK25" s="67">
        <f>VLOOKUP($A25,Salary!$A:$AI,14,0)</f>
        <v>35000</v>
      </c>
      <c r="AL25" s="67">
        <f>VLOOKUP($A25,Salary!$A:$AI,15,0)</f>
        <v>15500</v>
      </c>
      <c r="AM25" s="67">
        <f>VLOOKUP($A25,Salary!$A:$AI,16,0)</f>
        <v>6009</v>
      </c>
      <c r="AN25" s="67">
        <f>VLOOKUP($A25,Salary!$A:$AI,17,0)</f>
        <v>2000</v>
      </c>
      <c r="AO25" s="67">
        <f>VLOOKUP($A25,Salary!$A:$AI,18,0)</f>
        <v>6654</v>
      </c>
      <c r="AP25" s="67">
        <f>VLOOKUP($A25,Salary!$A:$AI,19,0)</f>
        <v>7888</v>
      </c>
      <c r="AQ25" s="67">
        <f>VLOOKUP($A25,Salary!$A:$AI,20,0)</f>
        <v>0</v>
      </c>
      <c r="AR25" s="67">
        <f>VLOOKUP($A25,Salary!$A:$AI,23,0)</f>
        <v>0</v>
      </c>
      <c r="AS25" s="67">
        <f>VLOOKUP($A25,Salary!$A:$AI,24,0)</f>
        <v>1</v>
      </c>
      <c r="AT25" s="67">
        <f>VLOOKUP($A25,Salary!$A:$AI,25,0)</f>
        <v>1</v>
      </c>
      <c r="AU25" s="67">
        <f>VLOOKUP($A25,Salary!$A:$AI,26,0)</f>
        <v>0</v>
      </c>
      <c r="AV25" s="67">
        <f>VLOOKUP($A25,Salary!$A:$AI,27,0)</f>
        <v>200</v>
      </c>
      <c r="AW25" s="67">
        <f>VLOOKUP($A25,Salary!$A:$AI,28,0)</f>
        <v>0</v>
      </c>
      <c r="AX25" s="67">
        <f>VLOOKUP($A25,Salary!$A:$AI,29,0)</f>
        <v>0</v>
      </c>
      <c r="AY25" s="67">
        <f>VLOOKUP($A25,Salary!$A:$AI,30,0)</f>
        <v>0</v>
      </c>
      <c r="AZ25" s="67">
        <f>VLOOKUP($A25,Salary!$A:$AI,31,0)</f>
        <v>0</v>
      </c>
      <c r="BA25" s="67">
        <f>VLOOKUP($A25,Salary!$A:$AI,32,0)</f>
        <v>0</v>
      </c>
      <c r="BB25" s="67">
        <f>VLOOKUP($A25,Salary!$A:$AI,33,0)</f>
        <v>200</v>
      </c>
      <c r="BC25" s="67">
        <f>VLOOKUP($A25,Salary!$A:$AI,21,0)</f>
        <v>35000</v>
      </c>
      <c r="BD25" s="67" t="str">
        <f>VLOOKUP($A25,Salary!$A:$AI,22,0)</f>
        <v>Thirty five thousand rupees only</v>
      </c>
      <c r="BE25" s="67">
        <f>VLOOKUP($A25,Salary!$A:$AI,34,0)</f>
        <v>0</v>
      </c>
      <c r="BF25" s="67">
        <f>VLOOKUP($A25,Salary!$A:$AI,35,0)</f>
        <v>0</v>
      </c>
    </row>
    <row r="26" spans="1:58" ht="29.25">
      <c r="A26" s="19" t="s">
        <v>94</v>
      </c>
      <c r="B26" s="62" t="str">
        <f>VLOOKUP(A26,Attendence!A:BC,2,0)</f>
        <v xml:space="preserve">Tarun Singh </v>
      </c>
      <c r="C26" s="64">
        <f>VLOOKUP(A26,Attendence!A:BC,34,0)</f>
        <v>0</v>
      </c>
      <c r="D26" s="65">
        <f>VLOOKUP($A26,Attendence!A:BC,35,0)</f>
        <v>0</v>
      </c>
      <c r="E26" s="65">
        <f>VLOOKUP($A26,Attendence!$A:$BD,36,0)</f>
        <v>19</v>
      </c>
      <c r="F26" s="65">
        <f>VLOOKUP($A26,Attendence!$A:$BD,37,0)</f>
        <v>12</v>
      </c>
      <c r="G26" s="65">
        <f>VLOOKUP($A26,Attendence!$A:$BD,38,0)</f>
        <v>19</v>
      </c>
      <c r="H26" s="65">
        <f>VLOOKUP($A26,Attendence!$A:$BD,39,0)</f>
        <v>0</v>
      </c>
      <c r="I26" s="65">
        <f>VLOOKUP($A26,Attendence!$A:$BD,40,0)</f>
        <v>0</v>
      </c>
      <c r="J26" s="65">
        <f>VLOOKUP($A26,Attendence!$A:$BD,41,0)</f>
        <v>0</v>
      </c>
      <c r="K26" s="65">
        <f>VLOOKUP($A26,Attendence!$A:$BD,42,0)</f>
        <v>19</v>
      </c>
      <c r="L26" s="65">
        <f>VLOOKUP($A26,Attendence!$A:$BD,43,0)</f>
        <v>0</v>
      </c>
      <c r="M26" s="65">
        <f>VLOOKUP($A26,Attendence!$A:$BD,44,0)</f>
        <v>12</v>
      </c>
      <c r="N26" s="65">
        <f>VLOOKUP($A26,Attendence!$A:$BD,45,0)</f>
        <v>26354.838709677417</v>
      </c>
      <c r="O26" s="65">
        <f>VLOOKUP($A26,Attendence!$A:$BD,46,0)</f>
        <v>3200</v>
      </c>
      <c r="P26" s="65">
        <f>VLOOKUP($A26,Attendence!$A:$BD,47,0)</f>
        <v>0</v>
      </c>
      <c r="Q26" s="65">
        <f>VLOOKUP($A26,Attendence!$A:$BD,48,0)</f>
        <v>0</v>
      </c>
      <c r="R26" s="65">
        <f>VLOOKUP($A26,Attendence!$A:$BD,49,0)</f>
        <v>0</v>
      </c>
      <c r="S26" s="65">
        <f>VLOOKUP($A26,Attendence!$A:$BD,50,0)</f>
        <v>0</v>
      </c>
      <c r="T26" s="65">
        <f>VLOOKUP($A26,Attendence!$A:$BD,51,0)</f>
        <v>0</v>
      </c>
      <c r="U26" s="65">
        <f>VLOOKUP($A26,Attendence!$A:$BD,52,0)</f>
        <v>29554.838709677417</v>
      </c>
      <c r="V26" s="65">
        <f>VLOOKUP($A26,Attendence!$A:$BD,53,0)</f>
        <v>43000</v>
      </c>
      <c r="W26" s="65">
        <f>VLOOKUP($A26,Attendence!$A:$BD,54,0)</f>
        <v>13445.161290322583</v>
      </c>
      <c r="X26" s="66"/>
      <c r="Y26" s="67" t="str">
        <f>VLOOKUP($A26,Salary!$A:$AI,2,0)</f>
        <v xml:space="preserve">Tarun Singh </v>
      </c>
      <c r="Z26" s="67">
        <f>VLOOKUP($A26,Salary!$A:$AI,3,0)</f>
        <v>45315</v>
      </c>
      <c r="AA26" s="67">
        <f>VLOOKUP($A26,Salary!$A:$AI,4,0)</f>
        <v>43871</v>
      </c>
      <c r="AB26" s="67" t="str">
        <f>VLOOKUP($A26,Salary!$A:$AI,5,0)</f>
        <v>ICICI</v>
      </c>
      <c r="AC26" s="67" t="str">
        <f>VLOOKUP($A26,Salary!$A:$AI,6,0)</f>
        <v>ICICI099683</v>
      </c>
      <c r="AD26" s="67">
        <f>VLOOKUP($A26,Salary!$A:$AI,7,0)</f>
        <v>7887878792</v>
      </c>
      <c r="AE26" s="67" t="str">
        <f>VLOOKUP($A26,Salary!$A:$AI,8,0)</f>
        <v>LKBD4548</v>
      </c>
      <c r="AF26" s="67" t="str">
        <f>VLOOKUP($A26,Salary!$A:$AI,9,0)</f>
        <v>Magento Developer</v>
      </c>
      <c r="AG26" s="67" t="str">
        <f>VLOOKUP($A26,Salary!$A:$AI,10,0)</f>
        <v>Ecommerce</v>
      </c>
      <c r="AH26" s="67" t="str">
        <f>VLOOKUP($A26,Salary!$A:$AI,11,0)</f>
        <v>Mohali</v>
      </c>
      <c r="AI26" s="67">
        <f>VLOOKUP($A26,Salary!$A:$AI,12,0)</f>
        <v>31</v>
      </c>
      <c r="AJ26" s="67">
        <f>VLOOKUP($A26,Salary!$A:$AI,13,0)</f>
        <v>31</v>
      </c>
      <c r="AK26" s="67">
        <f>VLOOKUP($A26,Salary!$A:$AI,14,0)</f>
        <v>35000</v>
      </c>
      <c r="AL26" s="67">
        <f>VLOOKUP($A26,Salary!$A:$AI,15,0)</f>
        <v>15500</v>
      </c>
      <c r="AM26" s="67">
        <f>VLOOKUP($A26,Salary!$A:$AI,16,0)</f>
        <v>6009</v>
      </c>
      <c r="AN26" s="67">
        <f>VLOOKUP($A26,Salary!$A:$AI,17,0)</f>
        <v>2000</v>
      </c>
      <c r="AO26" s="67">
        <f>VLOOKUP($A26,Salary!$A:$AI,18,0)</f>
        <v>6654</v>
      </c>
      <c r="AP26" s="67">
        <f>VLOOKUP($A26,Salary!$A:$AI,19,0)</f>
        <v>7888</v>
      </c>
      <c r="AQ26" s="67">
        <f>VLOOKUP($A26,Salary!$A:$AI,20,0)</f>
        <v>0</v>
      </c>
      <c r="AR26" s="67">
        <f>VLOOKUP($A26,Salary!$A:$AI,23,0)</f>
        <v>0</v>
      </c>
      <c r="AS26" s="67">
        <f>VLOOKUP($A26,Salary!$A:$AI,24,0)</f>
        <v>1</v>
      </c>
      <c r="AT26" s="67">
        <f>VLOOKUP($A26,Salary!$A:$AI,25,0)</f>
        <v>1</v>
      </c>
      <c r="AU26" s="67">
        <f>VLOOKUP($A26,Salary!$A:$AI,26,0)</f>
        <v>0</v>
      </c>
      <c r="AV26" s="67">
        <f>VLOOKUP($A26,Salary!$A:$AI,27,0)</f>
        <v>200</v>
      </c>
      <c r="AW26" s="67">
        <f>VLOOKUP($A26,Salary!$A:$AI,28,0)</f>
        <v>0</v>
      </c>
      <c r="AX26" s="67">
        <f>VLOOKUP($A26,Salary!$A:$AI,29,0)</f>
        <v>0</v>
      </c>
      <c r="AY26" s="67">
        <f>VLOOKUP($A26,Salary!$A:$AI,30,0)</f>
        <v>0</v>
      </c>
      <c r="AZ26" s="67">
        <f>VLOOKUP($A26,Salary!$A:$AI,31,0)</f>
        <v>0</v>
      </c>
      <c r="BA26" s="67">
        <f>VLOOKUP($A26,Salary!$A:$AI,32,0)</f>
        <v>0</v>
      </c>
      <c r="BB26" s="67">
        <f>VLOOKUP($A26,Salary!$A:$AI,33,0)</f>
        <v>200</v>
      </c>
      <c r="BC26" s="67">
        <f>VLOOKUP($A26,Salary!$A:$AI,21,0)</f>
        <v>35000</v>
      </c>
      <c r="BD26" s="67" t="str">
        <f>VLOOKUP($A26,Salary!$A:$AI,22,0)</f>
        <v>Thirty five thousand rupees only</v>
      </c>
      <c r="BE26" s="67">
        <f>VLOOKUP($A26,Salary!$A:$AI,34,0)</f>
        <v>0</v>
      </c>
      <c r="BF26" s="67">
        <f>VLOOKUP($A26,Salary!$A:$AI,35,0)</f>
        <v>0</v>
      </c>
    </row>
    <row r="27" spans="1:58" ht="29.25">
      <c r="A27" s="19" t="s">
        <v>96</v>
      </c>
      <c r="B27" s="62" t="str">
        <f>VLOOKUP(A27,Attendence!A:BC,2,0)</f>
        <v>Siya  Goyal</v>
      </c>
      <c r="C27" s="64">
        <f>VLOOKUP(A27,Attendence!A:BC,34,0)</f>
        <v>0</v>
      </c>
      <c r="D27" s="65">
        <f>VLOOKUP($A27,Attendence!A:BC,35,0)</f>
        <v>0.5</v>
      </c>
      <c r="E27" s="65">
        <f>VLOOKUP($A27,Attendence!$A:$BD,36,0)</f>
        <v>21</v>
      </c>
      <c r="F27" s="65">
        <f>VLOOKUP($A27,Attendence!$A:$BD,37,0)</f>
        <v>9.5</v>
      </c>
      <c r="G27" s="65">
        <f>VLOOKUP($A27,Attendence!$A:$BD,38,0)</f>
        <v>21.5</v>
      </c>
      <c r="H27" s="65">
        <f>VLOOKUP($A27,Attendence!$A:$BD,39,0)</f>
        <v>0</v>
      </c>
      <c r="I27" s="65">
        <f>VLOOKUP($A27,Attendence!$A:$BD,40,0)</f>
        <v>0</v>
      </c>
      <c r="J27" s="65">
        <f>VLOOKUP($A27,Attendence!$A:$BD,41,0)</f>
        <v>0</v>
      </c>
      <c r="K27" s="65">
        <f>VLOOKUP($A27,Attendence!$A:$BD,42,0)</f>
        <v>21.5</v>
      </c>
      <c r="L27" s="65">
        <f>VLOOKUP($A27,Attendence!$A:$BD,43,0)</f>
        <v>0</v>
      </c>
      <c r="M27" s="65">
        <f>VLOOKUP($A27,Attendence!$A:$BD,44,0)</f>
        <v>9.5</v>
      </c>
      <c r="N27" s="65">
        <f>VLOOKUP($A27,Attendence!$A:$BD,45,0)</f>
        <v>23441.935483870966</v>
      </c>
      <c r="O27" s="65">
        <f>VLOOKUP($A27,Attendence!$A:$BD,46,0)</f>
        <v>3000</v>
      </c>
      <c r="P27" s="65">
        <f>VLOOKUP($A27,Attendence!$A:$BD,47,0)</f>
        <v>0</v>
      </c>
      <c r="Q27" s="65">
        <f>VLOOKUP($A27,Attendence!$A:$BD,48,0)</f>
        <v>0</v>
      </c>
      <c r="R27" s="65">
        <f>VLOOKUP($A27,Attendence!$A:$BD,49,0)</f>
        <v>0</v>
      </c>
      <c r="S27" s="65">
        <f>VLOOKUP($A27,Attendence!$A:$BD,50,0)</f>
        <v>0</v>
      </c>
      <c r="T27" s="65">
        <f>VLOOKUP($A27,Attendence!$A:$BD,51,0)</f>
        <v>0</v>
      </c>
      <c r="U27" s="65">
        <f>VLOOKUP($A27,Attendence!$A:$BD,52,0)</f>
        <v>26441.935483870966</v>
      </c>
      <c r="V27" s="65">
        <f>VLOOKUP($A27,Attendence!$A:$BD,53,0)</f>
        <v>33800</v>
      </c>
      <c r="W27" s="65">
        <f>VLOOKUP($A27,Attendence!$A:$BD,54,0)</f>
        <v>7358.064516129034</v>
      </c>
      <c r="X27" s="66"/>
      <c r="Y27" s="67" t="str">
        <f>VLOOKUP($A27,Salary!$A:$AI,2,0)</f>
        <v>Siya  Goyal</v>
      </c>
      <c r="Z27" s="67">
        <f>VLOOKUP($A27,Salary!$A:$AI,3,0)</f>
        <v>45315</v>
      </c>
      <c r="AA27" s="67">
        <f>VLOOKUP($A27,Salary!$A:$AI,4,0)</f>
        <v>43871</v>
      </c>
      <c r="AB27" s="67" t="str">
        <f>VLOOKUP($A27,Salary!$A:$AI,5,0)</f>
        <v>ICICI</v>
      </c>
      <c r="AC27" s="67" t="str">
        <f>VLOOKUP($A27,Salary!$A:$AI,6,0)</f>
        <v>ICICI099684</v>
      </c>
      <c r="AD27" s="67">
        <f>VLOOKUP($A27,Salary!$A:$AI,7,0)</f>
        <v>7887878793</v>
      </c>
      <c r="AE27" s="67" t="str">
        <f>VLOOKUP($A27,Salary!$A:$AI,8,0)</f>
        <v>LKBD4549</v>
      </c>
      <c r="AF27" s="67" t="str">
        <f>VLOOKUP($A27,Salary!$A:$AI,9,0)</f>
        <v>Magento Developer</v>
      </c>
      <c r="AG27" s="67" t="str">
        <f>VLOOKUP($A27,Salary!$A:$AI,10,0)</f>
        <v>Ecommerce</v>
      </c>
      <c r="AH27" s="67" t="str">
        <f>VLOOKUP($A27,Salary!$A:$AI,11,0)</f>
        <v>Mohali</v>
      </c>
      <c r="AI27" s="67">
        <f>VLOOKUP($A27,Salary!$A:$AI,12,0)</f>
        <v>31</v>
      </c>
      <c r="AJ27" s="67">
        <f>VLOOKUP($A27,Salary!$A:$AI,13,0)</f>
        <v>31</v>
      </c>
      <c r="AK27" s="67">
        <f>VLOOKUP($A27,Salary!$A:$AI,14,0)</f>
        <v>35000</v>
      </c>
      <c r="AL27" s="67">
        <f>VLOOKUP($A27,Salary!$A:$AI,15,0)</f>
        <v>15500</v>
      </c>
      <c r="AM27" s="67">
        <f>VLOOKUP($A27,Salary!$A:$AI,16,0)</f>
        <v>6009</v>
      </c>
      <c r="AN27" s="67">
        <f>VLOOKUP($A27,Salary!$A:$AI,17,0)</f>
        <v>2000</v>
      </c>
      <c r="AO27" s="67">
        <f>VLOOKUP($A27,Salary!$A:$AI,18,0)</f>
        <v>6654</v>
      </c>
      <c r="AP27" s="67">
        <f>VLOOKUP($A27,Salary!$A:$AI,19,0)</f>
        <v>7888</v>
      </c>
      <c r="AQ27" s="67">
        <f>VLOOKUP($A27,Salary!$A:$AI,20,0)</f>
        <v>0</v>
      </c>
      <c r="AR27" s="67">
        <f>VLOOKUP($A27,Salary!$A:$AI,23,0)</f>
        <v>0</v>
      </c>
      <c r="AS27" s="67">
        <f>VLOOKUP($A27,Salary!$A:$AI,24,0)</f>
        <v>1</v>
      </c>
      <c r="AT27" s="67">
        <f>VLOOKUP($A27,Salary!$A:$AI,25,0)</f>
        <v>1</v>
      </c>
      <c r="AU27" s="67">
        <f>VLOOKUP($A27,Salary!$A:$AI,26,0)</f>
        <v>0</v>
      </c>
      <c r="AV27" s="67">
        <f>VLOOKUP($A27,Salary!$A:$AI,27,0)</f>
        <v>200</v>
      </c>
      <c r="AW27" s="67">
        <f>VLOOKUP($A27,Salary!$A:$AI,28,0)</f>
        <v>0</v>
      </c>
      <c r="AX27" s="67">
        <f>VLOOKUP($A27,Salary!$A:$AI,29,0)</f>
        <v>0</v>
      </c>
      <c r="AY27" s="67">
        <f>VLOOKUP($A27,Salary!$A:$AI,30,0)</f>
        <v>0</v>
      </c>
      <c r="AZ27" s="67">
        <f>VLOOKUP($A27,Salary!$A:$AI,31,0)</f>
        <v>0</v>
      </c>
      <c r="BA27" s="67">
        <f>VLOOKUP($A27,Salary!$A:$AI,32,0)</f>
        <v>0</v>
      </c>
      <c r="BB27" s="67">
        <f>VLOOKUP($A27,Salary!$A:$AI,33,0)</f>
        <v>200</v>
      </c>
      <c r="BC27" s="67">
        <f>VLOOKUP($A27,Salary!$A:$AI,21,0)</f>
        <v>35000</v>
      </c>
      <c r="BD27" s="67" t="str">
        <f>VLOOKUP($A27,Salary!$A:$AI,22,0)</f>
        <v>Thirty five thousand rupees only</v>
      </c>
      <c r="BE27" s="67">
        <f>VLOOKUP($A27,Salary!$A:$AI,34,0)</f>
        <v>0</v>
      </c>
      <c r="BF27" s="67">
        <f>VLOOKUP($A27,Salary!$A:$AI,35,0)</f>
        <v>0</v>
      </c>
    </row>
    <row r="28" spans="1:58">
      <c r="X28" s="60"/>
      <c r="BD28" s="61"/>
    </row>
    <row r="29" spans="1:58">
      <c r="X29" s="60"/>
      <c r="BD29" s="61"/>
    </row>
    <row r="30" spans="1:58">
      <c r="X30" s="60"/>
      <c r="BD30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HR Kavita</cp:lastModifiedBy>
  <cp:revision/>
  <dcterms:created xsi:type="dcterms:W3CDTF">2024-09-05T13:22:02Z</dcterms:created>
  <dcterms:modified xsi:type="dcterms:W3CDTF">2024-09-20T09:13:44Z</dcterms:modified>
  <cp:category/>
  <cp:contentStatus/>
</cp:coreProperties>
</file>