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D:\02_Projekte\EESchwimm\TEASER\teaser\examples\"/>
    </mc:Choice>
  </mc:AlternateContent>
  <bookViews>
    <workbookView xWindow="0" yWindow="0" windowWidth="28800" windowHeight="11610"/>
  </bookViews>
  <sheets>
    <sheet name="Hüllflächen, Himmelsricht." sheetId="1" r:id="rId1"/>
    <sheet name="Strukturen Hüllfläche" sheetId="6" r:id="rId2"/>
  </sheets>
  <externalReferences>
    <externalReference r:id="rId3"/>
  </externalReferences>
  <definedNames>
    <definedName name="Glass_A" localSheetId="1">[1]Dropdown!#REF!</definedName>
    <definedName name="Glass_A">[1]Dropdown!#REF!</definedName>
    <definedName name="GlassA" localSheetId="1">[1]Dropdown!#REF!</definedName>
    <definedName name="GlassA">[1]Dropdown!#REF!</definedName>
  </definedNames>
  <calcPr calcId="162913"/>
</workbook>
</file>

<file path=xl/calcChain.xml><?xml version="1.0" encoding="utf-8"?>
<calcChain xmlns="http://schemas.openxmlformats.org/spreadsheetml/2006/main">
  <c r="E23" i="6" l="1"/>
  <c r="AE28" i="1"/>
  <c r="AE27" i="1"/>
  <c r="Y6" i="1"/>
  <c r="E17" i="6" l="1"/>
  <c r="E16" i="6"/>
  <c r="E19" i="6"/>
  <c r="E20" i="6"/>
  <c r="E21" i="6"/>
  <c r="E18" i="6"/>
  <c r="K17" i="1"/>
  <c r="K20" i="1" s="1"/>
  <c r="AA13" i="1"/>
  <c r="AB13" i="1"/>
  <c r="AC13" i="1"/>
  <c r="AD13" i="1"/>
  <c r="W13" i="1"/>
  <c r="X13" i="1"/>
  <c r="Z13" i="1"/>
  <c r="Y12" i="1"/>
  <c r="V12" i="1"/>
  <c r="Y5" i="1"/>
  <c r="V9" i="1"/>
  <c r="U9" i="1"/>
  <c r="Y8" i="1"/>
  <c r="Y10" i="1"/>
  <c r="Y13" i="1"/>
  <c r="U7" i="1"/>
  <c r="Q16" i="1"/>
  <c r="Q20" i="1"/>
  <c r="Q18" i="1"/>
  <c r="Q17" i="1"/>
  <c r="Q15" i="1"/>
  <c r="Q13" i="1"/>
  <c r="Q8" i="1"/>
  <c r="Q9" i="1"/>
  <c r="Q12" i="1"/>
  <c r="Q5" i="1"/>
  <c r="K16" i="1"/>
  <c r="K19" i="1"/>
  <c r="K18" i="1"/>
  <c r="I19" i="1"/>
  <c r="I16" i="1"/>
  <c r="I11" i="1"/>
  <c r="I9" i="1"/>
  <c r="I15" i="1"/>
  <c r="I7" i="1"/>
  <c r="I12" i="1"/>
  <c r="I8" i="1"/>
  <c r="I5" i="1"/>
  <c r="E17" i="1"/>
  <c r="E20" i="1"/>
  <c r="C17" i="1"/>
  <c r="C16" i="1"/>
  <c r="G16" i="1"/>
  <c r="G18" i="1"/>
  <c r="G17" i="1"/>
  <c r="G20" i="1"/>
  <c r="G15" i="1"/>
  <c r="E16" i="1"/>
  <c r="E6" i="1"/>
  <c r="E5" i="1"/>
  <c r="E15" i="1"/>
  <c r="E9" i="1"/>
  <c r="C15" i="1"/>
  <c r="V5" i="1"/>
  <c r="V6" i="1" s="1"/>
  <c r="U6" i="1" s="1"/>
  <c r="I17" i="1"/>
  <c r="I20" i="1"/>
  <c r="I13" i="1"/>
  <c r="G13" i="1"/>
  <c r="E13" i="1"/>
  <c r="C13" i="1"/>
  <c r="C6" i="1"/>
  <c r="C10" i="1"/>
  <c r="U5" i="1"/>
  <c r="V8" i="1"/>
  <c r="U8" i="1" s="1"/>
  <c r="V10" i="1"/>
  <c r="U10" i="1" s="1"/>
  <c r="V13" i="1"/>
  <c r="C20" i="1"/>
</calcChain>
</file>

<file path=xl/sharedStrings.xml><?xml version="1.0" encoding="utf-8"?>
<sst xmlns="http://schemas.openxmlformats.org/spreadsheetml/2006/main" count="318" uniqueCount="156">
  <si>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</si>
  <si>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</si>
  <si>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</si>
  <si>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</si>
  <si>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</si>
  <si>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</si>
  <si>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</si>
  <si>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</si>
  <si>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N</t>
  </si>
  <si>
    <t>E</t>
  </si>
  <si>
    <t>S</t>
  </si>
  <si>
    <t>W</t>
  </si>
  <si>
    <t>Saunabereich</t>
  </si>
  <si>
    <t>Fitness</t>
  </si>
  <si>
    <t>Zone designation</t>
  </si>
  <si>
    <t>Enveloping Surfaces of Zones in an Example Swimming Pool</t>
  </si>
  <si>
    <t>Transparent elements in outer walls in each cardinal direction [m²]</t>
  </si>
  <si>
    <t>Transparent horizontal elements [m²]</t>
  </si>
  <si>
    <t>Air volume [m³]</t>
  </si>
  <si>
    <t>name</t>
  </si>
  <si>
    <t>layer</t>
  </si>
  <si>
    <t>thickness</t>
  </si>
  <si>
    <t>inner radiation</t>
  </si>
  <si>
    <t>inner convection</t>
  </si>
  <si>
    <t>outer radiation</t>
  </si>
  <si>
    <t>outer convection</t>
  </si>
  <si>
    <t>5.0</t>
  </si>
  <si>
    <t>2.7</t>
  </si>
  <si>
    <t>20.0</t>
  </si>
  <si>
    <t>27068cc0-3a43-11e7-bc9e-2cd444b2e704</t>
  </si>
  <si>
    <t>[W/mK]</t>
  </si>
  <si>
    <t>6755e6e6-3a43-11e7-adad-2cd444b2e704</t>
  </si>
  <si>
    <t>35d01e70-3a43-11e7-a6cf-2cd444b2e704</t>
  </si>
  <si>
    <t>39c59c0c-3a43-11e7-ac33-2cd444b2e704</t>
  </si>
  <si>
    <t>Building Envelope Structures in Swimming Pools</t>
  </si>
  <si>
    <t>Eingangsbereich</t>
  </si>
  <si>
    <t>Schwimmhalle</t>
  </si>
  <si>
    <t>Duschen und Sanitärräume</t>
  </si>
  <si>
    <t>Umkleiden</t>
  </si>
  <si>
    <t>Aufsichtsraum</t>
  </si>
  <si>
    <t>Technikraum</t>
  </si>
  <si>
    <t>Roof (upper building closure, including horizontal transparent elements) [m²]</t>
  </si>
  <si>
    <t>g-value</t>
  </si>
  <si>
    <t xml:space="preserve">Outer walls and cardinal directions of them, including transparent elements [m²]
</t>
  </si>
  <si>
    <t>Total area of zone (including water surface) [m²]</t>
  </si>
  <si>
    <t>Additional information to zone 4</t>
  </si>
  <si>
    <t>Sum of pools</t>
  </si>
  <si>
    <t>Schwimmerbecken</t>
  </si>
  <si>
    <t>Mehrzweckbecken</t>
  </si>
  <si>
    <t>Kleinkinderbecken</t>
  </si>
  <si>
    <t>Nichtschwimmerbecken</t>
  </si>
  <si>
    <t>Springerbecken</t>
  </si>
  <si>
    <t>SPB</t>
  </si>
  <si>
    <t>NSB</t>
  </si>
  <si>
    <t>KB</t>
  </si>
  <si>
    <t>MZB</t>
  </si>
  <si>
    <t>SB</t>
  </si>
  <si>
    <t>SUM</t>
  </si>
  <si>
    <t>Water surface</t>
  </si>
  <si>
    <t>[m²]</t>
  </si>
  <si>
    <t>Water volume</t>
  </si>
  <si>
    <t>[m³]</t>
  </si>
  <si>
    <t>Pool temperature</t>
  </si>
  <si>
    <t>FB1</t>
  </si>
  <si>
    <t>FB2</t>
  </si>
  <si>
    <t>FB3</t>
  </si>
  <si>
    <t>FB4</t>
  </si>
  <si>
    <t>OuterWall</t>
  </si>
  <si>
    <t>InnerWall</t>
  </si>
  <si>
    <t>GroundFloor</t>
  </si>
  <si>
    <t>Window_roof</t>
  </si>
  <si>
    <t>(from inside 0 to outside 5)</t>
  </si>
  <si>
    <t>2497c138-3a43-11e7-9e0f-2cd444b2e704</t>
  </si>
  <si>
    <t>25f82c80-3a43-11e7-87af-2cd444b2e704</t>
  </si>
  <si>
    <t>2450d810-3a43-11e7-acc4-2cd444b2e704</t>
  </si>
  <si>
    <t>36734a3e-3a43-11e7-962d-2cd444b2e704</t>
  </si>
  <si>
    <r>
      <t>[kg/m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]</t>
    </r>
  </si>
  <si>
    <t>[kJ/kgK]</t>
  </si>
  <si>
    <t>2603ea80-3a43-11e7-882b-2cd444b2e704</t>
  </si>
  <si>
    <t>6c217f5c-3a43-11e7-8fc5-2cd444b2e704</t>
  </si>
  <si>
    <t>24ce8040-3a43-11e7-9beb-2cd444b2e704</t>
  </si>
  <si>
    <t>0abbb1a2-83ff-11e6-946a-2cd444b2e704</t>
  </si>
  <si>
    <t>a_conv</t>
  </si>
  <si>
    <t>Rooftop</t>
  </si>
  <si>
    <t>Ceiling (Inner Ceilings)[m²]</t>
  </si>
  <si>
    <t>Floor (Inner Floors without earth contact)[m²]</t>
  </si>
  <si>
    <t>Inner walls as a sum (Shared Inner Walls of two zones are splittet equally)[m²]</t>
  </si>
  <si>
    <t>Ground floor (lower building closure) with earth contact [m²]</t>
  </si>
  <si>
    <t>material_id</t>
  </si>
  <si>
    <t>thermal_conductivity</t>
  </si>
  <si>
    <t>density</t>
  </si>
  <si>
    <t>heat_capacity</t>
  </si>
  <si>
    <t>Ceiling</t>
  </si>
  <si>
    <t>Floor</t>
  </si>
  <si>
    <t>[K]</t>
  </si>
  <si>
    <t>boolean</t>
  </si>
  <si>
    <t>Umfang Becken</t>
  </si>
  <si>
    <t>[m]</t>
  </si>
  <si>
    <t>Filterkombination</t>
  </si>
  <si>
    <t>string</t>
  </si>
  <si>
    <t>float</t>
  </si>
  <si>
    <t>PoolMaterial</t>
  </si>
  <si>
    <r>
      <t xml:space="preserve">Pool floor </t>
    </r>
    <r>
      <rPr>
        <b/>
        <u/>
        <sz val="11"/>
        <color indexed="56"/>
        <rFont val="Century Gothic"/>
        <family val="2"/>
      </rPr>
      <t>with</t>
    </r>
    <r>
      <rPr>
        <b/>
        <sz val="11"/>
        <color indexed="56"/>
        <rFont val="Century Gothic"/>
        <family val="2"/>
      </rPr>
      <t xml:space="preserve"> earth contact</t>
    </r>
  </si>
  <si>
    <r>
      <t xml:space="preserve">Pool floor </t>
    </r>
    <r>
      <rPr>
        <b/>
        <u/>
        <sz val="11"/>
        <color indexed="56"/>
        <rFont val="Century Gothic"/>
        <family val="2"/>
      </rPr>
      <t>without</t>
    </r>
    <r>
      <rPr>
        <b/>
        <sz val="11"/>
        <color indexed="56"/>
        <rFont val="Century Gothic"/>
        <family val="2"/>
      </rPr>
      <t xml:space="preserve"> earth contact</t>
    </r>
  </si>
  <si>
    <r>
      <t xml:space="preserve">Pool wall </t>
    </r>
    <r>
      <rPr>
        <b/>
        <u/>
        <sz val="11"/>
        <color indexed="56"/>
        <rFont val="Century Gothic"/>
        <family val="2"/>
      </rPr>
      <t>with</t>
    </r>
    <r>
      <rPr>
        <b/>
        <sz val="11"/>
        <color indexed="56"/>
        <rFont val="Century Gothic"/>
        <family val="2"/>
      </rPr>
      <t xml:space="preserve"> earth contact</t>
    </r>
  </si>
  <si>
    <r>
      <t xml:space="preserve">Pool wall </t>
    </r>
    <r>
      <rPr>
        <b/>
        <u/>
        <sz val="11"/>
        <color indexed="56"/>
        <rFont val="Century Gothic"/>
        <family val="2"/>
      </rPr>
      <t>without</t>
    </r>
    <r>
      <rPr>
        <b/>
        <sz val="11"/>
        <color indexed="56"/>
        <rFont val="Century Gothic"/>
        <family val="2"/>
      </rPr>
      <t xml:space="preserve"> earth contact</t>
    </r>
  </si>
  <si>
    <t>Window</t>
  </si>
  <si>
    <t>Beckenabdeckung</t>
  </si>
  <si>
    <t>Tiefe Becken</t>
  </si>
  <si>
    <t>Abwasseraufbereitung</t>
  </si>
  <si>
    <t>Nachtabsenkung</t>
  </si>
  <si>
    <t>Abwasseraufbereitungsgrad</t>
  </si>
  <si>
    <t>Freiformbecken1</t>
  </si>
  <si>
    <t>Freiformbecken2</t>
  </si>
  <si>
    <t>Freiformbecken3</t>
  </si>
  <si>
    <t>Freiformbecken4</t>
  </si>
  <si>
    <t>Süßwasser</t>
  </si>
  <si>
    <t>ohne Ozon</t>
  </si>
  <si>
    <t>mit Brom</t>
  </si>
  <si>
    <t>Filterspülungen</t>
  </si>
  <si>
    <t>[pro Woche]</t>
  </si>
  <si>
    <t>Wellenbetrieb</t>
  </si>
  <si>
    <t>Wellenhöhe</t>
  </si>
  <si>
    <t>Wellenbreite</t>
  </si>
  <si>
    <t>Filtertyp</t>
  </si>
  <si>
    <t>Quarzkiesfilter</t>
  </si>
  <si>
    <t>Wasserart</t>
  </si>
  <si>
    <t>[pro Tag]</t>
  </si>
  <si>
    <t>Besucherzahl</t>
  </si>
  <si>
    <t>Aufbereitungsvolumenstrom Nachts</t>
  </si>
  <si>
    <t>offener Saugfilter</t>
  </si>
  <si>
    <r>
      <rPr>
        <b/>
        <sz val="16"/>
        <color indexed="8"/>
        <rFont val="Calibri"/>
        <family val="2"/>
      </rPr>
      <t>NOTE:</t>
    </r>
    <r>
      <rPr>
        <sz val="16"/>
        <color indexed="8"/>
        <rFont val="Calibri"/>
        <family val="2"/>
      </rPr>
      <t xml:space="preserve"> Gemittelte Tiefe!</t>
    </r>
  </si>
  <si>
    <t>true</t>
  </si>
  <si>
    <t>false</t>
  </si>
  <si>
    <t>Material</t>
  </si>
  <si>
    <t>Beton</t>
  </si>
  <si>
    <t>Dämmung</t>
  </si>
  <si>
    <t>Putz</t>
  </si>
  <si>
    <t>Stahl</t>
  </si>
  <si>
    <t>bituminized_felt_2</t>
  </si>
  <si>
    <t>polyethylene_foil_2</t>
  </si>
  <si>
    <t>Estricht</t>
  </si>
  <si>
    <t>XPS_30</t>
  </si>
  <si>
    <r>
      <rPr>
        <b/>
        <sz val="16"/>
        <color rgb="FFFF0000"/>
        <rFont val="Calibri"/>
        <family val="2"/>
      </rPr>
      <t>NOTE:</t>
    </r>
    <r>
      <rPr>
        <sz val="16"/>
        <color rgb="FFFF0000"/>
        <rFont val="Calibri"/>
        <family val="2"/>
      </rPr>
      <t xml:space="preserve"> The Pool temperature is not transferred from the Calculator</t>
    </r>
  </si>
  <si>
    <t>[sec]</t>
  </si>
  <si>
    <t>Intervalle Wellenbetrieb</t>
  </si>
  <si>
    <t xml:space="preserve">Anteil Wellenbetrieb </t>
  </si>
  <si>
    <t>[%]</t>
  </si>
  <si>
    <t>alle 30 Minuten (1800 sec) für 10 Minuten (1/3 von 30 Minuten)</t>
  </si>
  <si>
    <t>Wärmerückgewinnung Spühlabwasser</t>
  </si>
  <si>
    <t xml:space="preserve">boolean </t>
  </si>
  <si>
    <t>Wärmerückgwinnungsgrad Spühlabwasser</t>
  </si>
  <si>
    <t>Konstruktion Beckenwand</t>
  </si>
  <si>
    <t xml:space="preserve">string </t>
  </si>
  <si>
    <t>[cm]</t>
  </si>
  <si>
    <t>U-Wert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</si>
</sst>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"/>
    <numFmt numFmtId="167" formatCode="0.000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6"/>
      <name val="Century Gothic"/>
      <family val="2"/>
    </font>
    <font>
      <sz val="16"/>
      <color indexed="8"/>
      <name val="Calibri"/>
      <family val="2"/>
    </font>
    <font>
      <b/>
      <sz val="16"/>
      <color indexed="8"/>
      <name val="Calibri"/>
      <family val="2"/>
    </font>
    <font>
      <sz val="11"/>
      <name val="Century Gothic"/>
      <family val="2"/>
    </font>
    <font>
      <vertAlign val="superscript"/>
      <sz val="11"/>
      <color indexed="8"/>
      <name val="Calibri"/>
      <family val="2"/>
    </font>
    <font>
      <sz val="11"/>
      <name val="Calibri"/>
      <family val="2"/>
    </font>
    <font>
      <b/>
      <u/>
      <sz val="11"/>
      <color indexed="56"/>
      <name val="Century Gothic"/>
      <family val="2"/>
    </font>
    <font>
      <sz val="11"/>
      <color rgb="FF000000"/>
      <name val="Calibri"/>
      <family val="2"/>
    </font>
    <font>
      <sz val="11"/>
      <color rgb="FF1F497D"/>
      <name val="Century Gothic"/>
      <family val="2"/>
    </font>
    <font>
      <b/>
      <sz val="11"/>
      <color rgb="FF000000"/>
      <name val="Calibri"/>
      <family val="2"/>
    </font>
    <font>
      <sz val="12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0" tint="-4.9989318521683403E-2"/>
      <name val="Century Gothic"/>
      <family val="2"/>
    </font>
    <font>
      <b/>
      <sz val="12"/>
      <color theme="1"/>
      <name val="Century Gothic"/>
      <family val="2"/>
    </font>
    <font>
      <b/>
      <sz val="11"/>
      <color rgb="FF1F497D"/>
      <name val="Century Gothic"/>
      <family val="2"/>
    </font>
    <font>
      <sz val="11"/>
      <name val="Calibri"/>
      <family val="2"/>
      <scheme val="minor"/>
    </font>
    <font>
      <sz val="11"/>
      <color theme="0" tint="-0.249977111117893"/>
      <name val="Century Gothic"/>
      <family val="2"/>
    </font>
    <font>
      <sz val="16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0" tint="-0.249977111117893"/>
      <name val="Century Gothic"/>
      <family val="2"/>
    </font>
    <font>
      <sz val="11"/>
      <color rgb="FFFF0000"/>
      <name val="Century Gothic"/>
      <family val="2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</font>
    <font>
      <sz val="16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0" fontId="9" fillId="0" borderId="0" applyBorder="0"/>
  </cellStyleXfs>
  <cellXfs count="218">
    <xf numFmtId="0" fontId="0" fillId="0" borderId="0" xfId="0"/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9" fillId="0" borderId="0" xfId="1"/>
    <xf numFmtId="0" fontId="9" fillId="0" borderId="8" xfId="1" applyBorder="1"/>
    <xf numFmtId="0" fontId="11" fillId="0" borderId="8" xfId="1" applyFont="1" applyBorder="1"/>
    <xf numFmtId="0" fontId="11" fillId="0" borderId="8" xfId="1" applyFont="1" applyBorder="1" applyAlignment="1">
      <alignment horizontal="left" vertical="center"/>
    </xf>
    <xf numFmtId="0" fontId="9" fillId="0" borderId="0" xfId="1" applyAlignment="1">
      <alignment horizontal="left"/>
    </xf>
    <xf numFmtId="0" fontId="9" fillId="0" borderId="9" xfId="1" applyBorder="1" applyAlignment="1">
      <alignment horizontal="left"/>
    </xf>
    <xf numFmtId="0" fontId="9" fillId="0" borderId="9" xfId="1" applyBorder="1"/>
    <xf numFmtId="0" fontId="9" fillId="0" borderId="10" xfId="1" applyBorder="1" applyAlignment="1">
      <alignment horizontal="left"/>
    </xf>
    <xf numFmtId="0" fontId="9" fillId="0" borderId="10" xfId="1" applyBorder="1"/>
    <xf numFmtId="0" fontId="9" fillId="0" borderId="0" xfId="1" applyBorder="1"/>
    <xf numFmtId="0" fontId="9" fillId="0" borderId="0" xfId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11" fillId="0" borderId="0" xfId="1" applyFont="1" applyBorder="1" applyAlignment="1">
      <alignment vertical="top" wrapText="1"/>
    </xf>
    <xf numFmtId="0" fontId="11" fillId="0" borderId="0" xfId="1" applyFont="1" applyBorder="1" applyAlignment="1">
      <alignment horizontal="left" vertical="top" wrapText="1"/>
    </xf>
    <xf numFmtId="0" fontId="9" fillId="0" borderId="0" xfId="1" applyAlignment="1">
      <alignment vertical="top" wrapText="1"/>
    </xf>
    <xf numFmtId="0" fontId="12" fillId="0" borderId="9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10" fillId="0" borderId="0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13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10" fillId="0" borderId="13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 vertical="center" wrapText="1"/>
    </xf>
    <xf numFmtId="0" fontId="9" fillId="0" borderId="10" xfId="1" applyBorder="1" applyAlignment="1">
      <alignment horizontal="left" vertical="center"/>
    </xf>
    <xf numFmtId="0" fontId="9" fillId="0" borderId="0" xfId="1" applyBorder="1" applyAlignment="1">
      <alignment horizontal="left" vertical="center"/>
    </xf>
    <xf numFmtId="0" fontId="9" fillId="0" borderId="0" xfId="1" applyAlignment="1">
      <alignment horizontal="left" vertical="center"/>
    </xf>
    <xf numFmtId="0" fontId="9" fillId="0" borderId="9" xfId="1" applyBorder="1" applyAlignment="1">
      <alignment horizontal="left" vertical="center"/>
    </xf>
    <xf numFmtId="0" fontId="9" fillId="0" borderId="9" xfId="1" applyBorder="1" applyAlignment="1">
      <alignment horizontal="left" vertical="center" wrapText="1"/>
    </xf>
    <xf numFmtId="0" fontId="9" fillId="0" borderId="0" xfId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left" vertical="center" wrapText="1"/>
    </xf>
    <xf numFmtId="0" fontId="13" fillId="0" borderId="15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9" fillId="0" borderId="10" xfId="1" applyBorder="1" applyAlignment="1">
      <alignment horizontal="left" vertical="center"/>
    </xf>
    <xf numFmtId="0" fontId="9" fillId="0" borderId="0" xfId="1" applyBorder="1" applyAlignment="1">
      <alignment horizontal="left" vertical="center"/>
    </xf>
    <xf numFmtId="0" fontId="9" fillId="0" borderId="0" xfId="1" applyAlignment="1">
      <alignment horizontal="left" vertical="center"/>
    </xf>
    <xf numFmtId="0" fontId="9" fillId="0" borderId="9" xfId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3" fillId="0" borderId="1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9" fillId="0" borderId="10" xfId="1" applyFill="1" applyBorder="1" applyAlignment="1">
      <alignment horizontal="left" vertical="center"/>
    </xf>
    <xf numFmtId="0" fontId="9" fillId="0" borderId="10" xfId="1" applyFill="1" applyBorder="1" applyAlignment="1">
      <alignment horizontal="left"/>
    </xf>
    <xf numFmtId="2" fontId="9" fillId="0" borderId="0" xfId="1" applyNumberFormat="1" applyAlignment="1">
      <alignment horizontal="left" vertical="center"/>
    </xf>
    <xf numFmtId="2" fontId="0" fillId="0" borderId="0" xfId="0" applyNumberFormat="1" applyFill="1" applyAlignment="1" applyProtection="1">
      <alignment horizontal="left"/>
    </xf>
    <xf numFmtId="2" fontId="9" fillId="0" borderId="10" xfId="1" applyNumberFormat="1" applyFill="1" applyBorder="1" applyAlignment="1">
      <alignment horizontal="left" vertical="center"/>
    </xf>
    <xf numFmtId="2" fontId="9" fillId="0" borderId="0" xfId="1" applyNumberFormat="1" applyBorder="1" applyAlignment="1">
      <alignment horizontal="left" vertical="center"/>
    </xf>
    <xf numFmtId="2" fontId="0" fillId="0" borderId="0" xfId="0" applyNumberFormat="1" applyFill="1" applyAlignment="1" applyProtection="1">
      <alignment horizontal="left" vertical="center"/>
    </xf>
    <xf numFmtId="2" fontId="9" fillId="0" borderId="10" xfId="1" applyNumberFormat="1" applyBorder="1" applyAlignment="1">
      <alignment horizontal="left" vertical="center"/>
    </xf>
    <xf numFmtId="2" fontId="9" fillId="0" borderId="0" xfId="1" applyNumberFormat="1" applyFill="1" applyBorder="1" applyAlignment="1">
      <alignment horizontal="left" vertical="center"/>
    </xf>
    <xf numFmtId="2" fontId="7" fillId="0" borderId="0" xfId="1" applyNumberFormat="1" applyFont="1" applyBorder="1" applyAlignment="1">
      <alignment horizontal="left" vertical="center"/>
    </xf>
    <xf numFmtId="2" fontId="9" fillId="0" borderId="0" xfId="1" applyNumberFormat="1" applyFill="1" applyAlignment="1">
      <alignment horizontal="left"/>
    </xf>
    <xf numFmtId="2" fontId="7" fillId="0" borderId="56" xfId="1" applyNumberFormat="1" applyFont="1" applyBorder="1" applyAlignment="1">
      <alignment horizontal="left"/>
    </xf>
    <xf numFmtId="0" fontId="9" fillId="0" borderId="19" xfId="1" applyFill="1" applyBorder="1" applyAlignment="1">
      <alignment horizontal="left" vertical="center"/>
    </xf>
    <xf numFmtId="0" fontId="0" fillId="0" borderId="0" xfId="0" applyFill="1"/>
    <xf numFmtId="0" fontId="17" fillId="0" borderId="0" xfId="0" applyFont="1"/>
    <xf numFmtId="2" fontId="0" fillId="0" borderId="19" xfId="0" applyNumberFormat="1" applyFill="1" applyBorder="1" applyAlignment="1" applyProtection="1">
      <alignment horizontal="left"/>
    </xf>
    <xf numFmtId="0" fontId="9" fillId="0" borderId="19" xfId="1" applyFill="1" applyBorder="1"/>
    <xf numFmtId="0" fontId="9" fillId="0" borderId="10" xfId="1" applyBorder="1" applyAlignment="1">
      <alignment horizontal="left" vertical="center"/>
    </xf>
    <xf numFmtId="0" fontId="9" fillId="0" borderId="0" xfId="1" applyBorder="1" applyAlignment="1">
      <alignment horizontal="left" vertical="center"/>
    </xf>
    <xf numFmtId="0" fontId="9" fillId="0" borderId="0" xfId="1" applyAlignment="1">
      <alignment horizontal="left" vertical="center"/>
    </xf>
    <xf numFmtId="0" fontId="9" fillId="0" borderId="9" xfId="1" applyBorder="1" applyAlignment="1">
      <alignment horizontal="left" vertical="center"/>
    </xf>
    <xf numFmtId="166" fontId="10" fillId="0" borderId="20" xfId="0" applyNumberFormat="1" applyFont="1" applyBorder="1" applyAlignment="1">
      <alignment horizontal="center" vertical="center" wrapText="1"/>
    </xf>
    <xf numFmtId="166" fontId="13" fillId="0" borderId="21" xfId="0" applyNumberFormat="1" applyFont="1" applyFill="1" applyBorder="1" applyAlignment="1">
      <alignment horizontal="center" vertical="center"/>
    </xf>
    <xf numFmtId="166" fontId="18" fillId="2" borderId="20" xfId="0" applyNumberFormat="1" applyFont="1" applyFill="1" applyBorder="1" applyAlignment="1">
      <alignment horizontal="center" vertical="center" wrapText="1"/>
    </xf>
    <xf numFmtId="166" fontId="18" fillId="2" borderId="21" xfId="0" applyNumberFormat="1" applyFont="1" applyFill="1" applyBorder="1" applyAlignment="1">
      <alignment horizontal="center" vertical="center"/>
    </xf>
    <xf numFmtId="166" fontId="13" fillId="0" borderId="22" xfId="0" applyNumberFormat="1" applyFont="1" applyBorder="1" applyAlignment="1">
      <alignment horizontal="center" vertical="center"/>
    </xf>
    <xf numFmtId="166" fontId="5" fillId="0" borderId="19" xfId="0" applyNumberFormat="1" applyFont="1" applyFill="1" applyBorder="1" applyAlignment="1">
      <alignment horizontal="center" vertical="center" wrapText="1"/>
    </xf>
    <xf numFmtId="166" fontId="10" fillId="0" borderId="23" xfId="0" applyNumberFormat="1" applyFont="1" applyBorder="1" applyAlignment="1">
      <alignment horizontal="center" vertical="center" wrapText="1"/>
    </xf>
    <xf numFmtId="166" fontId="18" fillId="2" borderId="23" xfId="0" applyNumberFormat="1" applyFont="1" applyFill="1" applyBorder="1" applyAlignment="1">
      <alignment horizontal="center" vertical="center" wrapText="1"/>
    </xf>
    <xf numFmtId="166" fontId="18" fillId="2" borderId="15" xfId="0" applyNumberFormat="1" applyFont="1" applyFill="1" applyBorder="1" applyAlignment="1">
      <alignment horizontal="center" vertical="center"/>
    </xf>
    <xf numFmtId="166" fontId="13" fillId="0" borderId="24" xfId="0" applyNumberFormat="1" applyFont="1" applyBorder="1" applyAlignment="1">
      <alignment horizontal="center" vertical="center"/>
    </xf>
    <xf numFmtId="166" fontId="10" fillId="0" borderId="25" xfId="0" applyNumberFormat="1" applyFont="1" applyBorder="1" applyAlignment="1">
      <alignment horizontal="center" vertical="center" wrapText="1"/>
    </xf>
    <xf numFmtId="166" fontId="13" fillId="0" borderId="26" xfId="0" applyNumberFormat="1" applyFont="1" applyFill="1" applyBorder="1" applyAlignment="1">
      <alignment horizontal="center" vertical="center"/>
    </xf>
    <xf numFmtId="166" fontId="18" fillId="2" borderId="25" xfId="0" applyNumberFormat="1" applyFont="1" applyFill="1" applyBorder="1" applyAlignment="1">
      <alignment horizontal="center" vertical="center" wrapText="1"/>
    </xf>
    <xf numFmtId="166" fontId="18" fillId="2" borderId="26" xfId="0" applyNumberFormat="1" applyFont="1" applyFill="1" applyBorder="1" applyAlignment="1">
      <alignment horizontal="center" vertical="center"/>
    </xf>
    <xf numFmtId="166" fontId="10" fillId="0" borderId="27" xfId="0" applyNumberFormat="1" applyFont="1" applyBorder="1" applyAlignment="1">
      <alignment horizontal="center" vertical="center" wrapText="1"/>
    </xf>
    <xf numFmtId="166" fontId="13" fillId="0" borderId="28" xfId="0" applyNumberFormat="1" applyFont="1" applyBorder="1" applyAlignment="1">
      <alignment horizontal="center" vertical="center"/>
    </xf>
    <xf numFmtId="166" fontId="10" fillId="0" borderId="29" xfId="0" applyNumberFormat="1" applyFont="1" applyBorder="1" applyAlignment="1">
      <alignment horizontal="center" vertical="center" wrapText="1"/>
    </xf>
    <xf numFmtId="166" fontId="13" fillId="0" borderId="30" xfId="0" applyNumberFormat="1" applyFont="1" applyFill="1" applyBorder="1" applyAlignment="1">
      <alignment horizontal="center" vertical="center"/>
    </xf>
    <xf numFmtId="166" fontId="18" fillId="2" borderId="31" xfId="0" applyNumberFormat="1" applyFont="1" applyFill="1" applyBorder="1" applyAlignment="1">
      <alignment horizontal="center" vertical="center" wrapText="1"/>
    </xf>
    <xf numFmtId="166" fontId="18" fillId="2" borderId="32" xfId="0" applyNumberFormat="1" applyFont="1" applyFill="1" applyBorder="1" applyAlignment="1">
      <alignment horizontal="center" vertical="center"/>
    </xf>
    <xf numFmtId="166" fontId="10" fillId="0" borderId="33" xfId="0" applyNumberFormat="1" applyFont="1" applyBorder="1" applyAlignment="1">
      <alignment horizontal="center" vertical="center" wrapText="1"/>
    </xf>
    <xf numFmtId="166" fontId="13" fillId="0" borderId="15" xfId="0" applyNumberFormat="1" applyFont="1" applyFill="1" applyBorder="1" applyAlignment="1">
      <alignment horizontal="center" vertical="center"/>
    </xf>
    <xf numFmtId="166" fontId="10" fillId="0" borderId="34" xfId="0" applyNumberFormat="1" applyFont="1" applyBorder="1" applyAlignment="1">
      <alignment horizontal="center" vertical="center" wrapText="1"/>
    </xf>
    <xf numFmtId="166" fontId="10" fillId="0" borderId="35" xfId="0" applyNumberFormat="1" applyFont="1" applyBorder="1" applyAlignment="1">
      <alignment horizontal="center" vertical="center" wrapText="1"/>
    </xf>
    <xf numFmtId="166" fontId="13" fillId="0" borderId="36" xfId="0" applyNumberFormat="1" applyFont="1" applyFill="1" applyBorder="1" applyAlignment="1">
      <alignment horizontal="center" vertical="center"/>
    </xf>
    <xf numFmtId="166" fontId="10" fillId="0" borderId="37" xfId="0" applyNumberFormat="1" applyFont="1" applyFill="1" applyBorder="1" applyAlignment="1">
      <alignment horizontal="center" vertical="center" wrapText="1"/>
    </xf>
    <xf numFmtId="166" fontId="13" fillId="0" borderId="12" xfId="0" applyNumberFormat="1" applyFont="1" applyFill="1" applyBorder="1" applyAlignment="1">
      <alignment horizontal="center"/>
    </xf>
    <xf numFmtId="166" fontId="13" fillId="0" borderId="12" xfId="0" applyNumberFormat="1" applyFont="1" applyBorder="1" applyAlignment="1">
      <alignment horizontal="center"/>
    </xf>
    <xf numFmtId="166" fontId="13" fillId="0" borderId="36" xfId="0" applyNumberFormat="1" applyFont="1" applyBorder="1" applyAlignment="1">
      <alignment horizontal="center" vertical="center"/>
    </xf>
    <xf numFmtId="166" fontId="14" fillId="2" borderId="12" xfId="0" applyNumberFormat="1" applyFont="1" applyFill="1" applyBorder="1" applyAlignment="1">
      <alignment horizontal="center"/>
    </xf>
    <xf numFmtId="166" fontId="14" fillId="2" borderId="36" xfId="0" applyNumberFormat="1" applyFont="1" applyFill="1" applyBorder="1" applyAlignment="1">
      <alignment horizontal="center"/>
    </xf>
    <xf numFmtId="166" fontId="13" fillId="0" borderId="37" xfId="0" applyNumberFormat="1" applyFont="1" applyBorder="1" applyAlignment="1">
      <alignment horizontal="center"/>
    </xf>
    <xf numFmtId="166" fontId="13" fillId="0" borderId="37" xfId="0" applyNumberFormat="1" applyFont="1" applyBorder="1" applyAlignment="1">
      <alignment horizontal="center" vertical="center"/>
    </xf>
    <xf numFmtId="166" fontId="10" fillId="0" borderId="37" xfId="0" applyNumberFormat="1" applyFont="1" applyBorder="1" applyAlignment="1">
      <alignment horizontal="center" vertical="center" wrapText="1"/>
    </xf>
    <xf numFmtId="166" fontId="13" fillId="0" borderId="38" xfId="0" applyNumberFormat="1" applyFont="1" applyBorder="1" applyAlignment="1">
      <alignment horizontal="center" vertical="center"/>
    </xf>
    <xf numFmtId="166" fontId="10" fillId="0" borderId="39" xfId="0" applyNumberFormat="1" applyFont="1" applyBorder="1" applyAlignment="1">
      <alignment horizontal="center" vertical="center" wrapText="1"/>
    </xf>
    <xf numFmtId="166" fontId="13" fillId="0" borderId="13" xfId="0" applyNumberFormat="1" applyFont="1" applyBorder="1" applyAlignment="1">
      <alignment horizontal="center"/>
    </xf>
    <xf numFmtId="166" fontId="14" fillId="2" borderId="13" xfId="0" applyNumberFormat="1" applyFont="1" applyFill="1" applyBorder="1" applyAlignment="1">
      <alignment horizontal="center"/>
    </xf>
    <xf numFmtId="166" fontId="14" fillId="2" borderId="38" xfId="0" applyNumberFormat="1" applyFont="1" applyFill="1" applyBorder="1" applyAlignment="1">
      <alignment horizontal="center"/>
    </xf>
    <xf numFmtId="166" fontId="13" fillId="0" borderId="39" xfId="0" applyNumberFormat="1" applyFont="1" applyBorder="1" applyAlignment="1">
      <alignment horizontal="center"/>
    </xf>
    <xf numFmtId="166" fontId="13" fillId="0" borderId="39" xfId="0" applyNumberFormat="1" applyFont="1" applyBorder="1" applyAlignment="1">
      <alignment horizontal="center" vertical="center"/>
    </xf>
    <xf numFmtId="166" fontId="13" fillId="0" borderId="38" xfId="0" applyNumberFormat="1" applyFont="1" applyFill="1" applyBorder="1" applyAlignment="1">
      <alignment horizontal="center" vertical="center"/>
    </xf>
    <xf numFmtId="1" fontId="13" fillId="0" borderId="40" xfId="0" applyNumberFormat="1" applyFont="1" applyBorder="1" applyAlignment="1">
      <alignment horizontal="center" vertical="center"/>
    </xf>
    <xf numFmtId="1" fontId="13" fillId="0" borderId="24" xfId="0" applyNumberFormat="1" applyFont="1" applyBorder="1" applyAlignment="1">
      <alignment horizontal="center" vertical="center"/>
    </xf>
    <xf numFmtId="1" fontId="13" fillId="0" borderId="41" xfId="0" applyNumberFormat="1" applyFont="1" applyBorder="1" applyAlignment="1">
      <alignment horizontal="center" vertical="center"/>
    </xf>
    <xf numFmtId="1" fontId="13" fillId="0" borderId="37" xfId="0" applyNumberFormat="1" applyFont="1" applyBorder="1" applyAlignment="1">
      <alignment horizontal="center" vertical="center"/>
    </xf>
    <xf numFmtId="1" fontId="13" fillId="0" borderId="21" xfId="0" applyNumberFormat="1" applyFont="1" applyBorder="1" applyAlignment="1">
      <alignment horizontal="center" vertical="center"/>
    </xf>
    <xf numFmtId="1" fontId="13" fillId="0" borderId="15" xfId="0" applyNumberFormat="1" applyFont="1" applyBorder="1" applyAlignment="1">
      <alignment horizontal="center" vertical="center"/>
    </xf>
    <xf numFmtId="1" fontId="13" fillId="0" borderId="26" xfId="0" applyNumberFormat="1" applyFont="1" applyBorder="1" applyAlignment="1">
      <alignment horizontal="center" vertical="center"/>
    </xf>
    <xf numFmtId="1" fontId="13" fillId="0" borderId="30" xfId="0" applyNumberFormat="1" applyFont="1" applyBorder="1" applyAlignment="1">
      <alignment horizontal="center" vertical="center"/>
    </xf>
    <xf numFmtId="1" fontId="13" fillId="0" borderId="42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left" vertical="center" wrapText="1"/>
    </xf>
    <xf numFmtId="166" fontId="13" fillId="3" borderId="38" xfId="0" applyNumberFormat="1" applyFont="1" applyFill="1" applyBorder="1" applyAlignment="1">
      <alignment horizontal="center" vertical="center"/>
    </xf>
    <xf numFmtId="166" fontId="13" fillId="3" borderId="39" xfId="0" applyNumberFormat="1" applyFont="1" applyFill="1" applyBorder="1" applyAlignment="1">
      <alignment horizontal="center" vertical="center"/>
    </xf>
    <xf numFmtId="166" fontId="13" fillId="3" borderId="36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66" fontId="10" fillId="0" borderId="39" xfId="0" applyNumberFormat="1" applyFont="1" applyFill="1" applyBorder="1" applyAlignment="1">
      <alignment horizontal="center" vertical="center" wrapText="1"/>
    </xf>
    <xf numFmtId="166" fontId="13" fillId="0" borderId="13" xfId="0" applyNumberFormat="1" applyFont="1" applyFill="1" applyBorder="1" applyAlignment="1">
      <alignment horizontal="center"/>
    </xf>
    <xf numFmtId="166" fontId="13" fillId="0" borderId="39" xfId="0" applyNumberFormat="1" applyFont="1" applyFill="1" applyBorder="1" applyAlignment="1">
      <alignment horizontal="center"/>
    </xf>
    <xf numFmtId="166" fontId="13" fillId="0" borderId="39" xfId="0" applyNumberFormat="1" applyFont="1" applyFill="1" applyBorder="1" applyAlignment="1">
      <alignment horizontal="center" vertical="center"/>
    </xf>
    <xf numFmtId="166" fontId="13" fillId="3" borderId="37" xfId="0" applyNumberFormat="1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left" vertical="center" wrapText="1"/>
    </xf>
    <xf numFmtId="166" fontId="13" fillId="0" borderId="18" xfId="0" applyNumberFormat="1" applyFont="1" applyBorder="1" applyAlignment="1">
      <alignment horizontal="center" vertical="center"/>
    </xf>
    <xf numFmtId="166" fontId="13" fillId="0" borderId="17" xfId="0" applyNumberFormat="1" applyFont="1" applyBorder="1" applyAlignment="1">
      <alignment horizontal="center" vertical="center"/>
    </xf>
    <xf numFmtId="166" fontId="13" fillId="2" borderId="34" xfId="0" applyNumberFormat="1" applyFont="1" applyFill="1" applyBorder="1" applyAlignment="1">
      <alignment horizontal="center" vertical="center"/>
    </xf>
    <xf numFmtId="166" fontId="13" fillId="3" borderId="17" xfId="0" applyNumberFormat="1" applyFont="1" applyFill="1" applyBorder="1" applyAlignment="1">
      <alignment horizontal="center" vertical="center"/>
    </xf>
    <xf numFmtId="0" fontId="9" fillId="0" borderId="19" xfId="1" applyFill="1" applyBorder="1" applyAlignment="1">
      <alignment horizontal="left"/>
    </xf>
    <xf numFmtId="0" fontId="11" fillId="0" borderId="10" xfId="1" applyFont="1" applyBorder="1" applyAlignment="1">
      <alignment vertical="top" wrapText="1"/>
    </xf>
    <xf numFmtId="0" fontId="9" fillId="0" borderId="10" xfId="1" applyBorder="1" applyAlignment="1">
      <alignment horizontal="left" vertical="center"/>
    </xf>
    <xf numFmtId="0" fontId="9" fillId="0" borderId="0" xfId="1" applyBorder="1" applyAlignment="1">
      <alignment horizontal="left" vertical="center"/>
    </xf>
    <xf numFmtId="0" fontId="9" fillId="0" borderId="9" xfId="1" applyBorder="1" applyAlignment="1">
      <alignment horizontal="left" vertical="center"/>
    </xf>
    <xf numFmtId="0" fontId="9" fillId="0" borderId="0" xfId="1" applyAlignment="1">
      <alignment horizontal="left" vertical="center"/>
    </xf>
    <xf numFmtId="0" fontId="9" fillId="3" borderId="19" xfId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20" fillId="0" borderId="0" xfId="0" applyFont="1" applyFill="1" applyBorder="1" applyAlignment="1">
      <alignment vertical="center" wrapText="1"/>
    </xf>
    <xf numFmtId="1" fontId="13" fillId="0" borderId="17" xfId="0" applyNumberFormat="1" applyFont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43" xfId="0" applyFont="1" applyFill="1" applyBorder="1" applyAlignment="1">
      <alignment horizontal="center" vertical="center" wrapText="1"/>
    </xf>
    <xf numFmtId="0" fontId="10" fillId="0" borderId="44" xfId="0" applyFont="1" applyFill="1" applyBorder="1" applyAlignment="1">
      <alignment horizontal="center" vertical="center" wrapText="1"/>
    </xf>
    <xf numFmtId="0" fontId="10" fillId="0" borderId="45" xfId="0" applyFont="1" applyFill="1" applyBorder="1" applyAlignment="1">
      <alignment horizontal="center" vertical="center" wrapText="1"/>
    </xf>
    <xf numFmtId="0" fontId="9" fillId="0" borderId="10" xfId="1" applyBorder="1" applyAlignment="1">
      <alignment horizontal="left" vertical="center"/>
    </xf>
    <xf numFmtId="0" fontId="9" fillId="0" borderId="0" xfId="1" applyBorder="1" applyAlignment="1">
      <alignment horizontal="left" vertical="center"/>
    </xf>
    <xf numFmtId="0" fontId="9" fillId="0" borderId="9" xfId="1" applyBorder="1" applyAlignment="1">
      <alignment horizontal="left" vertical="center"/>
    </xf>
    <xf numFmtId="0" fontId="9" fillId="0" borderId="0" xfId="1" applyAlignment="1">
      <alignment horizontal="left" vertical="center"/>
    </xf>
    <xf numFmtId="167" fontId="9" fillId="0" borderId="0" xfId="1" applyNumberFormat="1" applyAlignment="1">
      <alignment horizontal="left" vertical="center"/>
    </xf>
    <xf numFmtId="167" fontId="9" fillId="0" borderId="10" xfId="1" applyNumberFormat="1" applyBorder="1" applyAlignment="1">
      <alignment horizontal="left" vertical="center"/>
    </xf>
    <xf numFmtId="167" fontId="9" fillId="0" borderId="0" xfId="1" applyNumberFormat="1" applyBorder="1" applyAlignment="1">
      <alignment horizontal="left" vertical="center"/>
    </xf>
    <xf numFmtId="167" fontId="9" fillId="0" borderId="0" xfId="1" applyNumberFormat="1" applyFill="1" applyBorder="1" applyAlignment="1">
      <alignment horizontal="left" vertical="center"/>
    </xf>
    <xf numFmtId="0" fontId="15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8" fillId="0" borderId="48" xfId="0" applyFont="1" applyBorder="1" applyAlignment="1">
      <alignment horizontal="left" vertical="center" wrapText="1"/>
    </xf>
    <xf numFmtId="0" fontId="18" fillId="0" borderId="49" xfId="0" applyFont="1" applyBorder="1" applyAlignment="1">
      <alignment horizontal="left" vertical="center" wrapText="1"/>
    </xf>
    <xf numFmtId="0" fontId="10" fillId="0" borderId="48" xfId="0" applyFont="1" applyBorder="1" applyAlignment="1">
      <alignment horizontal="left" vertical="center" wrapText="1"/>
    </xf>
    <xf numFmtId="0" fontId="10" fillId="0" borderId="55" xfId="0" applyFont="1" applyBorder="1" applyAlignment="1">
      <alignment horizontal="left" vertical="center" wrapText="1"/>
    </xf>
    <xf numFmtId="0" fontId="21" fillId="0" borderId="54" xfId="0" applyFont="1" applyBorder="1" applyAlignment="1">
      <alignment horizontal="left" vertical="center" wrapText="1"/>
    </xf>
    <xf numFmtId="0" fontId="21" fillId="0" borderId="30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20" fillId="0" borderId="54" xfId="0" applyFont="1" applyBorder="1" applyAlignment="1">
      <alignment horizontal="left" vertical="center" wrapText="1"/>
    </xf>
    <xf numFmtId="0" fontId="20" fillId="0" borderId="30" xfId="0" applyFont="1" applyBorder="1" applyAlignment="1">
      <alignment horizontal="left" vertical="center" wrapText="1"/>
    </xf>
    <xf numFmtId="0" fontId="20" fillId="0" borderId="54" xfId="0" applyFont="1" applyBorder="1" applyAlignment="1">
      <alignment horizontal="left" vertical="center"/>
    </xf>
    <xf numFmtId="0" fontId="20" fillId="0" borderId="30" xfId="0" applyFont="1" applyBorder="1" applyAlignment="1">
      <alignment horizontal="left" vertical="center"/>
    </xf>
    <xf numFmtId="0" fontId="10" fillId="0" borderId="5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center" wrapText="1"/>
    </xf>
    <xf numFmtId="0" fontId="10" fillId="0" borderId="52" xfId="0" applyFont="1" applyBorder="1" applyAlignment="1">
      <alignment horizontal="left" vertical="center" wrapText="1"/>
    </xf>
    <xf numFmtId="0" fontId="20" fillId="0" borderId="53" xfId="0" applyFont="1" applyBorder="1" applyAlignment="1">
      <alignment horizontal="left" vertical="center"/>
    </xf>
    <xf numFmtId="0" fontId="10" fillId="0" borderId="49" xfId="0" applyFont="1" applyBorder="1" applyAlignment="1">
      <alignment horizontal="left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3" fillId="0" borderId="46" xfId="0" applyFont="1" applyFill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10" fillId="3" borderId="48" xfId="0" applyFont="1" applyFill="1" applyBorder="1" applyAlignment="1">
      <alignment horizontal="left" vertical="center" wrapText="1"/>
    </xf>
    <xf numFmtId="0" fontId="10" fillId="3" borderId="49" xfId="0" applyFont="1" applyFill="1" applyBorder="1" applyAlignment="1">
      <alignment horizontal="left" vertical="center" wrapText="1"/>
    </xf>
    <xf numFmtId="0" fontId="9" fillId="0" borderId="10" xfId="1" applyBorder="1" applyAlignment="1">
      <alignment horizontal="left" vertical="center"/>
    </xf>
    <xf numFmtId="0" fontId="9" fillId="0" borderId="0" xfId="1" applyBorder="1" applyAlignment="1">
      <alignment horizontal="left" vertical="center"/>
    </xf>
    <xf numFmtId="0" fontId="9" fillId="0" borderId="9" xfId="1" applyBorder="1" applyAlignment="1">
      <alignment horizontal="left" vertical="center"/>
    </xf>
    <xf numFmtId="0" fontId="9" fillId="0" borderId="0" xfId="1" applyAlignment="1">
      <alignment horizontal="left" vertical="center"/>
    </xf>
    <xf numFmtId="0" fontId="11" fillId="0" borderId="9" xfId="1" applyFont="1" applyBorder="1" applyAlignment="1">
      <alignment horizontal="left" vertical="center" wrapText="1"/>
    </xf>
    <xf numFmtId="0" fontId="9" fillId="0" borderId="39" xfId="1" applyBorder="1" applyAlignment="1">
      <alignment horizontal="left" vertical="center"/>
    </xf>
    <xf numFmtId="0" fontId="22" fillId="0" borderId="1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 wrapText="1"/>
    </xf>
    <xf numFmtId="1" fontId="22" fillId="0" borderId="36" xfId="0" applyNumberFormat="1" applyFont="1" applyBorder="1" applyAlignment="1">
      <alignment horizontal="center" vertical="center"/>
    </xf>
    <xf numFmtId="166" fontId="22" fillId="0" borderId="37" xfId="0" applyNumberFormat="1" applyFont="1" applyBorder="1" applyAlignment="1">
      <alignment horizontal="center" vertical="center" wrapText="1"/>
    </xf>
    <xf numFmtId="166" fontId="22" fillId="0" borderId="12" xfId="0" applyNumberFormat="1" applyFont="1" applyBorder="1" applyAlignment="1">
      <alignment horizontal="center"/>
    </xf>
    <xf numFmtId="166" fontId="22" fillId="2" borderId="12" xfId="0" applyNumberFormat="1" applyFont="1" applyFill="1" applyBorder="1" applyAlignment="1">
      <alignment horizontal="center"/>
    </xf>
    <xf numFmtId="166" fontId="22" fillId="2" borderId="36" xfId="0" applyNumberFormat="1" applyFont="1" applyFill="1" applyBorder="1" applyAlignment="1">
      <alignment horizontal="center"/>
    </xf>
    <xf numFmtId="166" fontId="22" fillId="0" borderId="37" xfId="0" applyNumberFormat="1" applyFont="1" applyBorder="1" applyAlignment="1">
      <alignment horizontal="center"/>
    </xf>
    <xf numFmtId="1" fontId="22" fillId="0" borderId="37" xfId="0" applyNumberFormat="1" applyFont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wrapText="1"/>
    </xf>
    <xf numFmtId="0" fontId="11" fillId="0" borderId="0" xfId="1" applyFont="1"/>
    <xf numFmtId="0" fontId="11" fillId="0" borderId="0" xfId="1" applyFont="1" applyAlignment="1">
      <alignment vertical="top" wrapText="1"/>
    </xf>
  </cellXfs>
  <cellStyles count="2">
    <cellStyle name="Standard" xfId="0" builtinId="0"/>
    <cellStyle name="Standard 2" xfId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ciebo/energieeffizienz-in-b&#228;dern/A_Architektonische%20und%20bauphysikalische%20Einflussgr&#246;&#223;en%20(AP%203+4)/2020-05-26_Zone%20intera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boundary"/>
      <sheetName val="Dropdown"/>
      <sheetName val="Walls"/>
      <sheetName val="Tabelle basic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AF31"/>
  <sheetViews>
    <sheetView tabSelected="1" zoomScale="40" zoomScaleNormal="40" workbookViewId="0">
      <selection activeCell="AD35" sqref="AD35"/>
    </sheetView>
  </sheetViews>
  <sheetFormatPr baseColWidth="10" defaultRowHeight="15" x14ac:dyDescent="0.25"/>
  <cols>
    <col min="1" max="1" width="28.85546875" style="35" customWidth="1"/>
    <col min="2" max="2" width="14.140625" style="36" customWidth="1"/>
    <col min="3" max="3" width="13.7109375" style="25" bestFit="1" customWidth="1"/>
    <col min="4" max="4" width="11.85546875" style="36" customWidth="1"/>
    <col min="5" max="5" width="11.42578125" style="25"/>
    <col min="6" max="6" width="13.28515625" style="25" customWidth="1"/>
    <col min="7" max="7" width="14.7109375" style="25" bestFit="1" customWidth="1"/>
    <col min="8" max="8" width="12" style="25" customWidth="1"/>
    <col min="9" max="9" width="11.42578125" style="25"/>
    <col min="10" max="10" width="11.42578125" style="25" customWidth="1"/>
    <col min="11" max="11" width="14.7109375" style="25" bestFit="1" customWidth="1"/>
    <col min="12" max="12" width="14.28515625" style="25" customWidth="1"/>
    <col min="13" max="13" width="11.42578125" style="25"/>
    <col min="14" max="14" width="7.7109375" style="25" customWidth="1"/>
    <col min="15" max="15" width="11.42578125" style="25"/>
    <col min="16" max="16" width="7.7109375" style="25" customWidth="1"/>
    <col min="17" max="17" width="11.42578125" style="25"/>
    <col min="18" max="18" width="26.28515625" style="25" customWidth="1"/>
    <col min="19" max="19" width="25.7109375" style="25" customWidth="1"/>
    <col min="20" max="20" width="10.7109375" style="25" customWidth="1"/>
    <col min="21" max="21" width="15.28515625" style="25" customWidth="1"/>
    <col min="22" max="22" width="26.7109375" style="25" bestFit="1" customWidth="1"/>
    <col min="23" max="23" width="20.7109375" style="25" bestFit="1" customWidth="1"/>
    <col min="24" max="24" width="20.28515625" style="25" bestFit="1" customWidth="1"/>
    <col min="25" max="25" width="26.5703125" style="25" bestFit="1" customWidth="1"/>
    <col min="26" max="26" width="17.7109375" style="25" bestFit="1" customWidth="1"/>
    <col min="27" max="27" width="29" style="25" bestFit="1" customWidth="1"/>
    <col min="28" max="30" width="18.42578125" style="25" bestFit="1" customWidth="1"/>
    <col min="31" max="31" width="16.7109375" style="25" bestFit="1" customWidth="1"/>
    <col min="32" max="16384" width="11.42578125" style="25"/>
  </cols>
  <sheetData>
    <row r="1" spans="1:31" ht="17.25" x14ac:dyDescent="0.25">
      <c r="A1" s="172" t="s">
        <v>15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</row>
    <row r="2" spans="1:31" ht="17.25" x14ac:dyDescent="0.25">
      <c r="A2" s="40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31" ht="42" customHeight="1" thickBot="1" x14ac:dyDescent="0.3">
      <c r="A3" s="26"/>
      <c r="B3" s="191" t="s">
        <v>0</v>
      </c>
      <c r="C3" s="184"/>
      <c r="D3" s="180" t="s">
        <v>1</v>
      </c>
      <c r="E3" s="182"/>
      <c r="F3" s="183" t="s">
        <v>2</v>
      </c>
      <c r="G3" s="184"/>
      <c r="H3" s="181" t="s">
        <v>3</v>
      </c>
      <c r="I3" s="182"/>
      <c r="J3" s="183" t="s">
        <v>4</v>
      </c>
      <c r="K3" s="184"/>
      <c r="L3" s="178" t="s">
        <v>5</v>
      </c>
      <c r="M3" s="179"/>
      <c r="N3" s="178" t="s">
        <v>6</v>
      </c>
      <c r="O3" s="179"/>
      <c r="P3" s="180" t="s">
        <v>7</v>
      </c>
      <c r="Q3" s="180"/>
      <c r="S3" s="193" t="s">
        <v>45</v>
      </c>
      <c r="T3" s="194"/>
      <c r="U3" s="162" t="s">
        <v>57</v>
      </c>
      <c r="V3" s="163" t="s">
        <v>56</v>
      </c>
      <c r="W3" s="163" t="s">
        <v>55</v>
      </c>
      <c r="X3" s="163" t="s">
        <v>54</v>
      </c>
      <c r="Y3" s="163" t="s">
        <v>53</v>
      </c>
      <c r="Z3" s="163" t="s">
        <v>52</v>
      </c>
      <c r="AA3" s="163" t="s">
        <v>63</v>
      </c>
      <c r="AB3" s="163" t="s">
        <v>64</v>
      </c>
      <c r="AC3" s="163" t="s">
        <v>65</v>
      </c>
      <c r="AD3" s="163" t="s">
        <v>66</v>
      </c>
    </row>
    <row r="4" spans="1:31" ht="50.1" customHeight="1" thickBot="1" x14ac:dyDescent="0.3">
      <c r="A4" s="27" t="s">
        <v>14</v>
      </c>
      <c r="B4" s="177" t="s">
        <v>35</v>
      </c>
      <c r="C4" s="192"/>
      <c r="D4" s="176" t="s">
        <v>38</v>
      </c>
      <c r="E4" s="192"/>
      <c r="F4" s="176" t="s">
        <v>37</v>
      </c>
      <c r="G4" s="192"/>
      <c r="H4" s="176" t="s">
        <v>36</v>
      </c>
      <c r="I4" s="192"/>
      <c r="J4" s="197" t="s">
        <v>39</v>
      </c>
      <c r="K4" s="198"/>
      <c r="L4" s="174" t="s">
        <v>12</v>
      </c>
      <c r="M4" s="175"/>
      <c r="N4" s="174" t="s">
        <v>13</v>
      </c>
      <c r="O4" s="175"/>
      <c r="P4" s="176" t="s">
        <v>40</v>
      </c>
      <c r="Q4" s="177"/>
      <c r="S4" s="195"/>
      <c r="T4" s="196"/>
      <c r="U4" s="48" t="s">
        <v>46</v>
      </c>
      <c r="V4" s="161" t="s">
        <v>47</v>
      </c>
      <c r="W4" s="161" t="s">
        <v>48</v>
      </c>
      <c r="X4" s="161" t="s">
        <v>49</v>
      </c>
      <c r="Y4" s="161" t="s">
        <v>50</v>
      </c>
      <c r="Z4" s="161" t="s">
        <v>51</v>
      </c>
      <c r="AA4" s="161" t="s">
        <v>112</v>
      </c>
      <c r="AB4" s="161" t="s">
        <v>113</v>
      </c>
      <c r="AC4" s="161" t="s">
        <v>114</v>
      </c>
      <c r="AD4" s="161" t="s">
        <v>115</v>
      </c>
    </row>
    <row r="5" spans="1:31" ht="50.1" customHeight="1" thickTop="1" x14ac:dyDescent="0.25">
      <c r="A5" s="185" t="s">
        <v>43</v>
      </c>
      <c r="B5" s="4" t="s">
        <v>8</v>
      </c>
      <c r="C5" s="126">
        <v>0</v>
      </c>
      <c r="D5" s="80" t="s">
        <v>8</v>
      </c>
      <c r="E5" s="81">
        <f>31.5*3.25</f>
        <v>102.375</v>
      </c>
      <c r="F5" s="80" t="s">
        <v>8</v>
      </c>
      <c r="G5" s="126">
        <v>0</v>
      </c>
      <c r="H5" s="80" t="s">
        <v>8</v>
      </c>
      <c r="I5" s="81">
        <f>10*6.2</f>
        <v>62</v>
      </c>
      <c r="J5" s="80" t="s">
        <v>8</v>
      </c>
      <c r="K5" s="126">
        <v>0</v>
      </c>
      <c r="L5" s="82" t="s">
        <v>8</v>
      </c>
      <c r="M5" s="83"/>
      <c r="N5" s="82" t="s">
        <v>8</v>
      </c>
      <c r="O5" s="83"/>
      <c r="P5" s="80" t="s">
        <v>8</v>
      </c>
      <c r="Q5" s="84">
        <f>6.25*10</f>
        <v>62.5</v>
      </c>
      <c r="S5" s="50" t="s">
        <v>58</v>
      </c>
      <c r="T5" s="49" t="s">
        <v>59</v>
      </c>
      <c r="U5" s="145">
        <f t="shared" ref="U5:U10" si="0">SUM(V5:AD5)</f>
        <v>541.5</v>
      </c>
      <c r="V5" s="143">
        <f>25*16.66</f>
        <v>416.5</v>
      </c>
      <c r="W5" s="57">
        <v>0</v>
      </c>
      <c r="X5" s="57">
        <v>0</v>
      </c>
      <c r="Y5" s="144">
        <f>12.5*10</f>
        <v>125</v>
      </c>
      <c r="Z5" s="57">
        <v>0</v>
      </c>
      <c r="AA5" s="57">
        <v>0</v>
      </c>
      <c r="AB5" s="57">
        <v>0</v>
      </c>
      <c r="AC5" s="57">
        <v>0</v>
      </c>
      <c r="AD5" s="57">
        <v>0</v>
      </c>
    </row>
    <row r="6" spans="1:31" ht="50.1" customHeight="1" x14ac:dyDescent="0.25">
      <c r="A6" s="186"/>
      <c r="B6" s="5" t="s">
        <v>9</v>
      </c>
      <c r="C6" s="85">
        <f>29*6.5</f>
        <v>188.5</v>
      </c>
      <c r="D6" s="86" t="s">
        <v>9</v>
      </c>
      <c r="E6" s="127">
        <f>8.5*3.25</f>
        <v>27.625</v>
      </c>
      <c r="F6" s="86" t="s">
        <v>9</v>
      </c>
      <c r="G6" s="127">
        <v>0</v>
      </c>
      <c r="H6" s="86" t="s">
        <v>9</v>
      </c>
      <c r="I6" s="127">
        <v>0</v>
      </c>
      <c r="J6" s="86" t="s">
        <v>9</v>
      </c>
      <c r="K6" s="127">
        <v>0</v>
      </c>
      <c r="L6" s="87" t="s">
        <v>9</v>
      </c>
      <c r="M6" s="88"/>
      <c r="N6" s="87" t="s">
        <v>9</v>
      </c>
      <c r="O6" s="88"/>
      <c r="P6" s="86" t="s">
        <v>9</v>
      </c>
      <c r="Q6" s="89">
        <v>0</v>
      </c>
      <c r="S6" s="142" t="s">
        <v>102</v>
      </c>
      <c r="T6" s="49" t="s">
        <v>59</v>
      </c>
      <c r="U6" s="145">
        <f t="shared" si="0"/>
        <v>716.32891940711272</v>
      </c>
      <c r="V6" s="144">
        <f>V5+2.2*25*2+16.66*2</f>
        <v>559.82000000000005</v>
      </c>
      <c r="W6" s="58">
        <v>0</v>
      </c>
      <c r="X6" s="58">
        <v>0</v>
      </c>
      <c r="Y6" s="144">
        <f>1.35*12.5+SQRT(1.35^2+10^2)*12.5+1.35*10</f>
        <v>156.5089194071127</v>
      </c>
      <c r="Z6" s="58">
        <v>0</v>
      </c>
      <c r="AA6" s="58">
        <v>0</v>
      </c>
      <c r="AB6" s="58">
        <v>0</v>
      </c>
      <c r="AC6" s="58">
        <v>0</v>
      </c>
      <c r="AD6" s="58">
        <v>0</v>
      </c>
      <c r="AE6" s="131"/>
    </row>
    <row r="7" spans="1:31" ht="50.1" customHeight="1" x14ac:dyDescent="0.25">
      <c r="A7" s="186"/>
      <c r="B7" s="5" t="s">
        <v>10</v>
      </c>
      <c r="C7" s="127">
        <v>0</v>
      </c>
      <c r="D7" s="86" t="s">
        <v>10</v>
      </c>
      <c r="E7" s="127">
        <v>0</v>
      </c>
      <c r="F7" s="86" t="s">
        <v>10</v>
      </c>
      <c r="G7" s="127">
        <v>0</v>
      </c>
      <c r="H7" s="86" t="s">
        <v>10</v>
      </c>
      <c r="I7" s="127">
        <f>(15+24)*6.2+13*2</f>
        <v>267.8</v>
      </c>
      <c r="J7" s="86" t="s">
        <v>10</v>
      </c>
      <c r="K7" s="127">
        <v>0</v>
      </c>
      <c r="L7" s="87" t="s">
        <v>10</v>
      </c>
      <c r="M7" s="88"/>
      <c r="N7" s="87" t="s">
        <v>10</v>
      </c>
      <c r="O7" s="88"/>
      <c r="P7" s="86" t="s">
        <v>10</v>
      </c>
      <c r="Q7" s="89">
        <v>0</v>
      </c>
      <c r="S7" s="142" t="s">
        <v>103</v>
      </c>
      <c r="T7" s="49" t="s">
        <v>59</v>
      </c>
      <c r="U7" s="145">
        <f t="shared" si="0"/>
        <v>0</v>
      </c>
      <c r="V7" s="146">
        <v>0</v>
      </c>
      <c r="W7" s="58">
        <v>0</v>
      </c>
      <c r="X7" s="58">
        <v>0</v>
      </c>
      <c r="Y7" s="144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</row>
    <row r="8" spans="1:31" ht="50.1" customHeight="1" thickBot="1" x14ac:dyDescent="0.3">
      <c r="A8" s="187"/>
      <c r="B8" s="7" t="s">
        <v>11</v>
      </c>
      <c r="C8" s="130">
        <v>0</v>
      </c>
      <c r="D8" s="90" t="s">
        <v>11</v>
      </c>
      <c r="E8" s="128">
        <v>0</v>
      </c>
      <c r="F8" s="90" t="s">
        <v>11</v>
      </c>
      <c r="G8" s="128">
        <v>0</v>
      </c>
      <c r="H8" s="90" t="s">
        <v>11</v>
      </c>
      <c r="I8" s="91">
        <f>24.88*6.2</f>
        <v>154.256</v>
      </c>
      <c r="J8" s="90" t="s">
        <v>11</v>
      </c>
      <c r="K8" s="128">
        <v>0</v>
      </c>
      <c r="L8" s="92" t="s">
        <v>11</v>
      </c>
      <c r="M8" s="93"/>
      <c r="N8" s="92" t="s">
        <v>11</v>
      </c>
      <c r="O8" s="93"/>
      <c r="P8" s="94" t="s">
        <v>11</v>
      </c>
      <c r="Q8" s="95">
        <f>6.25*5+3*3.25</f>
        <v>41</v>
      </c>
      <c r="S8" s="142" t="s">
        <v>104</v>
      </c>
      <c r="T8" s="49" t="s">
        <v>59</v>
      </c>
      <c r="U8" s="145">
        <f t="shared" si="0"/>
        <v>299.82891940711272</v>
      </c>
      <c r="V8" s="144">
        <f>V7+2.2*25*2+16.66*2</f>
        <v>143.32000000000002</v>
      </c>
      <c r="W8" s="58">
        <v>0</v>
      </c>
      <c r="X8" s="58">
        <v>0</v>
      </c>
      <c r="Y8" s="144">
        <f>1.35*12.5+SQRT(1.35^2+10^2)*12.5+1.35*10</f>
        <v>156.5089194071127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</row>
    <row r="9" spans="1:31" ht="50.1" customHeight="1" x14ac:dyDescent="0.25">
      <c r="A9" s="188" t="s">
        <v>16</v>
      </c>
      <c r="B9" s="6" t="s">
        <v>8</v>
      </c>
      <c r="C9" s="129">
        <v>0</v>
      </c>
      <c r="D9" s="96" t="s">
        <v>8</v>
      </c>
      <c r="E9" s="129">
        <f>(2.26*1)*7</f>
        <v>15.819999999999999</v>
      </c>
      <c r="F9" s="96" t="s">
        <v>8</v>
      </c>
      <c r="G9" s="129">
        <v>0</v>
      </c>
      <c r="H9" s="96" t="s">
        <v>8</v>
      </c>
      <c r="I9" s="97">
        <f>3*6.2</f>
        <v>18.600000000000001</v>
      </c>
      <c r="J9" s="96" t="s">
        <v>8</v>
      </c>
      <c r="K9" s="129">
        <v>0</v>
      </c>
      <c r="L9" s="98" t="s">
        <v>8</v>
      </c>
      <c r="M9" s="99"/>
      <c r="N9" s="98" t="s">
        <v>8</v>
      </c>
      <c r="O9" s="99"/>
      <c r="P9" s="100" t="s">
        <v>8</v>
      </c>
      <c r="Q9" s="122">
        <f>1.51*2+2*1.51</f>
        <v>6.04</v>
      </c>
      <c r="S9" s="142" t="s">
        <v>105</v>
      </c>
      <c r="T9" s="49" t="s">
        <v>59</v>
      </c>
      <c r="U9" s="145">
        <f t="shared" si="0"/>
        <v>21.658000000000001</v>
      </c>
      <c r="V9" s="146">
        <f>0.5*16.66*2.6</f>
        <v>21.658000000000001</v>
      </c>
      <c r="W9" s="58">
        <v>0</v>
      </c>
      <c r="X9" s="58">
        <v>0</v>
      </c>
      <c r="Y9" s="144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214" t="s">
        <v>143</v>
      </c>
    </row>
    <row r="10" spans="1:31" ht="50.1" customHeight="1" x14ac:dyDescent="0.25">
      <c r="A10" s="189"/>
      <c r="B10" s="5" t="s">
        <v>9</v>
      </c>
      <c r="C10" s="101">
        <f>C6-(2.5*6.5)</f>
        <v>172.25</v>
      </c>
      <c r="D10" s="102" t="s">
        <v>9</v>
      </c>
      <c r="E10" s="127">
        <v>0</v>
      </c>
      <c r="F10" s="102" t="s">
        <v>9</v>
      </c>
      <c r="G10" s="127">
        <v>0</v>
      </c>
      <c r="H10" s="102" t="s">
        <v>9</v>
      </c>
      <c r="I10" s="127">
        <v>0</v>
      </c>
      <c r="J10" s="102" t="s">
        <v>9</v>
      </c>
      <c r="K10" s="127">
        <v>0</v>
      </c>
      <c r="L10" s="87" t="s">
        <v>9</v>
      </c>
      <c r="M10" s="88"/>
      <c r="N10" s="87" t="s">
        <v>9</v>
      </c>
      <c r="O10" s="88"/>
      <c r="P10" s="86" t="s">
        <v>9</v>
      </c>
      <c r="Q10" s="123">
        <v>0</v>
      </c>
      <c r="S10" s="51" t="s">
        <v>60</v>
      </c>
      <c r="T10" s="49" t="s">
        <v>61</v>
      </c>
      <c r="U10" s="145">
        <f t="shared" si="0"/>
        <v>1000.6750000000001</v>
      </c>
      <c r="V10" s="144">
        <f>V5*2.2</f>
        <v>916.30000000000007</v>
      </c>
      <c r="W10" s="58">
        <v>0</v>
      </c>
      <c r="X10" s="58">
        <v>0</v>
      </c>
      <c r="Y10" s="144">
        <f>(10*12.5*1.35)/2</f>
        <v>84.375</v>
      </c>
      <c r="Z10" s="58">
        <v>0</v>
      </c>
      <c r="AA10" s="58">
        <v>0</v>
      </c>
      <c r="AB10" s="58">
        <v>0</v>
      </c>
      <c r="AC10" s="58">
        <v>0</v>
      </c>
      <c r="AD10" s="58">
        <v>0</v>
      </c>
      <c r="AE10" s="47"/>
    </row>
    <row r="11" spans="1:31" ht="50.1" customHeight="1" x14ac:dyDescent="0.25">
      <c r="A11" s="189"/>
      <c r="B11" s="5" t="s">
        <v>10</v>
      </c>
      <c r="C11" s="127">
        <v>0</v>
      </c>
      <c r="D11" s="102" t="s">
        <v>10</v>
      </c>
      <c r="E11" s="127">
        <v>0</v>
      </c>
      <c r="F11" s="102" t="s">
        <v>10</v>
      </c>
      <c r="G11" s="127">
        <v>0</v>
      </c>
      <c r="H11" s="102" t="s">
        <v>10</v>
      </c>
      <c r="I11" s="101">
        <f>24*6.2+15*4+13*2</f>
        <v>234.8</v>
      </c>
      <c r="J11" s="102" t="s">
        <v>10</v>
      </c>
      <c r="K11" s="127">
        <v>0</v>
      </c>
      <c r="L11" s="87" t="s">
        <v>10</v>
      </c>
      <c r="M11" s="88"/>
      <c r="N11" s="87" t="s">
        <v>10</v>
      </c>
      <c r="O11" s="88"/>
      <c r="P11" s="86" t="s">
        <v>10</v>
      </c>
      <c r="Q11" s="123">
        <v>0</v>
      </c>
      <c r="S11" s="51" t="s">
        <v>62</v>
      </c>
      <c r="T11" s="49" t="s">
        <v>94</v>
      </c>
      <c r="U11" s="145"/>
      <c r="V11" s="58">
        <v>303.14999999999998</v>
      </c>
      <c r="W11" s="58">
        <v>0</v>
      </c>
      <c r="X11" s="58">
        <v>0</v>
      </c>
      <c r="Y11" s="58">
        <v>303.14999999999998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47"/>
    </row>
    <row r="12" spans="1:31" ht="50.1" customHeight="1" thickBot="1" x14ac:dyDescent="0.3">
      <c r="A12" s="190"/>
      <c r="B12" s="3" t="s">
        <v>11</v>
      </c>
      <c r="C12" s="128">
        <v>0</v>
      </c>
      <c r="D12" s="103" t="s">
        <v>11</v>
      </c>
      <c r="E12" s="128">
        <v>0</v>
      </c>
      <c r="F12" s="103" t="s">
        <v>11</v>
      </c>
      <c r="G12" s="128">
        <v>0</v>
      </c>
      <c r="H12" s="103" t="s">
        <v>11</v>
      </c>
      <c r="I12" s="128">
        <f>24.88*6.2</f>
        <v>154.256</v>
      </c>
      <c r="J12" s="103" t="s">
        <v>11</v>
      </c>
      <c r="K12" s="128">
        <v>0</v>
      </c>
      <c r="L12" s="92" t="s">
        <v>11</v>
      </c>
      <c r="M12" s="93"/>
      <c r="N12" s="92" t="s">
        <v>11</v>
      </c>
      <c r="O12" s="93"/>
      <c r="P12" s="90" t="s">
        <v>11</v>
      </c>
      <c r="Q12" s="124">
        <f>2.16*2*2</f>
        <v>8.64</v>
      </c>
      <c r="S12" s="51" t="s">
        <v>96</v>
      </c>
      <c r="T12" s="49" t="s">
        <v>97</v>
      </c>
      <c r="U12" s="145"/>
      <c r="V12" s="58">
        <f>2*25+2*16.66</f>
        <v>83.32</v>
      </c>
      <c r="W12" s="58">
        <v>0</v>
      </c>
      <c r="X12" s="58">
        <v>0</v>
      </c>
      <c r="Y12" s="58">
        <f>2*12.5+2*10</f>
        <v>45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47"/>
    </row>
    <row r="13" spans="1:31" ht="69.95" customHeight="1" thickBot="1" x14ac:dyDescent="0.35">
      <c r="A13" s="28" t="s">
        <v>41</v>
      </c>
      <c r="B13" s="2"/>
      <c r="C13" s="104">
        <f>29*8.5</f>
        <v>246.5</v>
      </c>
      <c r="D13" s="105"/>
      <c r="E13" s="104">
        <f>8.5*31.5</f>
        <v>267.75</v>
      </c>
      <c r="F13" s="106"/>
      <c r="G13" s="135">
        <f>8*31.5</f>
        <v>252</v>
      </c>
      <c r="H13" s="107"/>
      <c r="I13" s="104">
        <f>53*25</f>
        <v>1325</v>
      </c>
      <c r="J13" s="107"/>
      <c r="K13" s="104">
        <v>0</v>
      </c>
      <c r="L13" s="109"/>
      <c r="M13" s="110"/>
      <c r="N13" s="109"/>
      <c r="O13" s="110"/>
      <c r="P13" s="111"/>
      <c r="Q13" s="125">
        <f>8*17.2</f>
        <v>137.6</v>
      </c>
      <c r="R13" s="56"/>
      <c r="S13" s="51" t="s">
        <v>108</v>
      </c>
      <c r="T13" s="49" t="s">
        <v>97</v>
      </c>
      <c r="U13" s="145"/>
      <c r="V13" s="58">
        <f>IF(V5&gt;0,V10/V5,0)</f>
        <v>2.2000000000000002</v>
      </c>
      <c r="W13" s="58">
        <f t="shared" ref="W13:AD13" si="1">IF(W5&gt;0,W10/W5,0)</f>
        <v>0</v>
      </c>
      <c r="X13" s="58">
        <f t="shared" si="1"/>
        <v>0</v>
      </c>
      <c r="Y13" s="58">
        <f t="shared" si="1"/>
        <v>0.67500000000000004</v>
      </c>
      <c r="Z13" s="58">
        <f t="shared" si="1"/>
        <v>0</v>
      </c>
      <c r="AA13" s="58">
        <f t="shared" si="1"/>
        <v>0</v>
      </c>
      <c r="AB13" s="58">
        <f t="shared" si="1"/>
        <v>0</v>
      </c>
      <c r="AC13" s="58">
        <f t="shared" si="1"/>
        <v>0</v>
      </c>
      <c r="AD13" s="58">
        <f t="shared" si="1"/>
        <v>0</v>
      </c>
      <c r="AE13" s="154" t="s">
        <v>131</v>
      </c>
    </row>
    <row r="14" spans="1:31" ht="69.95" customHeight="1" thickBot="1" x14ac:dyDescent="0.35">
      <c r="A14" s="205" t="s">
        <v>17</v>
      </c>
      <c r="B14" s="206"/>
      <c r="C14" s="207">
        <v>0</v>
      </c>
      <c r="D14" s="208"/>
      <c r="E14" s="207">
        <v>0</v>
      </c>
      <c r="F14" s="209"/>
      <c r="G14" s="207">
        <v>0</v>
      </c>
      <c r="H14" s="209"/>
      <c r="I14" s="207">
        <v>0</v>
      </c>
      <c r="J14" s="209"/>
      <c r="K14" s="207">
        <v>0</v>
      </c>
      <c r="L14" s="210"/>
      <c r="M14" s="211"/>
      <c r="N14" s="210"/>
      <c r="O14" s="211"/>
      <c r="P14" s="212"/>
      <c r="Q14" s="213">
        <v>0</v>
      </c>
      <c r="S14" s="51" t="s">
        <v>119</v>
      </c>
      <c r="T14" s="159" t="s">
        <v>120</v>
      </c>
      <c r="U14" s="145"/>
      <c r="V14" s="158">
        <v>2</v>
      </c>
      <c r="W14" s="158">
        <v>0</v>
      </c>
      <c r="X14" s="158">
        <v>0</v>
      </c>
      <c r="Y14" s="158">
        <v>2</v>
      </c>
      <c r="Z14" s="158">
        <v>0</v>
      </c>
      <c r="AA14" s="158">
        <v>0</v>
      </c>
      <c r="AB14" s="158">
        <v>0</v>
      </c>
      <c r="AC14" s="158">
        <v>0</v>
      </c>
      <c r="AD14" s="158">
        <v>0</v>
      </c>
    </row>
    <row r="15" spans="1:31" ht="69.95" customHeight="1" thickBot="1" x14ac:dyDescent="0.35">
      <c r="A15" s="29" t="s">
        <v>87</v>
      </c>
      <c r="B15" s="2"/>
      <c r="C15" s="108">
        <f>29*8.5</f>
        <v>246.5</v>
      </c>
      <c r="D15" s="113"/>
      <c r="E15" s="104">
        <f>8.5*31.5</f>
        <v>267.75</v>
      </c>
      <c r="F15" s="107"/>
      <c r="G15" s="108">
        <f>8*31.5</f>
        <v>252</v>
      </c>
      <c r="H15" s="107"/>
      <c r="I15" s="108">
        <f>1325-(12.5*10+9.26*25+25*16.66)</f>
        <v>552</v>
      </c>
      <c r="J15" s="107"/>
      <c r="K15" s="108">
        <v>0</v>
      </c>
      <c r="L15" s="109"/>
      <c r="M15" s="110"/>
      <c r="N15" s="109"/>
      <c r="O15" s="110"/>
      <c r="P15" s="111"/>
      <c r="Q15" s="141">
        <f>17.2*8+9.26*25+2.23*(25+9.26+9.26)</f>
        <v>466.14960000000002</v>
      </c>
      <c r="R15" s="131"/>
      <c r="S15" s="51" t="s">
        <v>124</v>
      </c>
      <c r="T15" s="159" t="s">
        <v>99</v>
      </c>
      <c r="U15" s="145"/>
      <c r="V15" s="58" t="s">
        <v>130</v>
      </c>
      <c r="W15" s="58" t="s">
        <v>125</v>
      </c>
      <c r="X15" s="58" t="s">
        <v>125</v>
      </c>
      <c r="Y15" s="58" t="s">
        <v>130</v>
      </c>
      <c r="Z15" s="58" t="s">
        <v>125</v>
      </c>
      <c r="AA15" s="58" t="s">
        <v>125</v>
      </c>
      <c r="AB15" s="58" t="s">
        <v>125</v>
      </c>
      <c r="AC15" s="58" t="s">
        <v>125</v>
      </c>
      <c r="AD15" s="58" t="s">
        <v>125</v>
      </c>
    </row>
    <row r="16" spans="1:31" ht="69.95" customHeight="1" thickBot="1" x14ac:dyDescent="0.35">
      <c r="A16" s="132" t="s">
        <v>86</v>
      </c>
      <c r="B16" s="136"/>
      <c r="C16" s="121">
        <f>6.2*((C17/8.51)*0.5+8.51*0.5+8.51) + 6.2*(3.885+5.165)</f>
        <v>225.04735957696826</v>
      </c>
      <c r="D16" s="137"/>
      <c r="E16" s="121">
        <f>(31.5*0.5+8.5)*3.25</f>
        <v>78.8125</v>
      </c>
      <c r="F16" s="138"/>
      <c r="G16" s="121">
        <f>3.25*(31.5+8+8+(7*8)+(2*8))</f>
        <v>388.375</v>
      </c>
      <c r="H16" s="138"/>
      <c r="I16" s="121">
        <f>6.2*(25*0.5+43*0.5+14)</f>
        <v>297.60000000000002</v>
      </c>
      <c r="J16" s="138"/>
      <c r="K16" s="121">
        <f>(21.2/2)*4*3.25</f>
        <v>137.79999999999998</v>
      </c>
      <c r="L16" s="109"/>
      <c r="M16" s="110"/>
      <c r="N16" s="109"/>
      <c r="O16" s="110"/>
      <c r="P16" s="139"/>
      <c r="Q16" s="134">
        <f>0.5*16.66*2.23+(25-16.66)*2.23+17.2*6.25+8*6.25*2</f>
        <v>244.67410000000001</v>
      </c>
      <c r="S16" s="51" t="s">
        <v>98</v>
      </c>
      <c r="T16" s="49" t="s">
        <v>99</v>
      </c>
      <c r="U16" s="145"/>
      <c r="V16" s="58" t="s">
        <v>117</v>
      </c>
      <c r="W16" s="58" t="s">
        <v>118</v>
      </c>
      <c r="X16" s="58" t="s">
        <v>118</v>
      </c>
      <c r="Y16" s="58" t="s">
        <v>117</v>
      </c>
      <c r="Z16" s="58" t="s">
        <v>118</v>
      </c>
      <c r="AA16" s="58" t="s">
        <v>118</v>
      </c>
      <c r="AB16" s="58" t="s">
        <v>118</v>
      </c>
      <c r="AC16" s="58" t="s">
        <v>118</v>
      </c>
      <c r="AD16" s="58" t="s">
        <v>118</v>
      </c>
    </row>
    <row r="17" spans="1:32" ht="69.95" customHeight="1" thickBot="1" x14ac:dyDescent="0.35">
      <c r="A17" s="29" t="s">
        <v>44</v>
      </c>
      <c r="B17" s="2"/>
      <c r="C17" s="108">
        <f>29*8.5</f>
        <v>246.5</v>
      </c>
      <c r="D17" s="113"/>
      <c r="E17" s="104">
        <f>8.5*31.5</f>
        <v>267.75</v>
      </c>
      <c r="F17" s="107"/>
      <c r="G17" s="108">
        <f>8*31.5</f>
        <v>252</v>
      </c>
      <c r="H17" s="107"/>
      <c r="I17" s="104">
        <f>53*25</f>
        <v>1325</v>
      </c>
      <c r="J17" s="107"/>
      <c r="K17" s="104">
        <f>11.79+9.41</f>
        <v>21.2</v>
      </c>
      <c r="L17" s="109"/>
      <c r="M17" s="110"/>
      <c r="N17" s="109"/>
      <c r="O17" s="110"/>
      <c r="P17" s="111"/>
      <c r="Q17" s="112">
        <f>8*17.2+9.26*25</f>
        <v>369.1</v>
      </c>
      <c r="R17" s="30"/>
      <c r="S17" s="51" t="s">
        <v>126</v>
      </c>
      <c r="T17" s="49" t="s">
        <v>99</v>
      </c>
      <c r="U17" s="145"/>
      <c r="V17" s="58" t="s">
        <v>116</v>
      </c>
      <c r="W17" s="58" t="s">
        <v>116</v>
      </c>
      <c r="X17" s="58" t="s">
        <v>116</v>
      </c>
      <c r="Y17" s="58" t="s">
        <v>116</v>
      </c>
      <c r="Z17" s="58" t="s">
        <v>116</v>
      </c>
      <c r="AA17" s="58" t="s">
        <v>116</v>
      </c>
      <c r="AB17" s="58" t="s">
        <v>116</v>
      </c>
      <c r="AC17" s="58" t="s">
        <v>116</v>
      </c>
      <c r="AD17" s="58" t="s">
        <v>116</v>
      </c>
    </row>
    <row r="18" spans="1:32" ht="69.95" customHeight="1" thickBot="1" x14ac:dyDescent="0.35">
      <c r="A18" s="132" t="s">
        <v>84</v>
      </c>
      <c r="B18" s="136"/>
      <c r="C18" s="121">
        <v>0</v>
      </c>
      <c r="D18" s="137"/>
      <c r="E18" s="121">
        <v>0</v>
      </c>
      <c r="F18" s="138"/>
      <c r="G18" s="133">
        <f>8*31.5</f>
        <v>252</v>
      </c>
      <c r="H18" s="138"/>
      <c r="I18" s="121">
        <v>0</v>
      </c>
      <c r="J18" s="138"/>
      <c r="K18" s="121">
        <f>11.79+9.41</f>
        <v>21.2</v>
      </c>
      <c r="L18" s="109"/>
      <c r="M18" s="110"/>
      <c r="N18" s="109"/>
      <c r="O18" s="118"/>
      <c r="P18" s="139"/>
      <c r="Q18" s="140">
        <f>25*9.26</f>
        <v>231.5</v>
      </c>
      <c r="R18" s="30"/>
      <c r="S18" s="51" t="s">
        <v>149</v>
      </c>
      <c r="T18" s="49" t="s">
        <v>150</v>
      </c>
      <c r="U18" s="145"/>
      <c r="V18" s="58"/>
      <c r="W18" s="58"/>
      <c r="X18" s="58"/>
      <c r="Y18" s="58"/>
      <c r="Z18" s="58"/>
      <c r="AA18" s="58"/>
      <c r="AB18" s="58"/>
      <c r="AC18" s="58"/>
      <c r="AD18" s="58"/>
    </row>
    <row r="19" spans="1:32" ht="69.95" customHeight="1" thickBot="1" x14ac:dyDescent="0.35">
      <c r="A19" s="37" t="s">
        <v>85</v>
      </c>
      <c r="B19" s="1"/>
      <c r="C19" s="114">
        <v>0</v>
      </c>
      <c r="D19" s="115"/>
      <c r="E19" s="121">
        <v>0</v>
      </c>
      <c r="F19" s="116"/>
      <c r="G19" s="114">
        <v>0</v>
      </c>
      <c r="H19" s="116"/>
      <c r="I19" s="133">
        <f>9.26*25</f>
        <v>231.5</v>
      </c>
      <c r="J19" s="116"/>
      <c r="K19" s="121">
        <f>11.79+9.41</f>
        <v>21.2</v>
      </c>
      <c r="L19" s="117"/>
      <c r="M19" s="118"/>
      <c r="N19" s="117"/>
      <c r="O19" s="118"/>
      <c r="P19" s="119"/>
      <c r="Q19" s="120">
        <v>0</v>
      </c>
      <c r="R19" s="30"/>
      <c r="S19" s="51" t="s">
        <v>151</v>
      </c>
      <c r="T19" s="49"/>
      <c r="U19" s="145"/>
      <c r="V19" s="144"/>
      <c r="W19" s="144"/>
      <c r="X19" s="144"/>
      <c r="Y19" s="144"/>
      <c r="Z19" s="144"/>
      <c r="AA19" s="144"/>
      <c r="AB19" s="144"/>
      <c r="AC19" s="144"/>
      <c r="AD19" s="144"/>
      <c r="AF19" s="160"/>
    </row>
    <row r="20" spans="1:32" ht="69.95" customHeight="1" x14ac:dyDescent="0.3">
      <c r="A20" s="37" t="s">
        <v>18</v>
      </c>
      <c r="B20" s="1"/>
      <c r="C20" s="121">
        <f>C17*6.2</f>
        <v>1528.3</v>
      </c>
      <c r="D20" s="115"/>
      <c r="E20" s="121">
        <f>E17*3.6</f>
        <v>963.9</v>
      </c>
      <c r="F20" s="116"/>
      <c r="G20" s="121">
        <f>G17*3.25</f>
        <v>819</v>
      </c>
      <c r="H20" s="116"/>
      <c r="I20" s="121">
        <f>I17*6.2</f>
        <v>8215</v>
      </c>
      <c r="J20" s="116"/>
      <c r="K20" s="121">
        <f>K17*3.25</f>
        <v>68.899999999999991</v>
      </c>
      <c r="L20" s="117"/>
      <c r="M20" s="118"/>
      <c r="N20" s="117"/>
      <c r="O20" s="118"/>
      <c r="P20" s="119"/>
      <c r="Q20" s="120">
        <f>25*9.26*2.23+17.2*9*4.75</f>
        <v>1251.5450000000001</v>
      </c>
      <c r="S20" s="51" t="s">
        <v>109</v>
      </c>
      <c r="T20" s="49" t="s">
        <v>95</v>
      </c>
      <c r="U20" s="145"/>
      <c r="V20" s="58" t="s">
        <v>132</v>
      </c>
      <c r="W20" s="58" t="s">
        <v>133</v>
      </c>
      <c r="X20" s="58" t="s">
        <v>133</v>
      </c>
      <c r="Y20" s="58" t="s">
        <v>132</v>
      </c>
      <c r="Z20" s="58" t="s">
        <v>133</v>
      </c>
      <c r="AA20" s="58" t="s">
        <v>133</v>
      </c>
      <c r="AB20" s="58" t="s">
        <v>133</v>
      </c>
      <c r="AC20" s="58" t="s">
        <v>133</v>
      </c>
      <c r="AD20" s="58" t="s">
        <v>133</v>
      </c>
      <c r="AF20" s="160"/>
    </row>
    <row r="21" spans="1:32" ht="58.9" customHeight="1" x14ac:dyDescent="0.3">
      <c r="A21" s="155"/>
      <c r="B21" s="155"/>
      <c r="C21" s="38"/>
      <c r="D21" s="155"/>
      <c r="E21" s="38"/>
      <c r="F21" s="39"/>
      <c r="G21" s="38"/>
      <c r="H21" s="39"/>
      <c r="I21" s="31"/>
      <c r="J21" s="39"/>
      <c r="K21" s="31"/>
      <c r="L21" s="32"/>
      <c r="M21" s="32"/>
      <c r="N21" s="32"/>
      <c r="O21" s="32"/>
      <c r="P21" s="33"/>
      <c r="Q21" s="31"/>
      <c r="R21" s="34"/>
      <c r="S21" s="51" t="s">
        <v>111</v>
      </c>
      <c r="T21" s="49" t="s">
        <v>100</v>
      </c>
      <c r="U21" s="145"/>
      <c r="V21" s="144">
        <v>0.8</v>
      </c>
      <c r="W21" s="144">
        <v>0</v>
      </c>
      <c r="X21" s="144">
        <v>0</v>
      </c>
      <c r="Y21" s="144">
        <v>0.8</v>
      </c>
      <c r="Z21" s="144">
        <v>0</v>
      </c>
      <c r="AA21" s="144">
        <v>0</v>
      </c>
      <c r="AB21" s="144">
        <v>0</v>
      </c>
      <c r="AC21" s="144">
        <v>0</v>
      </c>
      <c r="AD21" s="144">
        <v>0</v>
      </c>
      <c r="AF21" s="160"/>
    </row>
    <row r="22" spans="1:32" ht="54.6" customHeight="1" x14ac:dyDescent="0.25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38"/>
      <c r="S22" s="51" t="s">
        <v>129</v>
      </c>
      <c r="T22" s="49" t="s">
        <v>100</v>
      </c>
      <c r="U22" s="145"/>
      <c r="V22" s="144">
        <v>30</v>
      </c>
      <c r="W22" s="144">
        <v>0</v>
      </c>
      <c r="X22" s="144">
        <v>0</v>
      </c>
      <c r="Y22" s="144">
        <v>0</v>
      </c>
      <c r="Z22" s="144">
        <v>0</v>
      </c>
      <c r="AA22" s="144">
        <v>0</v>
      </c>
      <c r="AB22" s="144">
        <v>0</v>
      </c>
      <c r="AC22" s="144">
        <v>0</v>
      </c>
      <c r="AD22" s="144">
        <v>0</v>
      </c>
      <c r="AF22" s="160"/>
    </row>
    <row r="23" spans="1:32" ht="57.6" customHeight="1" x14ac:dyDescent="0.25">
      <c r="A23" s="40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38"/>
      <c r="S23" s="51" t="s">
        <v>110</v>
      </c>
      <c r="T23" s="49" t="s">
        <v>95</v>
      </c>
      <c r="U23" s="145"/>
      <c r="V23" s="58" t="s">
        <v>133</v>
      </c>
      <c r="W23" s="58" t="s">
        <v>133</v>
      </c>
      <c r="X23" s="58" t="s">
        <v>133</v>
      </c>
      <c r="Y23" s="58" t="s">
        <v>133</v>
      </c>
      <c r="Z23" s="58" t="s">
        <v>133</v>
      </c>
      <c r="AA23" s="58" t="s">
        <v>133</v>
      </c>
      <c r="AB23" s="58" t="s">
        <v>133</v>
      </c>
      <c r="AC23" s="58" t="s">
        <v>133</v>
      </c>
      <c r="AD23" s="58" t="s">
        <v>133</v>
      </c>
      <c r="AF23" s="160"/>
    </row>
    <row r="24" spans="1:32" ht="57.6" customHeight="1" x14ac:dyDescent="0.25">
      <c r="A24" s="40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38"/>
      <c r="S24" s="51" t="s">
        <v>128</v>
      </c>
      <c r="T24" s="159" t="s">
        <v>127</v>
      </c>
      <c r="U24" s="145"/>
      <c r="V24" s="158">
        <v>30</v>
      </c>
      <c r="W24" s="158">
        <v>0</v>
      </c>
      <c r="X24" s="158">
        <v>0</v>
      </c>
      <c r="Y24" s="158">
        <v>30</v>
      </c>
      <c r="Z24" s="158">
        <v>0</v>
      </c>
      <c r="AA24" s="158">
        <v>0</v>
      </c>
      <c r="AB24" s="158">
        <v>0</v>
      </c>
      <c r="AC24" s="158">
        <v>0</v>
      </c>
      <c r="AD24" s="158">
        <v>0</v>
      </c>
    </row>
    <row r="25" spans="1:32" ht="53.45" customHeight="1" x14ac:dyDescent="0.25">
      <c r="A25" s="40"/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38"/>
      <c r="S25" s="51" t="s">
        <v>107</v>
      </c>
      <c r="T25" s="49" t="s">
        <v>95</v>
      </c>
      <c r="U25" s="145"/>
      <c r="V25" s="58" t="s">
        <v>132</v>
      </c>
      <c r="W25" s="58" t="s">
        <v>133</v>
      </c>
      <c r="X25" s="58" t="s">
        <v>133</v>
      </c>
      <c r="Y25" s="58" t="s">
        <v>133</v>
      </c>
      <c r="Z25" s="58" t="s">
        <v>133</v>
      </c>
      <c r="AA25" s="58" t="s">
        <v>133</v>
      </c>
      <c r="AB25" s="58" t="s">
        <v>133</v>
      </c>
      <c r="AC25" s="58" t="s">
        <v>133</v>
      </c>
      <c r="AD25" s="58" t="s">
        <v>133</v>
      </c>
    </row>
    <row r="26" spans="1:32" ht="43.9" customHeight="1" x14ac:dyDescent="0.25">
      <c r="S26" s="51" t="s">
        <v>121</v>
      </c>
      <c r="T26" s="49" t="s">
        <v>95</v>
      </c>
      <c r="U26" s="145"/>
      <c r="V26" s="58" t="s">
        <v>133</v>
      </c>
      <c r="W26" s="58" t="s">
        <v>133</v>
      </c>
      <c r="X26" s="58" t="s">
        <v>133</v>
      </c>
      <c r="Y26" s="58" t="s">
        <v>133</v>
      </c>
      <c r="Z26" s="58" t="s">
        <v>133</v>
      </c>
      <c r="AA26" s="58" t="s">
        <v>133</v>
      </c>
      <c r="AB26" s="58" t="s">
        <v>133</v>
      </c>
      <c r="AC26" s="58" t="s">
        <v>133</v>
      </c>
      <c r="AD26" s="58" t="s">
        <v>133</v>
      </c>
    </row>
    <row r="27" spans="1:32" ht="43.9" customHeight="1" x14ac:dyDescent="0.25">
      <c r="S27" s="51" t="s">
        <v>122</v>
      </c>
      <c r="T27" s="49" t="s">
        <v>97</v>
      </c>
      <c r="U27" s="145"/>
      <c r="V27" s="58">
        <v>0</v>
      </c>
      <c r="W27" s="58">
        <v>0</v>
      </c>
      <c r="X27" s="58">
        <v>0</v>
      </c>
      <c r="Y27" s="58">
        <v>0</v>
      </c>
      <c r="Z27" s="58">
        <v>0</v>
      </c>
      <c r="AA27" s="58">
        <v>0</v>
      </c>
      <c r="AB27" s="58">
        <v>0</v>
      </c>
      <c r="AC27" s="58">
        <v>0</v>
      </c>
      <c r="AD27" s="58">
        <v>0</v>
      </c>
      <c r="AE27" s="25">
        <f>30*60</f>
        <v>1800</v>
      </c>
      <c r="AF27" s="215" t="s">
        <v>148</v>
      </c>
    </row>
    <row r="28" spans="1:32" ht="46.9" customHeight="1" x14ac:dyDescent="0.25">
      <c r="S28" s="51" t="s">
        <v>123</v>
      </c>
      <c r="T28" s="49" t="s">
        <v>97</v>
      </c>
      <c r="U28" s="145"/>
      <c r="V28" s="58">
        <v>0</v>
      </c>
      <c r="W28" s="58">
        <v>0</v>
      </c>
      <c r="X28" s="58">
        <v>0</v>
      </c>
      <c r="Y28" s="58">
        <v>0</v>
      </c>
      <c r="Z28" s="58">
        <v>0</v>
      </c>
      <c r="AA28" s="58">
        <v>0</v>
      </c>
      <c r="AB28" s="58">
        <v>0</v>
      </c>
      <c r="AC28" s="58">
        <v>0</v>
      </c>
      <c r="AD28" s="58">
        <v>0</v>
      </c>
      <c r="AE28" s="25">
        <f>10/30*100</f>
        <v>33.333333333333329</v>
      </c>
      <c r="AF28" s="215"/>
    </row>
    <row r="29" spans="1:32" ht="44.45" customHeight="1" x14ac:dyDescent="0.25">
      <c r="S29" s="51" t="s">
        <v>145</v>
      </c>
      <c r="T29" s="49" t="s">
        <v>144</v>
      </c>
      <c r="U29" s="145"/>
      <c r="V29" s="58"/>
      <c r="W29" s="58"/>
      <c r="X29" s="58"/>
      <c r="Y29" s="58"/>
      <c r="Z29" s="58"/>
      <c r="AA29" s="58"/>
      <c r="AB29" s="58"/>
      <c r="AC29" s="58"/>
      <c r="AD29" s="58"/>
    </row>
    <row r="30" spans="1:32" ht="46.9" customHeight="1" x14ac:dyDescent="0.25">
      <c r="S30" s="51" t="s">
        <v>146</v>
      </c>
      <c r="T30" s="49" t="s">
        <v>147</v>
      </c>
      <c r="U30" s="145"/>
      <c r="V30" s="58"/>
      <c r="W30" s="58"/>
      <c r="X30" s="58"/>
      <c r="Y30" s="58"/>
      <c r="Z30" s="58"/>
      <c r="AA30" s="58"/>
      <c r="AB30" s="58"/>
      <c r="AC30" s="58"/>
      <c r="AD30" s="58"/>
    </row>
    <row r="31" spans="1:32" ht="28.5" x14ac:dyDescent="0.25">
      <c r="S31" s="51" t="s">
        <v>152</v>
      </c>
      <c r="T31" s="49" t="s">
        <v>153</v>
      </c>
      <c r="U31" s="145"/>
      <c r="V31" s="58"/>
      <c r="W31" s="58"/>
      <c r="X31" s="58"/>
      <c r="Y31" s="58"/>
      <c r="Z31" s="58"/>
      <c r="AA31" s="58"/>
      <c r="AB31" s="58"/>
      <c r="AC31" s="58"/>
      <c r="AD31" s="58"/>
    </row>
  </sheetData>
  <mergeCells count="22">
    <mergeCell ref="AF27:AF28"/>
    <mergeCell ref="S3:T3"/>
    <mergeCell ref="S4:T4"/>
    <mergeCell ref="H4:I4"/>
    <mergeCell ref="D4:E4"/>
    <mergeCell ref="F4:G4"/>
    <mergeCell ref="J4:K4"/>
    <mergeCell ref="L4:M4"/>
    <mergeCell ref="A5:A8"/>
    <mergeCell ref="A9:A12"/>
    <mergeCell ref="B3:C3"/>
    <mergeCell ref="D3:E3"/>
    <mergeCell ref="F3:G3"/>
    <mergeCell ref="B4:C4"/>
    <mergeCell ref="A1:Q1"/>
    <mergeCell ref="N4:O4"/>
    <mergeCell ref="P4:Q4"/>
    <mergeCell ref="N3:O3"/>
    <mergeCell ref="P3:Q3"/>
    <mergeCell ref="H3:I3"/>
    <mergeCell ref="J3:K3"/>
    <mergeCell ref="L3:M3"/>
  </mergeCells>
  <conditionalFormatting sqref="B23">
    <cfRule type="cellIs" dxfId="2" priority="3" operator="equal">
      <formula>TRUE</formula>
    </cfRule>
  </conditionalFormatting>
  <conditionalFormatting sqref="C24">
    <cfRule type="cellIs" dxfId="1" priority="2" operator="equal">
      <formula>TRUE</formula>
    </cfRule>
  </conditionalFormatting>
  <conditionalFormatting sqref="E24">
    <cfRule type="cellIs" dxfId="0" priority="1" operator="equal">
      <formula>TRUE</formula>
    </cfRule>
  </conditionalFormatting>
  <dataValidations count="5">
    <dataValidation type="list" allowBlank="1" showInputMessage="1" showErrorMessage="1" sqref="V16:AD16">
      <formula1>"ohne Ozon, mit Ozon, mit Ultrafiltration, mit Brom"</formula1>
    </dataValidation>
    <dataValidation type="list" allowBlank="1" showInputMessage="1" showErrorMessage="1" sqref="V15:AD15">
      <formula1>"Aktivkohlefilter mit Ozon, geschlossener Schnellfilter, geschlossener Sorptionsfilter, offener Schnellfilter, offener Saugfilter, Quantozonfilter, Quarzkiesfilter, Zweischichtfilter, Zweischichtfilter mit Ozon"</formula1>
    </dataValidation>
    <dataValidation type="list" allowBlank="1" showInputMessage="1" showErrorMessage="1" sqref="V20:AD20 V23:AD23 V25:AD26 V18:AD18">
      <formula1>"true, false"</formula1>
    </dataValidation>
    <dataValidation type="list" allowBlank="1" showInputMessage="1" showErrorMessage="1" sqref="V17:AD17">
      <formula1>"Salzwasser, Süßwasser"</formula1>
    </dataValidation>
    <dataValidation type="list" allowBlank="1" showInputMessage="1" showErrorMessage="1" sqref="V31:AD31">
      <formula1>"Stahlbeton"</formula1>
    </dataValidation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66" orientation="landscape" horizontalDpi="4294967295" verticalDpi="4294967295" r:id="rId1"/>
  <ignoredErrors>
    <ignoredError sqref="G16 E16 C16 V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U47"/>
  <sheetViews>
    <sheetView zoomScale="70" zoomScaleNormal="70" workbookViewId="0">
      <selection activeCell="E28" sqref="E28"/>
    </sheetView>
  </sheetViews>
  <sheetFormatPr baseColWidth="10" defaultColWidth="9.140625" defaultRowHeight="15" x14ac:dyDescent="0.25"/>
  <cols>
    <col min="1" max="1" width="36.42578125" style="8" customWidth="1"/>
    <col min="2" max="3" width="16.85546875" style="8" customWidth="1"/>
    <col min="4" max="4" width="33.140625" style="8" customWidth="1"/>
    <col min="5" max="5" width="12.7109375" style="43" customWidth="1"/>
    <col min="6" max="6" width="22.5703125" style="167" customWidth="1"/>
    <col min="7" max="7" width="46.85546875" style="8" customWidth="1"/>
    <col min="8" max="9" width="27.140625" style="54" customWidth="1"/>
    <col min="10" max="10" width="16.85546875" style="8" customWidth="1"/>
    <col min="11" max="11" width="0" style="8" hidden="1" customWidth="1"/>
    <col min="12" max="12" width="8.42578125" style="8" hidden="1" customWidth="1"/>
    <col min="13" max="14" width="0" style="8" hidden="1" customWidth="1"/>
    <col min="15" max="16384" width="9.140625" style="8"/>
  </cols>
  <sheetData>
    <row r="1" spans="1:21" x14ac:dyDescent="0.25">
      <c r="A1" s="203" t="s">
        <v>34</v>
      </c>
      <c r="B1" s="203"/>
      <c r="C1" s="203"/>
      <c r="D1" s="203"/>
      <c r="E1" s="44"/>
      <c r="F1" s="166"/>
      <c r="G1" s="14"/>
      <c r="H1" s="55"/>
      <c r="I1" s="55"/>
      <c r="J1" s="14"/>
      <c r="U1" t="s">
        <v>72</v>
      </c>
    </row>
    <row r="2" spans="1:21" s="23" customFormat="1" ht="44.25" customHeight="1" x14ac:dyDescent="0.25">
      <c r="A2" s="21" t="s">
        <v>19</v>
      </c>
      <c r="B2" s="21" t="s">
        <v>42</v>
      </c>
      <c r="C2" s="21" t="s">
        <v>82</v>
      </c>
      <c r="D2" s="21" t="s">
        <v>20</v>
      </c>
      <c r="E2" s="22" t="s">
        <v>21</v>
      </c>
      <c r="F2" s="22" t="s">
        <v>134</v>
      </c>
      <c r="G2" s="21" t="s">
        <v>88</v>
      </c>
      <c r="H2" s="21" t="s">
        <v>89</v>
      </c>
      <c r="I2" s="21" t="s">
        <v>90</v>
      </c>
      <c r="J2" s="21" t="s">
        <v>91</v>
      </c>
      <c r="K2" s="148" t="s">
        <v>22</v>
      </c>
      <c r="L2" s="148" t="s">
        <v>23</v>
      </c>
      <c r="M2" s="148" t="s">
        <v>24</v>
      </c>
      <c r="N2" s="148" t="s">
        <v>25</v>
      </c>
    </row>
    <row r="3" spans="1:21" ht="18" thickBot="1" x14ac:dyDescent="0.3">
      <c r="A3" s="9"/>
      <c r="B3" s="10"/>
      <c r="C3" s="10"/>
      <c r="D3" s="10" t="s">
        <v>71</v>
      </c>
      <c r="E3" s="11" t="s">
        <v>154</v>
      </c>
      <c r="F3" s="11"/>
      <c r="G3" s="9"/>
      <c r="H3" s="11" t="s">
        <v>30</v>
      </c>
      <c r="I3" s="11" t="s">
        <v>76</v>
      </c>
      <c r="J3" s="11" t="s">
        <v>77</v>
      </c>
      <c r="K3" s="9"/>
      <c r="L3" s="9"/>
      <c r="M3" s="9"/>
      <c r="N3" s="9"/>
      <c r="O3" s="216" t="s">
        <v>155</v>
      </c>
    </row>
    <row r="4" spans="1:21" ht="15" customHeight="1" x14ac:dyDescent="0.25">
      <c r="A4" s="204" t="s">
        <v>67</v>
      </c>
      <c r="B4" s="46"/>
      <c r="C4" s="46"/>
      <c r="D4" s="12">
        <v>0</v>
      </c>
      <c r="E4" s="168">
        <v>25</v>
      </c>
      <c r="F4" s="168" t="s">
        <v>135</v>
      </c>
      <c r="G4" t="s">
        <v>72</v>
      </c>
      <c r="H4" s="62">
        <v>1.9375</v>
      </c>
      <c r="I4" s="62">
        <v>2104.1999999999998</v>
      </c>
      <c r="J4" s="62">
        <v>0.77584580000000003</v>
      </c>
      <c r="K4" s="202" t="s">
        <v>26</v>
      </c>
      <c r="L4" s="202" t="s">
        <v>27</v>
      </c>
      <c r="M4" s="202" t="s">
        <v>26</v>
      </c>
      <c r="N4" s="202" t="s">
        <v>28</v>
      </c>
      <c r="O4" s="216"/>
      <c r="P4" s="216"/>
      <c r="Q4" s="216"/>
    </row>
    <row r="5" spans="1:21" x14ac:dyDescent="0.25">
      <c r="A5" s="202"/>
      <c r="B5" s="46"/>
      <c r="C5" s="46"/>
      <c r="D5" s="12">
        <v>1</v>
      </c>
      <c r="E5" s="168">
        <v>16</v>
      </c>
      <c r="F5" s="168" t="s">
        <v>136</v>
      </c>
      <c r="G5" t="s">
        <v>73</v>
      </c>
      <c r="H5" s="61">
        <v>0.04</v>
      </c>
      <c r="I5" s="62">
        <v>31</v>
      </c>
      <c r="J5" s="62">
        <v>1.45</v>
      </c>
      <c r="K5" s="202"/>
      <c r="L5" s="202"/>
      <c r="M5" s="202"/>
      <c r="N5" s="202"/>
      <c r="O5" s="216">
        <v>0.23199375648139239</v>
      </c>
      <c r="P5" s="216"/>
      <c r="Q5" s="216"/>
    </row>
    <row r="6" spans="1:21" x14ac:dyDescent="0.25">
      <c r="A6" s="202"/>
      <c r="B6" s="46"/>
      <c r="C6" s="46"/>
      <c r="D6" s="12">
        <v>2</v>
      </c>
      <c r="E6" s="168">
        <v>0.5</v>
      </c>
      <c r="F6" s="168" t="s">
        <v>137</v>
      </c>
      <c r="G6" t="s">
        <v>74</v>
      </c>
      <c r="H6" s="62">
        <v>0.7</v>
      </c>
      <c r="I6" s="62">
        <v>1645</v>
      </c>
      <c r="J6" s="62">
        <v>10</v>
      </c>
      <c r="K6" s="202"/>
      <c r="L6" s="202"/>
      <c r="M6" s="202"/>
      <c r="N6" s="202"/>
      <c r="O6" s="216"/>
      <c r="P6" s="216"/>
      <c r="Q6" s="216"/>
    </row>
    <row r="7" spans="1:21" x14ac:dyDescent="0.25">
      <c r="A7" s="202"/>
      <c r="B7" s="46"/>
      <c r="C7" s="46"/>
      <c r="D7" s="12">
        <v>3</v>
      </c>
      <c r="E7" s="168">
        <v>0.3</v>
      </c>
      <c r="F7" s="168" t="s">
        <v>137</v>
      </c>
      <c r="G7" t="s">
        <v>75</v>
      </c>
      <c r="H7" s="61">
        <v>0.7</v>
      </c>
      <c r="I7" s="62">
        <v>1690</v>
      </c>
      <c r="J7" s="62">
        <v>1</v>
      </c>
      <c r="K7" s="202"/>
      <c r="L7" s="202"/>
      <c r="M7" s="202"/>
      <c r="N7" s="202"/>
      <c r="O7" s="216"/>
      <c r="P7" s="216"/>
      <c r="Q7" s="216"/>
    </row>
    <row r="8" spans="1:21" x14ac:dyDescent="0.25">
      <c r="A8" s="202"/>
      <c r="B8" s="46"/>
      <c r="C8" s="46"/>
      <c r="D8" s="12">
        <v>4</v>
      </c>
      <c r="K8" s="202"/>
      <c r="L8" s="202"/>
      <c r="M8" s="202"/>
      <c r="N8" s="202"/>
      <c r="O8" s="216"/>
      <c r="P8" s="216"/>
      <c r="Q8" s="216"/>
    </row>
    <row r="9" spans="1:21" x14ac:dyDescent="0.25">
      <c r="A9" s="201"/>
      <c r="B9" s="45"/>
      <c r="C9" s="45"/>
      <c r="D9" s="13">
        <v>5</v>
      </c>
      <c r="I9" s="55"/>
      <c r="J9" s="55"/>
      <c r="K9" s="201"/>
      <c r="L9" s="201"/>
      <c r="M9" s="201"/>
      <c r="N9" s="201"/>
      <c r="O9" s="216"/>
      <c r="P9" s="216"/>
      <c r="Q9" s="216"/>
    </row>
    <row r="10" spans="1:21" ht="16.5" customHeight="1" x14ac:dyDescent="0.25">
      <c r="A10" s="199" t="s">
        <v>68</v>
      </c>
      <c r="B10" s="41"/>
      <c r="C10" s="52"/>
      <c r="D10" s="15">
        <v>0</v>
      </c>
      <c r="E10" s="63">
        <v>12.5</v>
      </c>
      <c r="F10" s="63"/>
      <c r="G10" s="20" t="s">
        <v>29</v>
      </c>
      <c r="H10" s="52"/>
      <c r="I10" s="52"/>
      <c r="J10" s="12"/>
      <c r="K10" s="199" t="s">
        <v>26</v>
      </c>
      <c r="L10" s="199" t="s">
        <v>27</v>
      </c>
      <c r="M10" s="199" t="s">
        <v>26</v>
      </c>
      <c r="N10" s="199" t="s">
        <v>28</v>
      </c>
      <c r="O10" s="217"/>
      <c r="P10" s="217"/>
      <c r="Q10" s="217"/>
    </row>
    <row r="11" spans="1:21" x14ac:dyDescent="0.25">
      <c r="A11" s="200"/>
      <c r="B11" s="42"/>
      <c r="C11" s="53"/>
      <c r="D11" s="18">
        <v>1</v>
      </c>
      <c r="E11" s="42">
        <v>7</v>
      </c>
      <c r="F11" s="165"/>
      <c r="G11" t="s">
        <v>32</v>
      </c>
      <c r="H11" s="53"/>
      <c r="I11" s="53"/>
      <c r="J11" s="12"/>
      <c r="K11" s="200"/>
      <c r="L11" s="200"/>
      <c r="M11" s="200"/>
      <c r="N11" s="200"/>
      <c r="O11" s="217"/>
      <c r="P11" s="217"/>
      <c r="Q11" s="217"/>
    </row>
    <row r="12" spans="1:21" x14ac:dyDescent="0.25">
      <c r="A12" s="200"/>
      <c r="B12" s="42"/>
      <c r="C12" s="53"/>
      <c r="D12" s="12">
        <v>2</v>
      </c>
      <c r="E12" s="43">
        <v>12.5</v>
      </c>
      <c r="G12" t="s">
        <v>29</v>
      </c>
      <c r="J12" s="12"/>
      <c r="K12" s="202"/>
      <c r="L12" s="202"/>
      <c r="M12" s="202"/>
      <c r="N12" s="202"/>
      <c r="O12" s="217"/>
      <c r="P12" s="217"/>
      <c r="Q12" s="217"/>
    </row>
    <row r="13" spans="1:21" x14ac:dyDescent="0.25">
      <c r="A13" s="200"/>
      <c r="B13" s="42"/>
      <c r="C13" s="53"/>
      <c r="D13" s="12">
        <v>3</v>
      </c>
      <c r="E13" s="42"/>
      <c r="F13" s="165"/>
      <c r="G13"/>
      <c r="H13" s="53"/>
      <c r="I13" s="53"/>
      <c r="J13" s="12"/>
      <c r="K13" s="202"/>
      <c r="L13" s="202"/>
      <c r="M13" s="202"/>
      <c r="N13" s="202"/>
      <c r="O13" s="217"/>
      <c r="P13" s="217"/>
      <c r="Q13" s="217"/>
    </row>
    <row r="14" spans="1:21" x14ac:dyDescent="0.25">
      <c r="A14" s="200"/>
      <c r="B14" s="53"/>
      <c r="C14" s="53"/>
      <c r="D14" s="12">
        <v>4</v>
      </c>
      <c r="E14" s="53"/>
      <c r="F14" s="165"/>
      <c r="G14"/>
      <c r="H14" s="53"/>
      <c r="I14" s="53"/>
      <c r="J14" s="12"/>
      <c r="K14" s="202"/>
      <c r="L14" s="202"/>
      <c r="M14" s="202"/>
      <c r="N14" s="202"/>
      <c r="O14" s="217"/>
      <c r="P14" s="217"/>
      <c r="Q14" s="217"/>
    </row>
    <row r="15" spans="1:21" x14ac:dyDescent="0.25">
      <c r="A15" s="201"/>
      <c r="B15" s="44"/>
      <c r="C15" s="55"/>
      <c r="D15" s="13">
        <v>5</v>
      </c>
      <c r="E15" s="44"/>
      <c r="F15" s="166"/>
      <c r="G15" s="19"/>
      <c r="H15" s="53"/>
      <c r="I15" s="55"/>
      <c r="J15" s="12"/>
      <c r="K15" s="201"/>
      <c r="L15" s="201"/>
      <c r="M15" s="201"/>
      <c r="N15" s="201"/>
      <c r="O15" s="217"/>
      <c r="P15" s="217"/>
      <c r="Q15" s="217"/>
    </row>
    <row r="16" spans="1:21" x14ac:dyDescent="0.25">
      <c r="A16" s="199" t="s">
        <v>83</v>
      </c>
      <c r="B16" s="16"/>
      <c r="C16" s="16"/>
      <c r="D16" s="15">
        <v>0</v>
      </c>
      <c r="E16" s="169">
        <f>0.88/100</f>
        <v>8.8000000000000005E-3</v>
      </c>
      <c r="F16" s="64" t="s">
        <v>138</v>
      </c>
      <c r="G16" t="s">
        <v>79</v>
      </c>
      <c r="H16" s="66">
        <v>48</v>
      </c>
      <c r="I16" s="62">
        <v>7800</v>
      </c>
      <c r="J16" s="52">
        <v>0.47699999999999998</v>
      </c>
      <c r="K16" s="199" t="s">
        <v>26</v>
      </c>
      <c r="L16" s="199" t="s">
        <v>27</v>
      </c>
      <c r="M16" s="199" t="s">
        <v>26</v>
      </c>
      <c r="N16" s="199" t="s">
        <v>28</v>
      </c>
      <c r="O16" s="216"/>
      <c r="P16" s="216"/>
      <c r="Q16" s="216"/>
    </row>
    <row r="17" spans="1:17" x14ac:dyDescent="0.25">
      <c r="A17" s="200"/>
      <c r="B17" s="17"/>
      <c r="C17" s="17"/>
      <c r="D17" s="18">
        <v>1</v>
      </c>
      <c r="E17" s="170">
        <f>0.5/100</f>
        <v>5.0000000000000001E-3</v>
      </c>
      <c r="F17" t="s">
        <v>139</v>
      </c>
      <c r="G17" t="s">
        <v>80</v>
      </c>
      <c r="H17" s="64">
        <v>5</v>
      </c>
      <c r="I17" s="62">
        <v>1200</v>
      </c>
      <c r="J17" s="53">
        <v>1</v>
      </c>
      <c r="K17" s="200"/>
      <c r="L17" s="200"/>
      <c r="M17" s="200"/>
      <c r="N17" s="200"/>
      <c r="O17" s="216">
        <v>0.15488821680515028</v>
      </c>
      <c r="P17" s="216"/>
      <c r="Q17" s="216"/>
    </row>
    <row r="18" spans="1:17" x14ac:dyDescent="0.25">
      <c r="A18" s="200"/>
      <c r="B18" s="17"/>
      <c r="C18" s="17"/>
      <c r="D18" s="18">
        <v>2</v>
      </c>
      <c r="E18" s="171">
        <f>25/100</f>
        <v>0.25</v>
      </c>
      <c r="F18" s="67" t="s">
        <v>136</v>
      </c>
      <c r="G18" s="72" t="s">
        <v>73</v>
      </c>
      <c r="H18" s="67">
        <v>0.04</v>
      </c>
      <c r="I18" s="69">
        <v>31</v>
      </c>
      <c r="J18" s="53">
        <v>1.45</v>
      </c>
      <c r="K18" s="200"/>
      <c r="L18" s="200"/>
      <c r="M18" s="200"/>
      <c r="N18" s="200"/>
      <c r="O18" s="216"/>
      <c r="P18" s="216"/>
      <c r="Q18" s="216"/>
    </row>
    <row r="19" spans="1:17" x14ac:dyDescent="0.25">
      <c r="A19" s="200"/>
      <c r="B19" s="17"/>
      <c r="C19" s="17"/>
      <c r="D19" s="18">
        <v>3</v>
      </c>
      <c r="E19" s="170">
        <f>0.2/100</f>
        <v>2E-3</v>
      </c>
      <c r="F19" s="64" t="s">
        <v>136</v>
      </c>
      <c r="G19" s="72" t="s">
        <v>73</v>
      </c>
      <c r="H19" s="64">
        <v>0.04</v>
      </c>
      <c r="I19" s="69">
        <v>31</v>
      </c>
      <c r="J19" s="53">
        <v>1.45</v>
      </c>
      <c r="K19" s="200"/>
      <c r="L19" s="200"/>
      <c r="M19" s="200"/>
      <c r="N19" s="200"/>
      <c r="O19" s="216"/>
      <c r="P19" s="216"/>
      <c r="Q19" s="216"/>
    </row>
    <row r="20" spans="1:17" x14ac:dyDescent="0.25">
      <c r="A20" s="200"/>
      <c r="B20" s="17"/>
      <c r="C20" s="17"/>
      <c r="D20" s="18">
        <v>4</v>
      </c>
      <c r="E20" s="170">
        <f>0.4/100</f>
        <v>4.0000000000000001E-3</v>
      </c>
      <c r="F20" t="s">
        <v>139</v>
      </c>
      <c r="G20" t="s">
        <v>80</v>
      </c>
      <c r="H20" s="64">
        <v>5</v>
      </c>
      <c r="I20" s="62">
        <v>1200</v>
      </c>
      <c r="J20" s="53">
        <v>1</v>
      </c>
      <c r="K20" s="200"/>
      <c r="L20" s="200"/>
      <c r="M20" s="200"/>
      <c r="N20" s="200"/>
      <c r="O20" s="216"/>
      <c r="P20" s="216"/>
      <c r="Q20" s="216"/>
    </row>
    <row r="21" spans="1:17" x14ac:dyDescent="0.25">
      <c r="A21" s="200"/>
      <c r="B21" s="17"/>
      <c r="C21" s="17"/>
      <c r="D21" s="18">
        <v>5</v>
      </c>
      <c r="E21" s="170">
        <f>0.5/100</f>
        <v>5.0000000000000001E-3</v>
      </c>
      <c r="F21" s="64"/>
      <c r="G21" s="73" t="s">
        <v>33</v>
      </c>
      <c r="H21" s="68">
        <v>0.35</v>
      </c>
      <c r="I21" s="70">
        <v>900</v>
      </c>
      <c r="J21" s="55">
        <v>2.2999999999999998</v>
      </c>
      <c r="K21" s="202"/>
      <c r="L21" s="202"/>
      <c r="M21" s="202"/>
      <c r="N21" s="202"/>
      <c r="O21" s="216"/>
      <c r="P21" s="216"/>
      <c r="Q21" s="216"/>
    </row>
    <row r="22" spans="1:17" x14ac:dyDescent="0.25">
      <c r="A22" s="199" t="s">
        <v>69</v>
      </c>
      <c r="B22" s="41"/>
      <c r="C22" s="52"/>
      <c r="D22" s="15">
        <v>0</v>
      </c>
      <c r="E22" s="41">
        <v>5</v>
      </c>
      <c r="F22" s="164" t="s">
        <v>141</v>
      </c>
      <c r="G22" s="16" t="s">
        <v>31</v>
      </c>
      <c r="H22" s="52">
        <v>1.4</v>
      </c>
      <c r="I22" s="52">
        <v>250</v>
      </c>
      <c r="J22" s="65">
        <v>2</v>
      </c>
      <c r="K22" s="199" t="s">
        <v>26</v>
      </c>
      <c r="L22" s="199" t="s">
        <v>27</v>
      </c>
      <c r="M22" s="199" t="s">
        <v>26</v>
      </c>
      <c r="N22" s="199" t="s">
        <v>28</v>
      </c>
      <c r="O22" s="216">
        <v>0.35273688165087808</v>
      </c>
      <c r="P22" s="216"/>
      <c r="Q22" s="216"/>
    </row>
    <row r="23" spans="1:17" x14ac:dyDescent="0.25">
      <c r="A23" s="200"/>
      <c r="B23" s="42"/>
      <c r="C23" s="53"/>
      <c r="D23" s="18">
        <v>1</v>
      </c>
      <c r="E23" s="42">
        <f>0.2</f>
        <v>0.2</v>
      </c>
      <c r="F23" t="s">
        <v>140</v>
      </c>
      <c r="G23" t="s">
        <v>33</v>
      </c>
      <c r="H23" s="53">
        <v>0.35</v>
      </c>
      <c r="I23" s="53">
        <v>900</v>
      </c>
      <c r="J23" s="65">
        <v>2.2999999999999998</v>
      </c>
      <c r="K23" s="200"/>
      <c r="L23" s="200"/>
      <c r="M23" s="200"/>
      <c r="N23" s="200"/>
      <c r="O23" s="216"/>
      <c r="P23" s="216"/>
      <c r="Q23" s="216"/>
    </row>
    <row r="24" spans="1:17" x14ac:dyDescent="0.25">
      <c r="A24" s="200"/>
      <c r="B24" s="53"/>
      <c r="C24" s="53"/>
      <c r="D24" s="18">
        <v>2</v>
      </c>
      <c r="E24" s="53">
        <v>5</v>
      </c>
      <c r="F24" s="165" t="s">
        <v>141</v>
      </c>
      <c r="G24" t="s">
        <v>31</v>
      </c>
      <c r="H24" s="53">
        <v>1.4</v>
      </c>
      <c r="I24" s="53">
        <v>250</v>
      </c>
      <c r="J24" s="65">
        <v>2</v>
      </c>
      <c r="K24" s="200"/>
      <c r="L24" s="200"/>
      <c r="M24" s="200"/>
      <c r="N24" s="200"/>
    </row>
    <row r="25" spans="1:17" x14ac:dyDescent="0.25">
      <c r="A25" s="200"/>
      <c r="B25" s="53"/>
      <c r="C25" s="53"/>
      <c r="D25" s="18">
        <v>3</v>
      </c>
      <c r="E25" s="53">
        <v>20</v>
      </c>
      <c r="F25" s="165" t="s">
        <v>135</v>
      </c>
      <c r="G25" t="s">
        <v>72</v>
      </c>
      <c r="H25" s="53">
        <v>1.94</v>
      </c>
      <c r="I25" s="53">
        <v>2104.1999999999998</v>
      </c>
      <c r="J25" s="65">
        <v>0.77584580000000003</v>
      </c>
      <c r="K25" s="200"/>
      <c r="L25" s="200"/>
      <c r="M25" s="200"/>
      <c r="N25" s="200"/>
    </row>
    <row r="26" spans="1:17" x14ac:dyDescent="0.25">
      <c r="A26" s="200"/>
      <c r="B26" s="53"/>
      <c r="C26" s="53"/>
      <c r="D26" s="18">
        <v>4</v>
      </c>
      <c r="E26" s="53">
        <v>0.2</v>
      </c>
      <c r="F26" t="s">
        <v>140</v>
      </c>
      <c r="G26" t="s">
        <v>33</v>
      </c>
      <c r="H26" s="53">
        <v>0.35</v>
      </c>
      <c r="I26" s="53">
        <v>900</v>
      </c>
      <c r="J26" s="54">
        <v>2.2999999999999998</v>
      </c>
      <c r="K26" s="200"/>
      <c r="L26" s="200"/>
      <c r="M26" s="200"/>
      <c r="N26" s="200"/>
    </row>
    <row r="27" spans="1:17" x14ac:dyDescent="0.25">
      <c r="A27" s="201"/>
      <c r="B27" s="44"/>
      <c r="C27" s="55"/>
      <c r="D27" s="13">
        <v>5</v>
      </c>
      <c r="E27" s="44">
        <v>10</v>
      </c>
      <c r="F27" t="s">
        <v>142</v>
      </c>
      <c r="G27" s="14" t="s">
        <v>78</v>
      </c>
      <c r="H27" s="55">
        <v>4.1000000000000002E-2</v>
      </c>
      <c r="I27" s="55">
        <v>30</v>
      </c>
      <c r="J27" s="55">
        <v>1.38</v>
      </c>
      <c r="K27" s="201"/>
      <c r="L27" s="201"/>
      <c r="M27" s="201"/>
      <c r="N27" s="201"/>
    </row>
    <row r="28" spans="1:17" x14ac:dyDescent="0.25">
      <c r="A28" s="199" t="s">
        <v>93</v>
      </c>
      <c r="B28" s="76"/>
      <c r="C28" s="76"/>
      <c r="D28" s="15">
        <v>0</v>
      </c>
      <c r="E28" s="76"/>
      <c r="F28" s="164"/>
      <c r="G28" s="16"/>
      <c r="H28" s="76"/>
      <c r="I28" s="76"/>
      <c r="J28" s="65"/>
      <c r="K28" s="199"/>
      <c r="L28" s="199"/>
      <c r="M28" s="199"/>
      <c r="N28" s="199"/>
    </row>
    <row r="29" spans="1:17" x14ac:dyDescent="0.25">
      <c r="A29" s="200"/>
      <c r="B29" s="77"/>
      <c r="C29" s="77"/>
      <c r="D29" s="18">
        <v>1</v>
      </c>
      <c r="E29" s="77"/>
      <c r="F29" s="165"/>
      <c r="G29"/>
      <c r="H29" s="77"/>
      <c r="I29" s="77"/>
      <c r="J29" s="65"/>
      <c r="K29" s="200"/>
      <c r="L29" s="200"/>
      <c r="M29" s="200"/>
      <c r="N29" s="200"/>
    </row>
    <row r="30" spans="1:17" x14ac:dyDescent="0.25">
      <c r="A30" s="200"/>
      <c r="B30" s="77"/>
      <c r="C30" s="77"/>
      <c r="D30" s="18">
        <v>2</v>
      </c>
      <c r="E30" s="77"/>
      <c r="F30" s="165"/>
      <c r="G30"/>
      <c r="H30" s="77"/>
      <c r="I30" s="77"/>
      <c r="J30" s="65"/>
      <c r="K30" s="200"/>
      <c r="L30" s="200"/>
      <c r="M30" s="200"/>
      <c r="N30" s="200"/>
    </row>
    <row r="31" spans="1:17" x14ac:dyDescent="0.25">
      <c r="A31" s="200"/>
      <c r="B31" s="77"/>
      <c r="C31" s="77"/>
      <c r="D31" s="18">
        <v>3</v>
      </c>
      <c r="E31" s="77"/>
      <c r="F31" s="165"/>
      <c r="G31"/>
      <c r="H31" s="77"/>
      <c r="I31" s="77"/>
      <c r="J31" s="65"/>
      <c r="K31" s="200"/>
      <c r="L31" s="200"/>
      <c r="M31" s="200"/>
      <c r="N31" s="200"/>
    </row>
    <row r="32" spans="1:17" x14ac:dyDescent="0.25">
      <c r="A32" s="200"/>
      <c r="B32" s="77"/>
      <c r="C32" s="77"/>
      <c r="D32" s="18">
        <v>4</v>
      </c>
      <c r="E32" s="77"/>
      <c r="F32" s="165"/>
      <c r="G32"/>
      <c r="H32" s="77"/>
      <c r="I32" s="77"/>
      <c r="J32" s="78"/>
      <c r="K32" s="200"/>
      <c r="L32" s="200"/>
      <c r="M32" s="200"/>
      <c r="N32" s="200"/>
    </row>
    <row r="33" spans="1:14" x14ac:dyDescent="0.25">
      <c r="A33" s="201"/>
      <c r="B33" s="79"/>
      <c r="C33" s="79"/>
      <c r="D33" s="13">
        <v>5</v>
      </c>
      <c r="E33" s="79"/>
      <c r="F33" s="166"/>
      <c r="G33" s="14"/>
      <c r="H33" s="79"/>
      <c r="I33" s="79"/>
      <c r="J33" s="79"/>
      <c r="K33" s="201"/>
      <c r="L33" s="201"/>
      <c r="M33" s="201"/>
      <c r="N33" s="201"/>
    </row>
    <row r="34" spans="1:14" x14ac:dyDescent="0.25">
      <c r="A34" s="199" t="s">
        <v>92</v>
      </c>
      <c r="B34" s="76"/>
      <c r="C34" s="76"/>
      <c r="D34" s="15">
        <v>0</v>
      </c>
      <c r="E34" s="76"/>
      <c r="F34" s="164"/>
      <c r="G34" s="16"/>
      <c r="H34" s="76"/>
      <c r="I34" s="76"/>
      <c r="J34" s="65"/>
      <c r="K34" s="199"/>
      <c r="L34" s="199"/>
      <c r="M34" s="199"/>
      <c r="N34" s="199"/>
    </row>
    <row r="35" spans="1:14" x14ac:dyDescent="0.25">
      <c r="A35" s="200"/>
      <c r="B35" s="77"/>
      <c r="C35" s="77"/>
      <c r="D35" s="18">
        <v>1</v>
      </c>
      <c r="E35" s="77"/>
      <c r="F35" s="165"/>
      <c r="G35"/>
      <c r="H35" s="77"/>
      <c r="I35" s="77"/>
      <c r="J35" s="65"/>
      <c r="K35" s="200"/>
      <c r="L35" s="200"/>
      <c r="M35" s="200"/>
      <c r="N35" s="200"/>
    </row>
    <row r="36" spans="1:14" x14ac:dyDescent="0.25">
      <c r="A36" s="200"/>
      <c r="B36" s="77"/>
      <c r="C36" s="77"/>
      <c r="D36" s="18">
        <v>2</v>
      </c>
      <c r="E36" s="77"/>
      <c r="F36" s="165"/>
      <c r="G36"/>
      <c r="H36" s="77"/>
      <c r="I36" s="77"/>
      <c r="J36" s="65"/>
      <c r="K36" s="200"/>
      <c r="L36" s="200"/>
      <c r="M36" s="200"/>
      <c r="N36" s="200"/>
    </row>
    <row r="37" spans="1:14" x14ac:dyDescent="0.25">
      <c r="A37" s="200"/>
      <c r="B37" s="77"/>
      <c r="C37" s="77"/>
      <c r="D37" s="18">
        <v>3</v>
      </c>
      <c r="E37" s="77"/>
      <c r="F37" s="165"/>
      <c r="G37"/>
      <c r="H37" s="77"/>
      <c r="I37" s="77"/>
      <c r="J37" s="65"/>
      <c r="K37" s="200"/>
      <c r="L37" s="200"/>
      <c r="M37" s="200"/>
      <c r="N37" s="200"/>
    </row>
    <row r="38" spans="1:14" x14ac:dyDescent="0.25">
      <c r="A38" s="200"/>
      <c r="B38" s="77"/>
      <c r="C38" s="77"/>
      <c r="D38" s="18">
        <v>4</v>
      </c>
      <c r="E38" s="77"/>
      <c r="F38" s="165"/>
      <c r="G38"/>
      <c r="H38" s="77"/>
      <c r="I38" s="77"/>
      <c r="J38" s="78"/>
      <c r="K38" s="200"/>
      <c r="L38" s="200"/>
      <c r="M38" s="200"/>
      <c r="N38" s="200"/>
    </row>
    <row r="39" spans="1:14" x14ac:dyDescent="0.25">
      <c r="A39" s="201"/>
      <c r="B39" s="79"/>
      <c r="C39" s="79"/>
      <c r="D39" s="13">
        <v>5</v>
      </c>
      <c r="E39" s="79"/>
      <c r="F39" s="166"/>
      <c r="G39" s="14"/>
      <c r="H39" s="79"/>
      <c r="I39" s="79"/>
      <c r="J39" s="79"/>
      <c r="K39" s="201"/>
      <c r="L39" s="201"/>
      <c r="M39" s="201"/>
      <c r="N39" s="201"/>
    </row>
    <row r="40" spans="1:14" x14ac:dyDescent="0.25">
      <c r="A40" s="52" t="s">
        <v>106</v>
      </c>
      <c r="B40" s="59">
        <v>0.5</v>
      </c>
      <c r="C40" s="60">
        <v>7.0000000000000007E-2</v>
      </c>
      <c r="D40" s="60">
        <v>0</v>
      </c>
      <c r="E40" s="71">
        <v>2.4</v>
      </c>
      <c r="F40" s="71"/>
      <c r="G40" s="75" t="s">
        <v>81</v>
      </c>
      <c r="H40" s="74">
        <v>2.2200000000000001E-2</v>
      </c>
      <c r="I40" s="71">
        <v>0</v>
      </c>
      <c r="J40" s="147">
        <v>0</v>
      </c>
      <c r="K40" s="59" t="s">
        <v>26</v>
      </c>
      <c r="L40" s="59" t="s">
        <v>27</v>
      </c>
      <c r="M40" s="59" t="s">
        <v>26</v>
      </c>
      <c r="N40" s="71" t="s">
        <v>28</v>
      </c>
    </row>
    <row r="41" spans="1:14" x14ac:dyDescent="0.25">
      <c r="A41" s="153" t="s">
        <v>70</v>
      </c>
      <c r="B41" s="71"/>
      <c r="C41" s="71"/>
      <c r="D41" s="147">
        <v>0</v>
      </c>
      <c r="I41" s="71"/>
      <c r="J41" s="75"/>
      <c r="K41" s="71"/>
      <c r="L41" s="71"/>
      <c r="M41" s="71"/>
      <c r="N41" s="71"/>
    </row>
    <row r="42" spans="1:14" x14ac:dyDescent="0.25">
      <c r="A42" s="199" t="s">
        <v>101</v>
      </c>
      <c r="B42" s="149"/>
      <c r="C42" s="149"/>
      <c r="D42" s="15">
        <v>0</v>
      </c>
      <c r="E42" s="149"/>
      <c r="F42" s="164"/>
      <c r="G42" s="16"/>
      <c r="H42" s="149"/>
      <c r="I42" s="149"/>
      <c r="J42" s="65"/>
      <c r="K42" s="199"/>
      <c r="L42" s="199"/>
      <c r="M42" s="199"/>
      <c r="N42" s="199"/>
    </row>
    <row r="43" spans="1:14" x14ac:dyDescent="0.25">
      <c r="A43" s="200"/>
      <c r="B43" s="150"/>
      <c r="C43" s="150"/>
      <c r="D43" s="18">
        <v>1</v>
      </c>
      <c r="E43" s="150"/>
      <c r="F43" s="165"/>
      <c r="G43"/>
      <c r="H43" s="150"/>
      <c r="I43" s="150"/>
      <c r="J43" s="65"/>
      <c r="K43" s="200"/>
      <c r="L43" s="200"/>
      <c r="M43" s="200"/>
      <c r="N43" s="200"/>
    </row>
    <row r="44" spans="1:14" x14ac:dyDescent="0.25">
      <c r="A44" s="200"/>
      <c r="B44" s="150"/>
      <c r="C44" s="150"/>
      <c r="D44" s="18">
        <v>2</v>
      </c>
      <c r="E44" s="150"/>
      <c r="F44" s="165"/>
      <c r="G44"/>
      <c r="H44" s="150"/>
      <c r="I44" s="150"/>
      <c r="J44" s="65"/>
      <c r="K44" s="200"/>
      <c r="L44" s="200"/>
      <c r="M44" s="200"/>
      <c r="N44" s="200"/>
    </row>
    <row r="45" spans="1:14" x14ac:dyDescent="0.25">
      <c r="A45" s="200"/>
      <c r="B45" s="150"/>
      <c r="C45" s="150"/>
      <c r="D45" s="18">
        <v>3</v>
      </c>
      <c r="E45" s="150"/>
      <c r="F45" s="165"/>
      <c r="G45"/>
      <c r="H45" s="150"/>
      <c r="I45" s="150"/>
      <c r="J45" s="65"/>
      <c r="K45" s="200"/>
      <c r="L45" s="200"/>
      <c r="M45" s="200"/>
      <c r="N45" s="200"/>
    </row>
    <row r="46" spans="1:14" x14ac:dyDescent="0.25">
      <c r="A46" s="200"/>
      <c r="B46" s="150"/>
      <c r="C46" s="150"/>
      <c r="D46" s="18">
        <v>4</v>
      </c>
      <c r="E46" s="150"/>
      <c r="F46" s="165"/>
      <c r="G46"/>
      <c r="H46" s="150"/>
      <c r="I46" s="150"/>
      <c r="J46" s="152"/>
      <c r="K46" s="200"/>
      <c r="L46" s="200"/>
      <c r="M46" s="200"/>
      <c r="N46" s="200"/>
    </row>
    <row r="47" spans="1:14" x14ac:dyDescent="0.25">
      <c r="A47" s="201"/>
      <c r="B47" s="151"/>
      <c r="C47" s="151"/>
      <c r="D47" s="13">
        <v>5</v>
      </c>
      <c r="E47" s="151"/>
      <c r="F47" s="166"/>
      <c r="G47" s="14"/>
      <c r="H47" s="151"/>
      <c r="I47" s="151"/>
      <c r="J47" s="151"/>
      <c r="K47" s="201"/>
      <c r="L47" s="201"/>
      <c r="M47" s="201"/>
      <c r="N47" s="201"/>
    </row>
  </sheetData>
  <mergeCells count="37">
    <mergeCell ref="K22:K27"/>
    <mergeCell ref="L22:L27"/>
    <mergeCell ref="M22:M27"/>
    <mergeCell ref="N22:N27"/>
    <mergeCell ref="A1:D1"/>
    <mergeCell ref="A4:A9"/>
    <mergeCell ref="L16:L21"/>
    <mergeCell ref="A10:A15"/>
    <mergeCell ref="A16:A21"/>
    <mergeCell ref="K16:K21"/>
    <mergeCell ref="K4:K9"/>
    <mergeCell ref="L4:L9"/>
    <mergeCell ref="M4:M9"/>
    <mergeCell ref="N4:N9"/>
    <mergeCell ref="K10:K15"/>
    <mergeCell ref="L10:L15"/>
    <mergeCell ref="M10:M15"/>
    <mergeCell ref="A28:A33"/>
    <mergeCell ref="K28:K33"/>
    <mergeCell ref="L28:L33"/>
    <mergeCell ref="M28:M33"/>
    <mergeCell ref="N28:N33"/>
    <mergeCell ref="O10:Q15"/>
    <mergeCell ref="N10:N15"/>
    <mergeCell ref="M16:M21"/>
    <mergeCell ref="N16:N21"/>
    <mergeCell ref="A22:A27"/>
    <mergeCell ref="A42:A47"/>
    <mergeCell ref="K42:K47"/>
    <mergeCell ref="L42:L47"/>
    <mergeCell ref="M42:M47"/>
    <mergeCell ref="N42:N47"/>
    <mergeCell ref="A34:A39"/>
    <mergeCell ref="K34:K39"/>
    <mergeCell ref="L34:L39"/>
    <mergeCell ref="M34:M39"/>
    <mergeCell ref="N34:N39"/>
  </mergeCells>
  <pageMargins left="0.75" right="0.75" top="0.75" bottom="0.5" header="0.5" footer="0.75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Hüllflächen, Himmelsricht.</vt:lpstr>
      <vt:lpstr>Strukturen Hüllfläche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Larisa Snegar</dc:creator>
  <cp:lastModifiedBy>Kuehn, Larissa</cp:lastModifiedBy>
  <cp:lastPrinted>2020-05-27T07:16:42Z</cp:lastPrinted>
  <dcterms:created xsi:type="dcterms:W3CDTF">2020-05-27T06:42:45Z</dcterms:created>
  <dcterms:modified xsi:type="dcterms:W3CDTF">2021-08-10T15:27:43Z</dcterms:modified>
</cp:coreProperties>
</file>