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DieseArbeitsmappe"/>
  <mc:AlternateContent xmlns:mc="http://schemas.openxmlformats.org/markup-compatibility/2006">
    <mc:Choice Requires="x15">
      <x15ac:absPath xmlns:x15ac="http://schemas.microsoft.com/office/spreadsheetml/2010/11/ac" url="https://rwthaachende-my.sharepoint.com/personal/benani_zoumba_rwth-aachen_de/Documents/EBC/Pool_Repos/TEASER/teaser/examples/"/>
    </mc:Choice>
  </mc:AlternateContent>
  <xr:revisionPtr revIDLastSave="186" documentId="11_4A1A100B1B095E3C865B41D1FE1DDB1B75FDF3E6" xr6:coauthVersionLast="47" xr6:coauthVersionMax="47" xr10:uidLastSave="{38E315BF-CBFD-4CB8-9BC7-62DF256C173D}"/>
  <bookViews>
    <workbookView xWindow="-120" yWindow="-120" windowWidth="29040" windowHeight="15720" activeTab="1" xr2:uid="{00000000-000D-0000-FFFF-FFFF00000000}"/>
  </bookViews>
  <sheets>
    <sheet name="Zone Data" sheetId="1" r:id="rId1"/>
    <sheet name="Pool Data" sheetId="7" r:id="rId2"/>
    <sheet name="Envelope Structures" sheetId="8" r:id="rId3"/>
  </sheets>
  <externalReferences>
    <externalReference r:id="rId4"/>
  </externalReferences>
  <definedNames>
    <definedName name="Glass_A" localSheetId="2">[1]Dropdown!#REF!</definedName>
    <definedName name="Glass_A">[1]Dropdown!#REF!</definedName>
    <definedName name="GlassA" localSheetId="2">[1]Dropdown!#REF!</definedName>
    <definedName name="GlassA">[1]Dropdown!#REF!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7" l="1"/>
  <c r="L6" i="7"/>
  <c r="K6" i="7"/>
  <c r="J6" i="7"/>
  <c r="I6" i="7"/>
  <c r="H6" i="7"/>
  <c r="D8" i="7"/>
  <c r="D12" i="7"/>
  <c r="C12" i="7" s="1"/>
  <c r="D11" i="7"/>
  <c r="C10" i="7"/>
  <c r="D5" i="7"/>
  <c r="D7" i="7" s="1"/>
  <c r="C5" i="7"/>
  <c r="C11" i="7" l="1"/>
  <c r="C7" i="7"/>
  <c r="D6" i="7"/>
  <c r="D9" i="7"/>
  <c r="C9" i="7" s="1"/>
  <c r="K18" i="1" l="1"/>
  <c r="K19" i="1" s="1"/>
  <c r="Q15" i="1"/>
  <c r="Q19" i="1"/>
  <c r="Q16" i="1"/>
  <c r="Q18" i="1"/>
  <c r="Q14" i="1"/>
  <c r="Q13" i="1"/>
  <c r="Q8" i="1"/>
  <c r="Q9" i="1"/>
  <c r="Q12" i="1"/>
  <c r="Q5" i="1"/>
  <c r="K15" i="1"/>
  <c r="K17" i="1"/>
  <c r="K16" i="1"/>
  <c r="I17" i="1"/>
  <c r="I15" i="1"/>
  <c r="I11" i="1"/>
  <c r="I9" i="1"/>
  <c r="I14" i="1"/>
  <c r="I7" i="1"/>
  <c r="I12" i="1"/>
  <c r="I8" i="1"/>
  <c r="I5" i="1"/>
  <c r="E18" i="1"/>
  <c r="E19" i="1" s="1"/>
  <c r="C18" i="1"/>
  <c r="C15" i="1" s="1"/>
  <c r="G15" i="1"/>
  <c r="G16" i="1"/>
  <c r="G18" i="1"/>
  <c r="G19" i="1" s="1"/>
  <c r="G14" i="1"/>
  <c r="E15" i="1"/>
  <c r="E6" i="1"/>
  <c r="E5" i="1"/>
  <c r="E14" i="1"/>
  <c r="E9" i="1"/>
  <c r="C14" i="1"/>
  <c r="I18" i="1"/>
  <c r="I19" i="1" s="1"/>
  <c r="I13" i="1"/>
  <c r="G13" i="1"/>
  <c r="E13" i="1"/>
  <c r="C13" i="1"/>
  <c r="C6" i="1"/>
  <c r="C10" i="1" s="1"/>
  <c r="C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tc={8BF2D527-6033-4A2A-AFD6-BBC1E5AEEDEC}</author>
  </authors>
  <commentList>
    <comment ref="A41" authorId="0" shapeId="0" xr:uid="{8BF2D527-6033-4A2A-AFD6-BBC1E5AEED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Horizontale Fenster werden in Teaser nicht erstellt</t>
      </text>
    </comment>
  </commentList>
</comments>
</file>

<file path=xl/sharedStrings.xml><?xml version="1.0" encoding="utf-8"?>
<sst xmlns="http://schemas.openxmlformats.org/spreadsheetml/2006/main" count="319" uniqueCount="148">
  <si>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</si>
  <si>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</si>
  <si>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</si>
  <si>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</si>
  <si>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</si>
  <si>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</si>
  <si>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</si>
  <si>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</si>
  <si>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N</t>
  </si>
  <si>
    <t>E</t>
  </si>
  <si>
    <t>S</t>
  </si>
  <si>
    <t>W</t>
  </si>
  <si>
    <t>Transparent elements in outer walls in each cardinal direction [m²]</t>
  </si>
  <si>
    <t>Air volume [m³]</t>
  </si>
  <si>
    <t>Roof (upper building closure, including horizontal transparent elements) [m²]</t>
  </si>
  <si>
    <t xml:space="preserve">Outer walls and cardinal directions of them, including transparent elements [m²]
</t>
  </si>
  <si>
    <t>Sum of pools</t>
  </si>
  <si>
    <t>SPB</t>
  </si>
  <si>
    <t>NSB</t>
  </si>
  <si>
    <t>KB</t>
  </si>
  <si>
    <t>MZB</t>
  </si>
  <si>
    <t>SB</t>
  </si>
  <si>
    <t>SUM</t>
  </si>
  <si>
    <t>[m²]</t>
  </si>
  <si>
    <t>Water volume</t>
  </si>
  <si>
    <t>[m³]</t>
  </si>
  <si>
    <t>Pool temperature</t>
  </si>
  <si>
    <t>FB1</t>
  </si>
  <si>
    <t>FB2</t>
  </si>
  <si>
    <t>FB3</t>
  </si>
  <si>
    <t>FB4</t>
  </si>
  <si>
    <t>Ceiling (Inner Ceilings)[m²]</t>
  </si>
  <si>
    <t>Floor (Inner Floors without earth contact)[m²]</t>
  </si>
  <si>
    <t>Ground floor (lower building closure) with earth contact [m²]</t>
  </si>
  <si>
    <t>[K]</t>
  </si>
  <si>
    <t>boolean</t>
  </si>
  <si>
    <t>[m]</t>
  </si>
  <si>
    <t>string</t>
  </si>
  <si>
    <t>float</t>
  </si>
  <si>
    <r>
      <rPr>
        <b/>
        <sz val="16"/>
        <color indexed="8"/>
        <rFont val="Calibri"/>
        <family val="2"/>
      </rPr>
      <t>NOTE:</t>
    </r>
    <r>
      <rPr>
        <sz val="16"/>
        <color indexed="8"/>
        <rFont val="Calibri"/>
        <family val="2"/>
      </rPr>
      <t xml:space="preserve"> Gemittelte Tiefe!</t>
    </r>
  </si>
  <si>
    <t>true</t>
  </si>
  <si>
    <t>false</t>
  </si>
  <si>
    <r>
      <rPr>
        <b/>
        <sz val="16"/>
        <color rgb="FFFF0000"/>
        <rFont val="Calibri"/>
        <family val="2"/>
      </rPr>
      <t>NOTE:</t>
    </r>
    <r>
      <rPr>
        <sz val="16"/>
        <color rgb="FFFF0000"/>
        <rFont val="Calibri"/>
        <family val="2"/>
      </rPr>
      <t xml:space="preserve"> The Pool temperature is not transferred from the Calculator</t>
    </r>
  </si>
  <si>
    <t>[sec]</t>
  </si>
  <si>
    <t>[%]</t>
  </si>
  <si>
    <t xml:space="preserve">boolean </t>
  </si>
  <si>
    <t xml:space="preserve">string </t>
  </si>
  <si>
    <t>Envelope Surfaces of Zones in an Example Swimming Pool</t>
  </si>
  <si>
    <t>Additional information for pools within zone 4</t>
  </si>
  <si>
    <t>Zone number</t>
  </si>
  <si>
    <t>Pool abbreviation</t>
  </si>
  <si>
    <r>
      <t xml:space="preserve">Pool floor </t>
    </r>
    <r>
      <rPr>
        <u/>
        <sz val="11"/>
        <color indexed="56"/>
        <rFont val="Century Gothic"/>
        <family val="2"/>
      </rPr>
      <t>with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</si>
  <si>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floor </t>
    </r>
    <r>
      <rPr>
        <u/>
        <sz val="11"/>
        <color indexed="56"/>
        <rFont val="Century Gothic"/>
        <family val="2"/>
      </rPr>
      <t>without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</si>
  <si>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wall </t>
    </r>
    <r>
      <rPr>
        <u/>
        <sz val="11"/>
        <color indexed="56"/>
        <rFont val="Century Gothic"/>
        <family val="2"/>
      </rPr>
      <t>with</t>
    </r>
    <r>
      <rPr>
        <sz val="11"/>
        <color indexed="56"/>
        <rFont val="Century Gothic"/>
        <family val="2"/>
      </rPr>
      <t xml:space="preserve"> earth contact</t>
    </r>
  </si>
  <si>
    <r>
      <t xml:space="preserve">Pool wall </t>
    </r>
    <r>
      <rPr>
        <u/>
        <sz val="11"/>
        <color indexed="56"/>
        <rFont val="Century Gothic"/>
        <family val="2"/>
      </rPr>
      <t>without</t>
    </r>
    <r>
      <rPr>
        <sz val="11"/>
        <color indexed="56"/>
        <rFont val="Century Gothic"/>
        <family val="2"/>
      </rPr>
      <t xml:space="preserve"> earth contact</t>
    </r>
  </si>
  <si>
    <t>Eingangsbereich
(Entrance)</t>
  </si>
  <si>
    <t>Umkleiden
(Changing rooms)</t>
  </si>
  <si>
    <t>Duschen und Sanitärräume
(Showers and sanitary rooms)</t>
  </si>
  <si>
    <t>Schwimmhalle
(Swimming hall)</t>
  </si>
  <si>
    <t>Aufsichtsraum
(Supervisory room)</t>
  </si>
  <si>
    <t>Saunabereich
(Sauna area)</t>
  </si>
  <si>
    <t>Fitness
(Fitness)</t>
  </si>
  <si>
    <t>Technikraum
(Technical room)</t>
  </si>
  <si>
    <t>Perimeter pool</t>
  </si>
  <si>
    <t>Depth pool</t>
  </si>
  <si>
    <t>Filter rinses per week</t>
  </si>
  <si>
    <t>Filter type</t>
  </si>
  <si>
    <t>Water type</t>
  </si>
  <si>
    <t>Heat recovery rinsing wastewater</t>
  </si>
  <si>
    <t>Heat recovery rate rinsing wastewater</t>
  </si>
  <si>
    <t>Wastewater treatment</t>
  </si>
  <si>
    <t>Wastewater treatment rate</t>
  </si>
  <si>
    <t>Volume flow wastewater treatment night</t>
  </si>
  <si>
    <t>Night setback</t>
  </si>
  <si>
    <t>Pool covering outside operating hours</t>
  </si>
  <si>
    <t>Wave height</t>
  </si>
  <si>
    <t>Wave width</t>
  </si>
  <si>
    <t>Interval wave operation</t>
  </si>
  <si>
    <t>Share of wave operation</t>
  </si>
  <si>
    <t>Construction of pool wall</t>
  </si>
  <si>
    <t>Schwimmerbecken
(Swimmer pool)</t>
  </si>
  <si>
    <t>Mehrzweckbecken
(Multipurpose pool)</t>
  </si>
  <si>
    <t>Kleinkinderbecken
(Toddler pool)</t>
  </si>
  <si>
    <t>Nichtschwimmerbecken
(Non-swimmer pool)</t>
  </si>
  <si>
    <t>Springerbecken
(Diving pool)</t>
  </si>
  <si>
    <t>Freiformbecken1
(Freeform pool 1)</t>
  </si>
  <si>
    <t>Freiformbecken2
(Freeform pool 2)</t>
  </si>
  <si>
    <t>Freiformbecken3
(Freeform pool 3)</t>
  </si>
  <si>
    <t>Freiformbecken4
(Freeform pool 4)</t>
  </si>
  <si>
    <t>Reinforced concrete</t>
  </si>
  <si>
    <t>Open suction filter</t>
  </si>
  <si>
    <t>Quartz gravel filter</t>
  </si>
  <si>
    <t>without ozone</t>
  </si>
  <si>
    <t>with bromine</t>
  </si>
  <si>
    <t>Freshwater</t>
  </si>
  <si>
    <t>Zone designation in german (english)</t>
  </si>
  <si>
    <t>Pool designation in german (english)</t>
  </si>
  <si>
    <t>Operation of artificial waves</t>
  </si>
  <si>
    <t>[per week]</t>
  </si>
  <si>
    <t>Filter combination</t>
  </si>
  <si>
    <t>Inner walls as a sum (Shared inner walls of two zones are fully accounted for both)[m²]</t>
  </si>
  <si>
    <t>Building Envelope Structures in Swimming Pools</t>
  </si>
  <si>
    <t>name</t>
  </si>
  <si>
    <t>g-value</t>
  </si>
  <si>
    <t>a_conv</t>
  </si>
  <si>
    <t>layer</t>
  </si>
  <si>
    <t>thickness</t>
  </si>
  <si>
    <t>material_id</t>
  </si>
  <si>
    <t>thermal_conductivity</t>
  </si>
  <si>
    <t>density</t>
  </si>
  <si>
    <t>heat_capacity</t>
  </si>
  <si>
    <t>inner radiation</t>
  </si>
  <si>
    <t>inner convection</t>
  </si>
  <si>
    <t>outer radiation</t>
  </si>
  <si>
    <t>outer convection</t>
  </si>
  <si>
    <t>(from inside 0 to outside 5)</t>
  </si>
  <si>
    <t>[cm]</t>
  </si>
  <si>
    <t>[W/mK]</t>
  </si>
  <si>
    <r>
      <t>[kg/m</t>
    </r>
    <r>
      <rPr>
        <vertAlign val="superscript"/>
        <sz val="11"/>
        <color rgb="FF000000"/>
        <rFont val="Calibri"/>
        <family val="2"/>
      </rPr>
      <t>3</t>
    </r>
    <r>
      <rPr>
        <sz val="11"/>
        <color rgb="FF000000"/>
        <rFont val="Calibri"/>
        <family val="2"/>
      </rPr>
      <t>]</t>
    </r>
  </si>
  <si>
    <t>[kJ/kgK]</t>
  </si>
  <si>
    <t>OuterWall</t>
  </si>
  <si>
    <t>2497c138-3a43-11e7-9e0f-2cd444b2e704</t>
  </si>
  <si>
    <t>5.0</t>
  </si>
  <si>
    <t>2.7</t>
  </si>
  <si>
    <t>20.0</t>
  </si>
  <si>
    <t>25f82c80-3a43-11e7-87af-2cd444b2e704</t>
  </si>
  <si>
    <t>2450d810-3a43-11e7-acc4-2cd444b2e704</t>
  </si>
  <si>
    <t>36734a3e-3a43-11e7-962d-2cd444b2e704</t>
  </si>
  <si>
    <t>InnerWall</t>
  </si>
  <si>
    <t>27068cc0-3a43-11e7-bc9e-2cd444b2e704</t>
  </si>
  <si>
    <t>hier brauchst du das nicht überprfen, hier habe ich die Daten aus dem MFH genommen, weil uns hier die Daten noch fehlen</t>
  </si>
  <si>
    <t>35d01e70-3a43-11e7-a6cf-2cd444b2e704</t>
  </si>
  <si>
    <t>Rooftop</t>
  </si>
  <si>
    <t>6c217f5c-3a43-11e7-8fc5-2cd444b2e704</t>
  </si>
  <si>
    <t>24ce8040-3a43-11e7-9beb-2cd444b2e704</t>
  </si>
  <si>
    <t>39c59c0c-3a43-11e7-ac33-2cd444b2e704</t>
  </si>
  <si>
    <t>GroundFloor</t>
  </si>
  <si>
    <t>6755e6e6-3a43-11e7-adad-2cd444b2e704</t>
  </si>
  <si>
    <t>2603ea80-3a43-11e7-882b-2cd444b2e704</t>
  </si>
  <si>
    <t>Floor</t>
  </si>
  <si>
    <t>Ceiling</t>
  </si>
  <si>
    <t>Window</t>
  </si>
  <si>
    <t>0abbb1a2-83ff-11e6-946a-2cd444b2e704</t>
  </si>
  <si>
    <t>Window_roof</t>
  </si>
  <si>
    <t>Visitor number per hour</t>
  </si>
  <si>
    <t>[per hour]</t>
  </si>
  <si>
    <t>Total area of zone (including water area) [m²]</t>
  </si>
  <si>
    <t>Water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</si>
</sst>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6"/>
      <color indexed="8"/>
      <name val="Calibri"/>
      <family val="2"/>
    </font>
    <font>
      <b/>
      <sz val="16"/>
      <color indexed="8"/>
      <name val="Calibri"/>
      <family val="2"/>
    </font>
    <font>
      <sz val="11"/>
      <name val="Century Gothic"/>
      <family val="2"/>
    </font>
    <font>
      <sz val="11"/>
      <color rgb="FF000000"/>
      <name val="Calibri"/>
      <family val="2"/>
    </font>
    <font>
      <sz val="11"/>
      <color rgb="FF1F497D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sz val="11"/>
      <color theme="0" tint="-4.9989318521683403E-2"/>
      <name val="Century Gothic"/>
      <family val="2"/>
    </font>
    <font>
      <b/>
      <sz val="12"/>
      <color theme="1"/>
      <name val="Century Gothic"/>
      <family val="2"/>
    </font>
    <font>
      <sz val="11"/>
      <color theme="0" tint="-0.249977111117893"/>
      <name val="Century Gothic"/>
      <family val="2"/>
    </font>
    <font>
      <sz val="16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 tint="-0.249977111117893"/>
      <name val="Century Gothic"/>
      <family val="2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</font>
    <font>
      <sz val="16"/>
      <color rgb="FFFF0000"/>
      <name val="Calibri"/>
      <family val="2"/>
    </font>
    <font>
      <u/>
      <sz val="11"/>
      <color indexed="56"/>
      <name val="Century Gothic"/>
      <family val="2"/>
    </font>
    <font>
      <sz val="11"/>
      <color indexed="56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Border="0"/>
  </cellStyleXfs>
  <cellXfs count="174">
    <xf numFmtId="0" fontId="0" fillId="0" borderId="0" xfId="0"/>
    <xf numFmtId="0" fontId="6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 wrapText="1"/>
    </xf>
    <xf numFmtId="164" fontId="10" fillId="2" borderId="10" xfId="0" applyNumberFormat="1" applyFont="1" applyFill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 vertical="center" wrapText="1"/>
    </xf>
    <xf numFmtId="164" fontId="10" fillId="2" borderId="12" xfId="0" applyNumberFormat="1" applyFont="1" applyFill="1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 wrapText="1"/>
    </xf>
    <xf numFmtId="164" fontId="7" fillId="0" borderId="15" xfId="0" applyNumberFormat="1" applyFont="1" applyFill="1" applyBorder="1" applyAlignment="1">
      <alignment horizontal="center" vertical="center"/>
    </xf>
    <xf numFmtId="164" fontId="10" fillId="2" borderId="14" xfId="0" applyNumberFormat="1" applyFont="1" applyFill="1" applyBorder="1" applyAlignment="1">
      <alignment horizontal="center" vertical="center" wrapText="1"/>
    </xf>
    <xf numFmtId="164" fontId="10" fillId="2" borderId="15" xfId="0" applyNumberFormat="1" applyFont="1" applyFill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 wrapText="1"/>
    </xf>
    <xf numFmtId="164" fontId="7" fillId="0" borderId="17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 wrapText="1"/>
    </xf>
    <xf numFmtId="164" fontId="7" fillId="0" borderId="19" xfId="0" applyNumberFormat="1" applyFont="1" applyFill="1" applyBorder="1" applyAlignment="1">
      <alignment horizontal="center" vertical="center"/>
    </xf>
    <xf numFmtId="164" fontId="10" fillId="2" borderId="20" xfId="0" applyNumberFormat="1" applyFont="1" applyFill="1" applyBorder="1" applyAlignment="1">
      <alignment horizontal="center" vertical="center" wrapText="1"/>
    </xf>
    <xf numFmtId="164" fontId="10" fillId="2" borderId="21" xfId="0" applyNumberFormat="1" applyFont="1" applyFill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 wrapText="1"/>
    </xf>
    <xf numFmtId="164" fontId="7" fillId="0" borderId="5" xfId="0" applyNumberFormat="1" applyFont="1" applyFill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 wrapText="1"/>
    </xf>
    <xf numFmtId="164" fontId="7" fillId="0" borderId="25" xfId="0" applyNumberFormat="1" applyFont="1" applyFill="1" applyBorder="1" applyAlignment="1">
      <alignment horizontal="center" vertical="center"/>
    </xf>
    <xf numFmtId="164" fontId="5" fillId="0" borderId="26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/>
    </xf>
    <xf numFmtId="164" fontId="8" fillId="2" borderId="25" xfId="0" applyNumberFormat="1" applyFont="1" applyFill="1" applyBorder="1" applyAlignment="1">
      <alignment horizontal="center"/>
    </xf>
    <xf numFmtId="164" fontId="7" fillId="0" borderId="26" xfId="0" applyNumberFormat="1" applyFont="1" applyBorder="1" applyAlignment="1">
      <alignment horizontal="center"/>
    </xf>
    <xf numFmtId="164" fontId="7" fillId="0" borderId="26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 wrapText="1"/>
    </xf>
    <xf numFmtId="164" fontId="7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8" fillId="2" borderId="27" xfId="0" applyNumberFormat="1" applyFont="1" applyFill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164" fontId="7" fillId="0" borderId="28" xfId="0" applyNumberFormat="1" applyFont="1" applyBorder="1" applyAlignment="1">
      <alignment horizontal="center" vertical="center"/>
    </xf>
    <xf numFmtId="164" fontId="7" fillId="0" borderId="27" xfId="0" applyNumberFormat="1" applyFont="1" applyFill="1" applyBorder="1" applyAlignment="1">
      <alignment horizontal="center" vertical="center"/>
    </xf>
    <xf numFmtId="1" fontId="7" fillId="0" borderId="29" xfId="0" applyNumberFormat="1" applyFont="1" applyBorder="1" applyAlignment="1">
      <alignment horizontal="center" vertical="center"/>
    </xf>
    <xf numFmtId="1" fontId="7" fillId="0" borderId="13" xfId="0" applyNumberFormat="1" applyFont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1" fontId="7" fillId="0" borderId="31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164" fontId="7" fillId="3" borderId="25" xfId="0" applyNumberFormat="1" applyFont="1" applyFill="1" applyBorder="1" applyAlignment="1">
      <alignment horizontal="center" vertical="center" wrapText="1"/>
    </xf>
    <xf numFmtId="164" fontId="5" fillId="0" borderId="28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>
      <alignment horizontal="center" vertical="center"/>
    </xf>
    <xf numFmtId="164" fontId="7" fillId="3" borderId="26" xfId="0" applyNumberFormat="1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2" borderId="23" xfId="0" applyNumberFormat="1" applyFont="1" applyFill="1" applyBorder="1" applyAlignment="1">
      <alignment horizontal="center" vertical="center"/>
    </xf>
    <xf numFmtId="164" fontId="7" fillId="3" borderId="6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 wrapText="1"/>
    </xf>
    <xf numFmtId="1" fontId="7" fillId="0" borderId="6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7" fillId="0" borderId="39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left" vertical="center" wrapText="1"/>
    </xf>
    <xf numFmtId="0" fontId="5" fillId="3" borderId="39" xfId="0" applyFont="1" applyFill="1" applyBorder="1" applyAlignment="1">
      <alignment horizontal="left" vertical="center" wrapText="1"/>
    </xf>
    <xf numFmtId="164" fontId="19" fillId="0" borderId="6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" fontId="19" fillId="0" borderId="7" xfId="0" applyNumberFormat="1" applyFont="1" applyBorder="1" applyAlignment="1">
      <alignment horizontal="center" vertical="center"/>
    </xf>
    <xf numFmtId="0" fontId="4" fillId="0" borderId="1" xfId="1" applyBorder="1" applyAlignment="1">
      <alignment horizontal="left" vertical="center"/>
    </xf>
    <xf numFmtId="0" fontId="4" fillId="0" borderId="1" xfId="1" applyBorder="1"/>
    <xf numFmtId="0" fontId="4" fillId="0" borderId="0" xfId="1"/>
    <xf numFmtId="0" fontId="20" fillId="0" borderId="0" xfId="1" applyFont="1" applyBorder="1" applyAlignment="1">
      <alignment vertical="top" wrapText="1"/>
    </xf>
    <xf numFmtId="0" fontId="20" fillId="0" borderId="0" xfId="1" applyFont="1" applyBorder="1" applyAlignment="1">
      <alignment horizontal="left" vertical="top" wrapText="1"/>
    </xf>
    <xf numFmtId="0" fontId="20" fillId="0" borderId="42" xfId="1" applyFont="1" applyBorder="1" applyAlignment="1">
      <alignment vertical="top" wrapText="1"/>
    </xf>
    <xf numFmtId="0" fontId="4" fillId="0" borderId="0" xfId="1" applyAlignment="1">
      <alignment vertical="top" wrapText="1"/>
    </xf>
    <xf numFmtId="0" fontId="4" fillId="0" borderId="43" xfId="1" applyBorder="1"/>
    <xf numFmtId="0" fontId="20" fillId="0" borderId="43" xfId="1" applyFont="1" applyBorder="1"/>
    <xf numFmtId="0" fontId="20" fillId="0" borderId="43" xfId="1" applyFont="1" applyBorder="1" applyAlignment="1">
      <alignment horizontal="left" vertical="center"/>
    </xf>
    <xf numFmtId="0" fontId="4" fillId="0" borderId="0" xfId="1" applyBorder="1" applyAlignment="1">
      <alignment horizontal="left" vertical="center" wrapText="1"/>
    </xf>
    <xf numFmtId="0" fontId="4" fillId="0" borderId="0" xfId="1" applyAlignment="1">
      <alignment horizontal="left"/>
    </xf>
    <xf numFmtId="2" fontId="4" fillId="0" borderId="0" xfId="1" applyNumberFormat="1" applyAlignment="1">
      <alignment horizontal="left" vertical="center"/>
    </xf>
    <xf numFmtId="2" fontId="0" fillId="0" borderId="0" xfId="0" applyNumberFormat="1" applyAlignment="1">
      <alignment horizontal="left"/>
    </xf>
    <xf numFmtId="0" fontId="4" fillId="0" borderId="0" xfId="1" applyAlignment="1">
      <alignment horizontal="left" vertical="center"/>
    </xf>
    <xf numFmtId="0" fontId="4" fillId="0" borderId="1" xfId="1" applyBorder="1" applyAlignment="1">
      <alignment horizontal="left" vertical="center" wrapText="1"/>
    </xf>
    <xf numFmtId="0" fontId="4" fillId="0" borderId="1" xfId="1" applyBorder="1" applyAlignment="1">
      <alignment horizontal="left"/>
    </xf>
    <xf numFmtId="0" fontId="4" fillId="0" borderId="42" xfId="1" applyBorder="1" applyAlignment="1">
      <alignment horizontal="left" vertical="center"/>
    </xf>
    <xf numFmtId="0" fontId="4" fillId="0" borderId="42" xfId="1" applyBorder="1" applyAlignment="1">
      <alignment horizontal="left"/>
    </xf>
    <xf numFmtId="2" fontId="4" fillId="0" borderId="42" xfId="1" applyNumberFormat="1" applyBorder="1" applyAlignment="1">
      <alignment horizontal="left" vertical="center"/>
    </xf>
    <xf numFmtId="0" fontId="0" fillId="0" borderId="42" xfId="0" applyBorder="1"/>
    <xf numFmtId="0" fontId="4" fillId="0" borderId="0" xfId="1" applyBorder="1" applyAlignment="1">
      <alignment horizontal="left" vertical="center"/>
    </xf>
    <xf numFmtId="0" fontId="4" fillId="0" borderId="0" xfId="1" applyBorder="1" applyAlignment="1">
      <alignment horizontal="left"/>
    </xf>
    <xf numFmtId="0" fontId="0" fillId="0" borderId="1" xfId="0" applyBorder="1"/>
    <xf numFmtId="0" fontId="4" fillId="0" borderId="42" xfId="1" applyBorder="1"/>
    <xf numFmtId="0" fontId="4" fillId="0" borderId="0" xfId="1" applyBorder="1"/>
    <xf numFmtId="2" fontId="4" fillId="0" borderId="0" xfId="1" applyNumberFormat="1" applyBorder="1" applyAlignment="1">
      <alignment horizontal="left" vertical="center"/>
    </xf>
    <xf numFmtId="2" fontId="4" fillId="0" borderId="0" xfId="1" applyNumberFormat="1" applyAlignment="1">
      <alignment horizontal="left"/>
    </xf>
    <xf numFmtId="0" fontId="22" fillId="0" borderId="0" xfId="0" applyFont="1"/>
    <xf numFmtId="2" fontId="23" fillId="0" borderId="0" xfId="1" applyNumberFormat="1" applyFont="1" applyBorder="1" applyAlignment="1">
      <alignment horizontal="left" vertical="center"/>
    </xf>
    <xf numFmtId="2" fontId="23" fillId="0" borderId="44" xfId="1" applyNumberFormat="1" applyFont="1" applyBorder="1" applyAlignment="1">
      <alignment horizontal="left"/>
    </xf>
    <xf numFmtId="2" fontId="0" fillId="0" borderId="0" xfId="0" applyNumberFormat="1" applyAlignment="1">
      <alignment horizontal="left" vertical="center"/>
    </xf>
    <xf numFmtId="0" fontId="4" fillId="0" borderId="8" xfId="1" applyBorder="1" applyAlignment="1">
      <alignment horizontal="left" vertical="center"/>
    </xf>
    <xf numFmtId="0" fontId="4" fillId="0" borderId="8" xfId="1" applyBorder="1"/>
    <xf numFmtId="2" fontId="0" fillId="0" borderId="8" xfId="0" applyNumberFormat="1" applyBorder="1" applyAlignment="1">
      <alignment horizontal="left"/>
    </xf>
    <xf numFmtId="0" fontId="4" fillId="0" borderId="8" xfId="1" applyBorder="1" applyAlignment="1">
      <alignment horizontal="left"/>
    </xf>
    <xf numFmtId="0" fontId="4" fillId="3" borderId="8" xfId="1" applyFill="1" applyBorder="1" applyAlignment="1">
      <alignment horizontal="left" vertical="center"/>
    </xf>
    <xf numFmtId="164" fontId="7" fillId="2" borderId="25" xfId="0" applyNumberFormat="1" applyFont="1" applyFill="1" applyBorder="1" applyAlignment="1">
      <alignment horizontal="center"/>
    </xf>
    <xf numFmtId="164" fontId="7" fillId="2" borderId="27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13" fillId="0" borderId="37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37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37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5" fillId="3" borderId="35" xfId="0" applyFont="1" applyFill="1" applyBorder="1" applyAlignment="1">
      <alignment horizontal="left" vertical="center" wrapText="1"/>
    </xf>
    <xf numFmtId="0" fontId="5" fillId="3" borderId="3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42" xfId="1" applyBorder="1" applyAlignment="1">
      <alignment horizontal="left" vertical="center"/>
    </xf>
    <xf numFmtId="0" fontId="4" fillId="0" borderId="0" xfId="1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Alignment="1">
      <alignment vertical="top" wrapText="1"/>
    </xf>
    <xf numFmtId="0" fontId="20" fillId="0" borderId="1" xfId="1" applyFont="1" applyBorder="1" applyAlignment="1">
      <alignment horizontal="left" vertical="center" wrapText="1"/>
    </xf>
    <xf numFmtId="0" fontId="4" fillId="0" borderId="28" xfId="1" applyBorder="1" applyAlignment="1">
      <alignment horizontal="left" vertical="center"/>
    </xf>
  </cellXfs>
  <cellStyles count="2">
    <cellStyle name="Standard" xfId="0" builtinId="0"/>
    <cellStyle name="Standard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ciebo/energieeffizienz-in-b&#228;dern/A_Architektonische%20und%20bauphysikalische%20Einflussgr&#246;&#223;en%20(AP%203+4)/2020-05-26_Zone%20inte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boundary"/>
      <sheetName val="Dropdown"/>
      <sheetName val="Walls"/>
      <sheetName val="Tabelle basi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ill Schmidt" id="{4D7DB841-EFAA-4171-8797-2582343C8EBE}" userId="Till Schmid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1" dT="2021-03-06T11:01:12.51" personId="{4D7DB841-EFAA-4171-8797-2582343C8EBE}" id="{8BF2D527-6033-4A2A-AFD6-BBC1E5AEEDEC}">
    <text>Horizontale Fenster werden in Teaser nicht erstellt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R29"/>
  <sheetViews>
    <sheetView zoomScale="55" zoomScaleNormal="55" workbookViewId="0">
      <selection activeCell="V15" sqref="V15"/>
    </sheetView>
  </sheetViews>
  <sheetFormatPr baseColWidth="10" defaultColWidth="11.42578125" defaultRowHeight="15" x14ac:dyDescent="0.25"/>
  <cols>
    <col min="1" max="1" width="28.85546875" style="6" customWidth="1"/>
    <col min="2" max="2" width="14.140625" style="7" customWidth="1"/>
    <col min="3" max="3" width="13.7109375" style="2" bestFit="1" customWidth="1"/>
    <col min="4" max="4" width="11.85546875" style="7" customWidth="1"/>
    <col min="5" max="5" width="11.42578125" style="2"/>
    <col min="6" max="6" width="13.28515625" style="2" customWidth="1"/>
    <col min="7" max="7" width="14.7109375" style="2" bestFit="1" customWidth="1"/>
    <col min="8" max="8" width="12" style="2" customWidth="1"/>
    <col min="9" max="9" width="11.42578125" style="2"/>
    <col min="10" max="10" width="11.42578125" style="2" customWidth="1"/>
    <col min="11" max="11" width="14.7109375" style="2" bestFit="1" customWidth="1"/>
    <col min="12" max="12" width="14.28515625" style="2" customWidth="1"/>
    <col min="13" max="13" width="11.42578125" style="2"/>
    <col min="14" max="14" width="7.7109375" style="2" customWidth="1"/>
    <col min="15" max="15" width="11.42578125" style="2"/>
    <col min="16" max="16" width="7.7109375" style="2" customWidth="1"/>
    <col min="17" max="16384" width="11.42578125" style="2"/>
  </cols>
  <sheetData>
    <row r="1" spans="1:17" ht="17.25" x14ac:dyDescent="0.25">
      <c r="A1" s="147" t="s">
        <v>47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2" spans="1:17" ht="17.25" x14ac:dyDescent="0.25">
      <c r="A2" s="10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42" customHeight="1" x14ac:dyDescent="0.25">
      <c r="A3" s="91" t="s">
        <v>49</v>
      </c>
      <c r="B3" s="161" t="s">
        <v>0</v>
      </c>
      <c r="C3" s="159"/>
      <c r="D3" s="155" t="s">
        <v>1</v>
      </c>
      <c r="E3" s="157"/>
      <c r="F3" s="158" t="s">
        <v>2</v>
      </c>
      <c r="G3" s="159"/>
      <c r="H3" s="156" t="s">
        <v>3</v>
      </c>
      <c r="I3" s="157"/>
      <c r="J3" s="158" t="s">
        <v>4</v>
      </c>
      <c r="K3" s="159"/>
      <c r="L3" s="153" t="s">
        <v>5</v>
      </c>
      <c r="M3" s="154"/>
      <c r="N3" s="153" t="s">
        <v>6</v>
      </c>
      <c r="O3" s="154"/>
      <c r="P3" s="155" t="s">
        <v>7</v>
      </c>
      <c r="Q3" s="155"/>
    </row>
    <row r="4" spans="1:17" ht="50.1" customHeight="1" thickBot="1" x14ac:dyDescent="0.3">
      <c r="A4" s="91" t="s">
        <v>95</v>
      </c>
      <c r="B4" s="152" t="s">
        <v>55</v>
      </c>
      <c r="C4" s="162"/>
      <c r="D4" s="151" t="s">
        <v>56</v>
      </c>
      <c r="E4" s="162"/>
      <c r="F4" s="151" t="s">
        <v>57</v>
      </c>
      <c r="G4" s="162"/>
      <c r="H4" s="151" t="s">
        <v>58</v>
      </c>
      <c r="I4" s="162"/>
      <c r="J4" s="164" t="s">
        <v>59</v>
      </c>
      <c r="K4" s="165"/>
      <c r="L4" s="149" t="s">
        <v>60</v>
      </c>
      <c r="M4" s="150"/>
      <c r="N4" s="149" t="s">
        <v>61</v>
      </c>
      <c r="O4" s="150"/>
      <c r="P4" s="151" t="s">
        <v>62</v>
      </c>
      <c r="Q4" s="152"/>
    </row>
    <row r="5" spans="1:17" ht="50.1" customHeight="1" thickTop="1" x14ac:dyDescent="0.25">
      <c r="A5" s="160" t="s">
        <v>15</v>
      </c>
      <c r="B5" s="94" t="s">
        <v>8</v>
      </c>
      <c r="C5" s="61">
        <v>0</v>
      </c>
      <c r="D5" s="15" t="s">
        <v>8</v>
      </c>
      <c r="E5" s="16">
        <f>31.5*3.25</f>
        <v>102.375</v>
      </c>
      <c r="F5" s="15" t="s">
        <v>8</v>
      </c>
      <c r="G5" s="61">
        <v>0</v>
      </c>
      <c r="H5" s="15" t="s">
        <v>8</v>
      </c>
      <c r="I5" s="16">
        <f>10*6.2</f>
        <v>62</v>
      </c>
      <c r="J5" s="15" t="s">
        <v>8</v>
      </c>
      <c r="K5" s="61">
        <v>0</v>
      </c>
      <c r="L5" s="17" t="s">
        <v>8</v>
      </c>
      <c r="M5" s="18">
        <v>0</v>
      </c>
      <c r="N5" s="17" t="s">
        <v>8</v>
      </c>
      <c r="O5" s="18"/>
      <c r="P5" s="15" t="s">
        <v>8</v>
      </c>
      <c r="Q5" s="19">
        <f>6.25*10</f>
        <v>62.5</v>
      </c>
    </row>
    <row r="6" spans="1:17" ht="50.1" customHeight="1" x14ac:dyDescent="0.25">
      <c r="A6" s="160"/>
      <c r="B6" s="95" t="s">
        <v>9</v>
      </c>
      <c r="C6" s="20">
        <f>29*6.5</f>
        <v>188.5</v>
      </c>
      <c r="D6" s="21" t="s">
        <v>9</v>
      </c>
      <c r="E6" s="62">
        <f>8.5*3.25</f>
        <v>27.625</v>
      </c>
      <c r="F6" s="21" t="s">
        <v>9</v>
      </c>
      <c r="G6" s="62">
        <v>0</v>
      </c>
      <c r="H6" s="21" t="s">
        <v>9</v>
      </c>
      <c r="I6" s="62">
        <v>0</v>
      </c>
      <c r="J6" s="21" t="s">
        <v>9</v>
      </c>
      <c r="K6" s="62">
        <v>0</v>
      </c>
      <c r="L6" s="22" t="s">
        <v>9</v>
      </c>
      <c r="M6" s="23">
        <v>0</v>
      </c>
      <c r="N6" s="22" t="s">
        <v>9</v>
      </c>
      <c r="O6" s="23"/>
      <c r="P6" s="21" t="s">
        <v>9</v>
      </c>
      <c r="Q6" s="24">
        <v>0</v>
      </c>
    </row>
    <row r="7" spans="1:17" ht="50.1" customHeight="1" x14ac:dyDescent="0.25">
      <c r="A7" s="160"/>
      <c r="B7" s="95" t="s">
        <v>10</v>
      </c>
      <c r="C7" s="62">
        <v>0</v>
      </c>
      <c r="D7" s="21" t="s">
        <v>10</v>
      </c>
      <c r="E7" s="62">
        <v>0</v>
      </c>
      <c r="F7" s="21" t="s">
        <v>10</v>
      </c>
      <c r="G7" s="62">
        <v>0</v>
      </c>
      <c r="H7" s="21" t="s">
        <v>10</v>
      </c>
      <c r="I7" s="62">
        <f>(15+24)*6.2+13*2</f>
        <v>267.8</v>
      </c>
      <c r="J7" s="21" t="s">
        <v>10</v>
      </c>
      <c r="K7" s="62">
        <v>0</v>
      </c>
      <c r="L7" s="22" t="s">
        <v>10</v>
      </c>
      <c r="M7" s="23">
        <v>0</v>
      </c>
      <c r="N7" s="22" t="s">
        <v>10</v>
      </c>
      <c r="O7" s="23"/>
      <c r="P7" s="21" t="s">
        <v>10</v>
      </c>
      <c r="Q7" s="24">
        <v>0</v>
      </c>
    </row>
    <row r="8" spans="1:17" ht="50.1" customHeight="1" thickBot="1" x14ac:dyDescent="0.3">
      <c r="A8" s="160"/>
      <c r="B8" s="96" t="s">
        <v>11</v>
      </c>
      <c r="C8" s="65">
        <v>0</v>
      </c>
      <c r="D8" s="25" t="s">
        <v>11</v>
      </c>
      <c r="E8" s="63">
        <v>0</v>
      </c>
      <c r="F8" s="25" t="s">
        <v>11</v>
      </c>
      <c r="G8" s="63">
        <v>0</v>
      </c>
      <c r="H8" s="25" t="s">
        <v>11</v>
      </c>
      <c r="I8" s="26">
        <f>24.88*6.2</f>
        <v>154.256</v>
      </c>
      <c r="J8" s="25" t="s">
        <v>11</v>
      </c>
      <c r="K8" s="63">
        <v>0</v>
      </c>
      <c r="L8" s="27" t="s">
        <v>11</v>
      </c>
      <c r="M8" s="28">
        <v>0</v>
      </c>
      <c r="N8" s="27" t="s">
        <v>11</v>
      </c>
      <c r="O8" s="28"/>
      <c r="P8" s="29" t="s">
        <v>11</v>
      </c>
      <c r="Q8" s="30">
        <f>6.25*5+3*3.25</f>
        <v>41</v>
      </c>
    </row>
    <row r="9" spans="1:17" ht="50.1" customHeight="1" x14ac:dyDescent="0.25">
      <c r="A9" s="160" t="s">
        <v>12</v>
      </c>
      <c r="B9" s="97" t="s">
        <v>8</v>
      </c>
      <c r="C9" s="64">
        <v>0</v>
      </c>
      <c r="D9" s="31" t="s">
        <v>8</v>
      </c>
      <c r="E9" s="64">
        <f>(2.26*1)*7</f>
        <v>15.819999999999999</v>
      </c>
      <c r="F9" s="31" t="s">
        <v>8</v>
      </c>
      <c r="G9" s="64">
        <v>0</v>
      </c>
      <c r="H9" s="31" t="s">
        <v>8</v>
      </c>
      <c r="I9" s="32">
        <f>3*6.2</f>
        <v>18.600000000000001</v>
      </c>
      <c r="J9" s="31" t="s">
        <v>8</v>
      </c>
      <c r="K9" s="64">
        <v>0</v>
      </c>
      <c r="L9" s="33" t="s">
        <v>8</v>
      </c>
      <c r="M9" s="34">
        <v>0</v>
      </c>
      <c r="N9" s="33" t="s">
        <v>8</v>
      </c>
      <c r="O9" s="34"/>
      <c r="P9" s="35" t="s">
        <v>8</v>
      </c>
      <c r="Q9" s="57">
        <f>1.51*2+2*1.51</f>
        <v>6.04</v>
      </c>
    </row>
    <row r="10" spans="1:17" ht="50.1" customHeight="1" x14ac:dyDescent="0.25">
      <c r="A10" s="160"/>
      <c r="B10" s="95" t="s">
        <v>9</v>
      </c>
      <c r="C10" s="36">
        <f>C6-(2.5*6.5)</f>
        <v>172.25</v>
      </c>
      <c r="D10" s="37" t="s">
        <v>9</v>
      </c>
      <c r="E10" s="62">
        <v>0</v>
      </c>
      <c r="F10" s="37" t="s">
        <v>9</v>
      </c>
      <c r="G10" s="62">
        <v>0</v>
      </c>
      <c r="H10" s="37" t="s">
        <v>9</v>
      </c>
      <c r="I10" s="62">
        <v>0</v>
      </c>
      <c r="J10" s="37" t="s">
        <v>9</v>
      </c>
      <c r="K10" s="62">
        <v>0</v>
      </c>
      <c r="L10" s="22" t="s">
        <v>9</v>
      </c>
      <c r="M10" s="23">
        <v>0</v>
      </c>
      <c r="N10" s="22" t="s">
        <v>9</v>
      </c>
      <c r="O10" s="23"/>
      <c r="P10" s="21" t="s">
        <v>9</v>
      </c>
      <c r="Q10" s="58">
        <v>0</v>
      </c>
    </row>
    <row r="11" spans="1:17" ht="50.1" customHeight="1" x14ac:dyDescent="0.25">
      <c r="A11" s="160"/>
      <c r="B11" s="95" t="s">
        <v>10</v>
      </c>
      <c r="C11" s="62">
        <v>0</v>
      </c>
      <c r="D11" s="37" t="s">
        <v>10</v>
      </c>
      <c r="E11" s="62">
        <v>0</v>
      </c>
      <c r="F11" s="37" t="s">
        <v>10</v>
      </c>
      <c r="G11" s="62">
        <v>0</v>
      </c>
      <c r="H11" s="37" t="s">
        <v>10</v>
      </c>
      <c r="I11" s="36">
        <f>24*6.2+15*4+13*2</f>
        <v>234.8</v>
      </c>
      <c r="J11" s="37" t="s">
        <v>10</v>
      </c>
      <c r="K11" s="62">
        <v>0</v>
      </c>
      <c r="L11" s="22" t="s">
        <v>10</v>
      </c>
      <c r="M11" s="23">
        <v>0</v>
      </c>
      <c r="N11" s="22" t="s">
        <v>10</v>
      </c>
      <c r="O11" s="23"/>
      <c r="P11" s="21" t="s">
        <v>10</v>
      </c>
      <c r="Q11" s="58">
        <v>0</v>
      </c>
    </row>
    <row r="12" spans="1:17" ht="50.1" customHeight="1" thickBot="1" x14ac:dyDescent="0.3">
      <c r="A12" s="160"/>
      <c r="B12" s="98" t="s">
        <v>11</v>
      </c>
      <c r="C12" s="63">
        <v>0</v>
      </c>
      <c r="D12" s="38" t="s">
        <v>11</v>
      </c>
      <c r="E12" s="63">
        <v>0</v>
      </c>
      <c r="F12" s="38" t="s">
        <v>11</v>
      </c>
      <c r="G12" s="63">
        <v>0</v>
      </c>
      <c r="H12" s="38" t="s">
        <v>11</v>
      </c>
      <c r="I12" s="63">
        <f>24.88*6.2</f>
        <v>154.256</v>
      </c>
      <c r="J12" s="38" t="s">
        <v>11</v>
      </c>
      <c r="K12" s="63">
        <v>0</v>
      </c>
      <c r="L12" s="27" t="s">
        <v>11</v>
      </c>
      <c r="M12" s="28">
        <v>0</v>
      </c>
      <c r="N12" s="27" t="s">
        <v>11</v>
      </c>
      <c r="O12" s="28"/>
      <c r="P12" s="25" t="s">
        <v>11</v>
      </c>
      <c r="Q12" s="59">
        <f>2.16*2*2</f>
        <v>8.64</v>
      </c>
    </row>
    <row r="13" spans="1:17" ht="69.95" customHeight="1" thickBot="1" x14ac:dyDescent="0.35">
      <c r="A13" s="91" t="s">
        <v>14</v>
      </c>
      <c r="B13" s="99"/>
      <c r="C13" s="39">
        <f>29*8.5</f>
        <v>246.5</v>
      </c>
      <c r="D13" s="40"/>
      <c r="E13" s="39">
        <f>8.5*31.5</f>
        <v>267.75</v>
      </c>
      <c r="F13" s="41"/>
      <c r="G13" s="69">
        <f>8*31.5</f>
        <v>252</v>
      </c>
      <c r="H13" s="42"/>
      <c r="I13" s="39">
        <f>53*25</f>
        <v>1325</v>
      </c>
      <c r="J13" s="42"/>
      <c r="K13" s="39">
        <v>0</v>
      </c>
      <c r="L13" s="44"/>
      <c r="M13" s="145">
        <v>252</v>
      </c>
      <c r="N13" s="44"/>
      <c r="O13" s="45"/>
      <c r="P13" s="46"/>
      <c r="Q13" s="60">
        <f>8*17.2</f>
        <v>137.6</v>
      </c>
    </row>
    <row r="14" spans="1:17" ht="69.95" customHeight="1" thickBot="1" x14ac:dyDescent="0.35">
      <c r="A14" s="102" t="s">
        <v>33</v>
      </c>
      <c r="B14" s="99"/>
      <c r="C14" s="43">
        <f>29*8.5</f>
        <v>246.5</v>
      </c>
      <c r="D14" s="48"/>
      <c r="E14" s="39">
        <f>8.5*31.5</f>
        <v>267.75</v>
      </c>
      <c r="F14" s="42"/>
      <c r="G14" s="43">
        <f>8*31.5</f>
        <v>252</v>
      </c>
      <c r="H14" s="42"/>
      <c r="I14" s="43">
        <f>1325-(12.5*10+9.26*25+25*16.66)</f>
        <v>552</v>
      </c>
      <c r="J14" s="42"/>
      <c r="K14" s="43">
        <v>0</v>
      </c>
      <c r="L14" s="44"/>
      <c r="M14" s="145">
        <v>252</v>
      </c>
      <c r="N14" s="44"/>
      <c r="O14" s="45"/>
      <c r="P14" s="46"/>
      <c r="Q14" s="74">
        <f>17.2*8+9.26*25+2.23*(25+9.26+9.26)</f>
        <v>466.14960000000002</v>
      </c>
    </row>
    <row r="15" spans="1:17" ht="69.95" customHeight="1" thickBot="1" x14ac:dyDescent="0.35">
      <c r="A15" s="103" t="s">
        <v>100</v>
      </c>
      <c r="B15" s="100"/>
      <c r="C15" s="56">
        <f>6.2*((C18/8.51)*0.5+8.51*0.5+8.51) + 6.2*(3.885+5.165)</f>
        <v>225.04735957696826</v>
      </c>
      <c r="D15" s="70"/>
      <c r="E15" s="56">
        <f>(31.5*0.5+8.5)*3.25</f>
        <v>78.8125</v>
      </c>
      <c r="F15" s="71"/>
      <c r="G15" s="56">
        <f>3.25*(31.5+8+8+(7*8)+(2*8))</f>
        <v>388.375</v>
      </c>
      <c r="H15" s="71"/>
      <c r="I15" s="56">
        <f>6.2*(25*0.5+43*0.5+14)</f>
        <v>297.60000000000002</v>
      </c>
      <c r="J15" s="71"/>
      <c r="K15" s="56">
        <f>(21.2/2)*4*3.25</f>
        <v>137.79999999999998</v>
      </c>
      <c r="L15" s="44"/>
      <c r="M15" s="145">
        <v>388.375</v>
      </c>
      <c r="N15" s="44"/>
      <c r="O15" s="45"/>
      <c r="P15" s="72"/>
      <c r="Q15" s="68">
        <f>0.5*16.66*2.23+(25-16.66)*2.23+17.2*6.25+8*6.25*2</f>
        <v>244.67410000000001</v>
      </c>
    </row>
    <row r="16" spans="1:17" ht="69.95" customHeight="1" thickBot="1" x14ac:dyDescent="0.35">
      <c r="A16" s="103" t="s">
        <v>31</v>
      </c>
      <c r="B16" s="100"/>
      <c r="C16" s="56">
        <v>0</v>
      </c>
      <c r="D16" s="70"/>
      <c r="E16" s="56">
        <v>0</v>
      </c>
      <c r="F16" s="71"/>
      <c r="G16" s="67">
        <f>8*31.5</f>
        <v>252</v>
      </c>
      <c r="H16" s="71"/>
      <c r="I16" s="56">
        <v>0</v>
      </c>
      <c r="J16" s="71"/>
      <c r="K16" s="56">
        <f>11.79+9.41</f>
        <v>21.2</v>
      </c>
      <c r="L16" s="44"/>
      <c r="M16" s="145">
        <v>252</v>
      </c>
      <c r="N16" s="44"/>
      <c r="O16" s="53"/>
      <c r="P16" s="72"/>
      <c r="Q16" s="73">
        <f>25*9.26</f>
        <v>231.5</v>
      </c>
    </row>
    <row r="17" spans="1:18" ht="69.95" customHeight="1" thickBot="1" x14ac:dyDescent="0.35">
      <c r="A17" s="102" t="s">
        <v>32</v>
      </c>
      <c r="B17" s="101"/>
      <c r="C17" s="49">
        <v>0</v>
      </c>
      <c r="D17" s="50"/>
      <c r="E17" s="56">
        <v>0</v>
      </c>
      <c r="F17" s="51"/>
      <c r="G17" s="49">
        <v>0</v>
      </c>
      <c r="H17" s="51"/>
      <c r="I17" s="67">
        <f>9.26*25</f>
        <v>231.5</v>
      </c>
      <c r="J17" s="51"/>
      <c r="K17" s="56">
        <f>11.79+9.41</f>
        <v>21.2</v>
      </c>
      <c r="L17" s="52"/>
      <c r="M17" s="146">
        <v>0</v>
      </c>
      <c r="N17" s="52"/>
      <c r="O17" s="53"/>
      <c r="P17" s="54"/>
      <c r="Q17" s="55">
        <v>0</v>
      </c>
      <c r="R17" s="84"/>
    </row>
    <row r="18" spans="1:18" ht="69.95" customHeight="1" thickBot="1" x14ac:dyDescent="0.35">
      <c r="A18" s="102" t="s">
        <v>146</v>
      </c>
      <c r="B18" s="99"/>
      <c r="C18" s="43">
        <f>29*8.5</f>
        <v>246.5</v>
      </c>
      <c r="D18" s="48"/>
      <c r="E18" s="39">
        <f>8.5*31.5</f>
        <v>267.75</v>
      </c>
      <c r="F18" s="42"/>
      <c r="G18" s="43">
        <f>8*31.5</f>
        <v>252</v>
      </c>
      <c r="H18" s="42"/>
      <c r="I18" s="39">
        <f>53*25</f>
        <v>1325</v>
      </c>
      <c r="J18" s="42"/>
      <c r="K18" s="39">
        <f>11.79+9.41</f>
        <v>21.2</v>
      </c>
      <c r="L18" s="44"/>
      <c r="M18" s="145">
        <v>252</v>
      </c>
      <c r="N18" s="44"/>
      <c r="O18" s="45"/>
      <c r="P18" s="46"/>
      <c r="Q18" s="47">
        <f>8*17.2+9.26*25</f>
        <v>369.1</v>
      </c>
    </row>
    <row r="19" spans="1:18" ht="69.95" customHeight="1" x14ac:dyDescent="0.3">
      <c r="A19" s="102" t="s">
        <v>13</v>
      </c>
      <c r="B19" s="101"/>
      <c r="C19" s="56">
        <f>C18*6.2</f>
        <v>1528.3</v>
      </c>
      <c r="D19" s="50"/>
      <c r="E19" s="56">
        <f>E18*3.6</f>
        <v>963.9</v>
      </c>
      <c r="F19" s="51"/>
      <c r="G19" s="56">
        <f>G18*3.25</f>
        <v>819</v>
      </c>
      <c r="H19" s="51"/>
      <c r="I19" s="56">
        <f>I18*6.2</f>
        <v>8215</v>
      </c>
      <c r="J19" s="51"/>
      <c r="K19" s="56">
        <f>K18*3.25</f>
        <v>68.899999999999991</v>
      </c>
      <c r="L19" s="52"/>
      <c r="M19" s="146">
        <v>819</v>
      </c>
      <c r="N19" s="52"/>
      <c r="O19" s="53"/>
      <c r="P19" s="54"/>
      <c r="Q19" s="55">
        <f>25*9.26*2.23+17.2*9*4.75</f>
        <v>1251.5450000000001</v>
      </c>
      <c r="R19" s="84"/>
    </row>
    <row r="20" spans="1:18" ht="58.9" customHeight="1" x14ac:dyDescent="0.3">
      <c r="A20" s="80"/>
      <c r="B20" s="80"/>
      <c r="C20" s="8"/>
      <c r="D20" s="80"/>
      <c r="E20" s="8"/>
      <c r="F20" s="9"/>
      <c r="G20" s="8"/>
      <c r="H20" s="9"/>
      <c r="I20" s="3"/>
      <c r="J20" s="9"/>
      <c r="K20" s="3"/>
      <c r="L20" s="4"/>
      <c r="M20" s="4"/>
      <c r="N20" s="4"/>
      <c r="O20" s="4"/>
      <c r="P20" s="5"/>
      <c r="Q20" s="3"/>
      <c r="R20" s="84"/>
    </row>
    <row r="21" spans="1:18" ht="54.6" customHeight="1" x14ac:dyDescent="0.25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"/>
      <c r="R21" s="84"/>
    </row>
    <row r="22" spans="1:18" ht="57.6" customHeight="1" x14ac:dyDescent="0.25">
      <c r="A22" s="10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"/>
      <c r="R22" s="84"/>
    </row>
    <row r="23" spans="1:18" ht="57.6" customHeight="1" x14ac:dyDescent="0.25">
      <c r="A23" s="10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"/>
    </row>
    <row r="24" spans="1:18" ht="53.45" customHeight="1" x14ac:dyDescent="0.25">
      <c r="A24" s="10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"/>
    </row>
    <row r="25" spans="1:18" ht="43.9" customHeight="1" x14ac:dyDescent="0.25"/>
    <row r="26" spans="1:18" ht="43.9" customHeight="1" x14ac:dyDescent="0.25">
      <c r="R26" s="163"/>
    </row>
    <row r="27" spans="1:18" ht="46.9" customHeight="1" x14ac:dyDescent="0.25">
      <c r="R27" s="163"/>
    </row>
    <row r="28" spans="1:18" ht="44.45" customHeight="1" x14ac:dyDescent="0.25"/>
    <row r="29" spans="1:18" ht="46.9" customHeight="1" x14ac:dyDescent="0.25"/>
  </sheetData>
  <mergeCells count="20">
    <mergeCell ref="R26:R27"/>
    <mergeCell ref="H4:I4"/>
    <mergeCell ref="D4:E4"/>
    <mergeCell ref="F4:G4"/>
    <mergeCell ref="J4:K4"/>
    <mergeCell ref="L4:M4"/>
    <mergeCell ref="A5:A8"/>
    <mergeCell ref="A9:A12"/>
    <mergeCell ref="B3:C3"/>
    <mergeCell ref="D3:E3"/>
    <mergeCell ref="F3:G3"/>
    <mergeCell ref="B4:C4"/>
    <mergeCell ref="A1:Q1"/>
    <mergeCell ref="N4:O4"/>
    <mergeCell ref="P4:Q4"/>
    <mergeCell ref="N3:O3"/>
    <mergeCell ref="P3:Q3"/>
    <mergeCell ref="H3:I3"/>
    <mergeCell ref="J3:K3"/>
    <mergeCell ref="L3:M3"/>
  </mergeCells>
  <conditionalFormatting sqref="B22">
    <cfRule type="cellIs" dxfId="2" priority="3" operator="equal">
      <formula>TRUE</formula>
    </cfRule>
  </conditionalFormatting>
  <conditionalFormatting sqref="C23">
    <cfRule type="cellIs" dxfId="1" priority="2" operator="equal">
      <formula>TRUE</formula>
    </cfRule>
  </conditionalFormatting>
  <conditionalFormatting sqref="E23">
    <cfRule type="cellIs" dxfId="0" priority="1" operator="equal">
      <formula>TRUE</formula>
    </cfRule>
  </conditionalFormatting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  <ignoredErrors>
    <ignoredError sqref="G15 E15 C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D19C2-BB56-4C22-A2CE-97A3E74CAFDF}">
  <sheetPr>
    <pageSetUpPr fitToPage="1"/>
  </sheetPr>
  <dimension ref="A1:Q31"/>
  <sheetViews>
    <sheetView tabSelected="1" zoomScale="85" zoomScaleNormal="85" workbookViewId="0">
      <selection activeCell="D5" sqref="D5"/>
    </sheetView>
  </sheetViews>
  <sheetFormatPr baseColWidth="10" defaultColWidth="11.42578125" defaultRowHeight="15" x14ac:dyDescent="0.25"/>
  <cols>
    <col min="1" max="1" width="25.7109375" style="2" customWidth="1"/>
    <col min="2" max="2" width="10.7109375" style="2" customWidth="1"/>
    <col min="3" max="3" width="15.28515625" style="2" customWidth="1"/>
    <col min="4" max="12" width="26.28515625" style="2" customWidth="1"/>
    <col min="13" max="13" width="16.7109375" style="2" bestFit="1" customWidth="1"/>
    <col min="14" max="16384" width="11.42578125" style="2"/>
  </cols>
  <sheetData>
    <row r="1" spans="1:17" ht="17.25" x14ac:dyDescent="0.25">
      <c r="A1" s="147" t="s">
        <v>48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</row>
    <row r="3" spans="1:17" ht="42" customHeight="1" thickBot="1" x14ac:dyDescent="0.3">
      <c r="A3" s="166" t="s">
        <v>50</v>
      </c>
      <c r="B3" s="160"/>
      <c r="C3" s="86" t="s">
        <v>22</v>
      </c>
      <c r="D3" s="87" t="s">
        <v>21</v>
      </c>
      <c r="E3" s="87" t="s">
        <v>20</v>
      </c>
      <c r="F3" s="87" t="s">
        <v>19</v>
      </c>
      <c r="G3" s="87" t="s">
        <v>18</v>
      </c>
      <c r="H3" s="87" t="s">
        <v>17</v>
      </c>
      <c r="I3" s="87" t="s">
        <v>27</v>
      </c>
      <c r="J3" s="87" t="s">
        <v>28</v>
      </c>
      <c r="K3" s="87" t="s">
        <v>29</v>
      </c>
      <c r="L3" s="87" t="s">
        <v>30</v>
      </c>
    </row>
    <row r="4" spans="1:17" ht="50.1" customHeight="1" thickBot="1" x14ac:dyDescent="0.3">
      <c r="A4" s="90" t="s">
        <v>96</v>
      </c>
      <c r="B4" s="91"/>
      <c r="C4" s="12" t="s">
        <v>16</v>
      </c>
      <c r="D4" s="85" t="s">
        <v>80</v>
      </c>
      <c r="E4" s="85" t="s">
        <v>81</v>
      </c>
      <c r="F4" s="85" t="s">
        <v>82</v>
      </c>
      <c r="G4" s="85" t="s">
        <v>83</v>
      </c>
      <c r="H4" s="85" t="s">
        <v>84</v>
      </c>
      <c r="I4" s="85" t="s">
        <v>85</v>
      </c>
      <c r="J4" s="85" t="s">
        <v>86</v>
      </c>
      <c r="K4" s="85" t="s">
        <v>87</v>
      </c>
      <c r="L4" s="85" t="s">
        <v>88</v>
      </c>
    </row>
    <row r="5" spans="1:17" ht="50.1" customHeight="1" thickTop="1" x14ac:dyDescent="0.25">
      <c r="A5" s="90" t="s">
        <v>147</v>
      </c>
      <c r="B5" s="92" t="s">
        <v>23</v>
      </c>
      <c r="C5" s="77">
        <f t="shared" ref="C5:C12" si="0">SUM(D5:L5)</f>
        <v>571.5</v>
      </c>
      <c r="D5" s="75">
        <f>25*16.66</f>
        <v>416.5</v>
      </c>
      <c r="E5" s="104">
        <v>0</v>
      </c>
      <c r="F5" s="13">
        <v>30</v>
      </c>
      <c r="G5" s="104">
        <v>125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</row>
    <row r="6" spans="1:17" ht="69.95" customHeight="1" x14ac:dyDescent="0.25">
      <c r="A6" s="90" t="s">
        <v>64</v>
      </c>
      <c r="B6" s="92" t="s">
        <v>36</v>
      </c>
      <c r="C6" s="77"/>
      <c r="D6" s="14">
        <f t="shared" ref="D6:L6" si="1">IF(D5&gt;0,D7/D5,0)</f>
        <v>2.2000000000000002</v>
      </c>
      <c r="E6" s="105">
        <v>0</v>
      </c>
      <c r="F6" s="14">
        <v>0.6</v>
      </c>
      <c r="G6" s="105">
        <v>0.67500000000000004</v>
      </c>
      <c r="H6" s="14">
        <f t="shared" si="1"/>
        <v>0</v>
      </c>
      <c r="I6" s="14">
        <f t="shared" si="1"/>
        <v>0</v>
      </c>
      <c r="J6" s="14">
        <f t="shared" si="1"/>
        <v>0</v>
      </c>
      <c r="K6" s="14">
        <f t="shared" si="1"/>
        <v>0</v>
      </c>
      <c r="L6" s="14">
        <f t="shared" si="1"/>
        <v>0</v>
      </c>
      <c r="M6" s="79" t="s">
        <v>39</v>
      </c>
    </row>
    <row r="7" spans="1:17" ht="50.1" customHeight="1" x14ac:dyDescent="0.25">
      <c r="A7" s="90" t="s">
        <v>24</v>
      </c>
      <c r="B7" s="92" t="s">
        <v>25</v>
      </c>
      <c r="C7" s="77">
        <f>SUM(D7:L7)</f>
        <v>1018.7</v>
      </c>
      <c r="D7" s="76">
        <f>D5*2.2</f>
        <v>916.30000000000007</v>
      </c>
      <c r="E7" s="106">
        <v>0</v>
      </c>
      <c r="F7" s="14">
        <v>18</v>
      </c>
      <c r="G7" s="106">
        <v>84.4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1"/>
    </row>
    <row r="8" spans="1:17" ht="50.1" customHeight="1" x14ac:dyDescent="0.25">
      <c r="A8" s="90" t="s">
        <v>63</v>
      </c>
      <c r="B8" s="92" t="s">
        <v>36</v>
      </c>
      <c r="C8" s="77"/>
      <c r="D8" s="14">
        <f>2*25+2*16.66</f>
        <v>83.32</v>
      </c>
      <c r="E8" s="105">
        <v>0</v>
      </c>
      <c r="F8" s="14">
        <v>22</v>
      </c>
      <c r="G8" s="105">
        <v>45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1"/>
    </row>
    <row r="9" spans="1:17" ht="50.1" customHeight="1" x14ac:dyDescent="0.25">
      <c r="A9" s="89" t="s">
        <v>51</v>
      </c>
      <c r="B9" s="92" t="s">
        <v>23</v>
      </c>
      <c r="C9" s="77">
        <f t="shared" si="0"/>
        <v>716.32</v>
      </c>
      <c r="D9" s="76">
        <f>D5+2.2*25*2+16.66*2</f>
        <v>559.82000000000005</v>
      </c>
      <c r="E9" s="106">
        <v>0</v>
      </c>
      <c r="F9" s="14">
        <v>0</v>
      </c>
      <c r="G9" s="106">
        <v>156.5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66"/>
    </row>
    <row r="10" spans="1:17" ht="50.1" customHeight="1" x14ac:dyDescent="0.25">
      <c r="A10" s="89" t="s">
        <v>52</v>
      </c>
      <c r="B10" s="92" t="s">
        <v>23</v>
      </c>
      <c r="C10" s="77">
        <f t="shared" si="0"/>
        <v>30</v>
      </c>
      <c r="D10" s="78">
        <v>0</v>
      </c>
      <c r="E10" s="106">
        <v>0</v>
      </c>
      <c r="F10" s="14">
        <v>30</v>
      </c>
      <c r="G10" s="106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</row>
    <row r="11" spans="1:17" ht="50.1" customHeight="1" x14ac:dyDescent="0.25">
      <c r="A11" s="89" t="s">
        <v>53</v>
      </c>
      <c r="B11" s="92" t="s">
        <v>23</v>
      </c>
      <c r="C11" s="77">
        <f t="shared" si="0"/>
        <v>299.82000000000005</v>
      </c>
      <c r="D11" s="76">
        <f>D10+2.2*25*2+16.66*2</f>
        <v>143.32000000000002</v>
      </c>
      <c r="E11" s="106">
        <v>0</v>
      </c>
      <c r="F11" s="14">
        <v>0</v>
      </c>
      <c r="G11" s="106">
        <v>156.5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</row>
    <row r="12" spans="1:17" ht="50.1" customHeight="1" x14ac:dyDescent="0.25">
      <c r="A12" s="89" t="s">
        <v>54</v>
      </c>
      <c r="B12" s="92" t="s">
        <v>23</v>
      </c>
      <c r="C12" s="77">
        <f t="shared" si="0"/>
        <v>34.858000000000004</v>
      </c>
      <c r="D12" s="78">
        <f>0.5*16.66*2.6</f>
        <v>21.658000000000001</v>
      </c>
      <c r="E12" s="106">
        <v>0</v>
      </c>
      <c r="F12" s="14">
        <v>13.2</v>
      </c>
      <c r="G12" s="106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88" t="s">
        <v>42</v>
      </c>
    </row>
    <row r="13" spans="1:17" ht="50.1" customHeight="1" x14ac:dyDescent="0.25">
      <c r="A13" s="90" t="s">
        <v>26</v>
      </c>
      <c r="B13" s="92" t="s">
        <v>34</v>
      </c>
      <c r="C13" s="77"/>
      <c r="D13" s="14">
        <v>303.14999999999998</v>
      </c>
      <c r="E13" s="105">
        <v>0</v>
      </c>
      <c r="F13" s="14">
        <v>303.14999999999998</v>
      </c>
      <c r="G13" s="105">
        <v>303.14999999999998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1"/>
    </row>
    <row r="14" spans="1:17" ht="69.95" customHeight="1" x14ac:dyDescent="0.25">
      <c r="A14" s="90" t="s">
        <v>65</v>
      </c>
      <c r="B14" s="93" t="s">
        <v>98</v>
      </c>
      <c r="C14" s="77"/>
      <c r="D14" s="83">
        <v>2</v>
      </c>
      <c r="E14" s="107">
        <v>0</v>
      </c>
      <c r="F14" s="83">
        <v>2</v>
      </c>
      <c r="G14" s="107">
        <v>2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</row>
    <row r="15" spans="1:17" ht="69.95" customHeight="1" x14ac:dyDescent="0.25">
      <c r="A15" s="90" t="s">
        <v>66</v>
      </c>
      <c r="B15" s="93" t="s">
        <v>37</v>
      </c>
      <c r="C15" s="77"/>
      <c r="D15" s="14" t="s">
        <v>90</v>
      </c>
      <c r="E15" s="105" t="s">
        <v>91</v>
      </c>
      <c r="F15" s="14" t="s">
        <v>91</v>
      </c>
      <c r="G15" s="105" t="s">
        <v>90</v>
      </c>
      <c r="H15" s="14" t="s">
        <v>91</v>
      </c>
      <c r="I15" s="14" t="s">
        <v>91</v>
      </c>
      <c r="J15" s="14" t="s">
        <v>91</v>
      </c>
      <c r="K15" s="14" t="s">
        <v>91</v>
      </c>
      <c r="L15" s="14" t="s">
        <v>91</v>
      </c>
    </row>
    <row r="16" spans="1:17" ht="69.95" customHeight="1" x14ac:dyDescent="0.25">
      <c r="A16" s="90" t="s">
        <v>99</v>
      </c>
      <c r="B16" s="92" t="s">
        <v>37</v>
      </c>
      <c r="C16" s="77"/>
      <c r="D16" s="14" t="s">
        <v>92</v>
      </c>
      <c r="E16" s="105" t="s">
        <v>93</v>
      </c>
      <c r="F16" s="14" t="s">
        <v>93</v>
      </c>
      <c r="G16" s="105" t="s">
        <v>92</v>
      </c>
      <c r="H16" s="14" t="s">
        <v>93</v>
      </c>
      <c r="I16" s="14" t="s">
        <v>93</v>
      </c>
      <c r="J16" s="14" t="s">
        <v>93</v>
      </c>
      <c r="K16" s="14" t="s">
        <v>93</v>
      </c>
      <c r="L16" s="14" t="s">
        <v>93</v>
      </c>
    </row>
    <row r="17" spans="1:14" ht="69.95" customHeight="1" x14ac:dyDescent="0.25">
      <c r="A17" s="90" t="s">
        <v>67</v>
      </c>
      <c r="B17" s="92" t="s">
        <v>37</v>
      </c>
      <c r="C17" s="77"/>
      <c r="D17" s="14" t="s">
        <v>94</v>
      </c>
      <c r="E17" s="105" t="s">
        <v>94</v>
      </c>
      <c r="F17" s="14" t="s">
        <v>94</v>
      </c>
      <c r="G17" s="105" t="s">
        <v>94</v>
      </c>
      <c r="H17" s="14" t="s">
        <v>94</v>
      </c>
      <c r="I17" s="14" t="s">
        <v>94</v>
      </c>
      <c r="J17" s="14" t="s">
        <v>94</v>
      </c>
      <c r="K17" s="14" t="s">
        <v>94</v>
      </c>
      <c r="L17" s="14" t="s">
        <v>94</v>
      </c>
    </row>
    <row r="18" spans="1:14" ht="69.95" customHeight="1" x14ac:dyDescent="0.25">
      <c r="A18" s="90" t="s">
        <v>68</v>
      </c>
      <c r="B18" s="92" t="s">
        <v>45</v>
      </c>
      <c r="C18" s="77"/>
      <c r="D18" s="14" t="s">
        <v>40</v>
      </c>
      <c r="E18" s="105" t="s">
        <v>40</v>
      </c>
      <c r="F18" s="14" t="s">
        <v>40</v>
      </c>
      <c r="G18" s="105" t="s">
        <v>40</v>
      </c>
      <c r="H18" s="14" t="s">
        <v>40</v>
      </c>
      <c r="I18" s="14" t="s">
        <v>40</v>
      </c>
      <c r="J18" s="14" t="s">
        <v>40</v>
      </c>
      <c r="K18" s="14" t="s">
        <v>40</v>
      </c>
      <c r="L18" s="14" t="s">
        <v>40</v>
      </c>
    </row>
    <row r="19" spans="1:14" ht="69.95" customHeight="1" x14ac:dyDescent="0.25">
      <c r="A19" s="90" t="s">
        <v>69</v>
      </c>
      <c r="B19" s="92"/>
      <c r="C19" s="77"/>
      <c r="D19" s="76">
        <v>0.8</v>
      </c>
      <c r="E19" s="106">
        <v>0.8</v>
      </c>
      <c r="F19" s="76">
        <v>0.8</v>
      </c>
      <c r="G19" s="106">
        <v>0.8</v>
      </c>
      <c r="H19" s="76">
        <v>0.8</v>
      </c>
      <c r="I19" s="76">
        <v>0.8</v>
      </c>
      <c r="J19" s="76">
        <v>0.8</v>
      </c>
      <c r="K19" s="76">
        <v>0.8</v>
      </c>
      <c r="L19" s="76">
        <v>0.8</v>
      </c>
      <c r="N19" s="84"/>
    </row>
    <row r="20" spans="1:14" ht="69.95" customHeight="1" x14ac:dyDescent="0.25">
      <c r="A20" s="90" t="s">
        <v>70</v>
      </c>
      <c r="B20" s="92" t="s">
        <v>35</v>
      </c>
      <c r="C20" s="77"/>
      <c r="D20" s="14" t="s">
        <v>40</v>
      </c>
      <c r="E20" s="105" t="s">
        <v>41</v>
      </c>
      <c r="F20" s="14" t="s">
        <v>41</v>
      </c>
      <c r="G20" s="105" t="s">
        <v>40</v>
      </c>
      <c r="H20" s="14" t="s">
        <v>41</v>
      </c>
      <c r="I20" s="14" t="s">
        <v>41</v>
      </c>
      <c r="J20" s="14" t="s">
        <v>41</v>
      </c>
      <c r="K20" s="14" t="s">
        <v>41</v>
      </c>
      <c r="L20" s="14" t="s">
        <v>41</v>
      </c>
      <c r="N20" s="84"/>
    </row>
    <row r="21" spans="1:14" ht="58.9" customHeight="1" x14ac:dyDescent="0.25">
      <c r="A21" s="90" t="s">
        <v>71</v>
      </c>
      <c r="B21" s="92" t="s">
        <v>38</v>
      </c>
      <c r="C21" s="77"/>
      <c r="D21" s="76">
        <v>0.8</v>
      </c>
      <c r="E21" s="106">
        <v>0</v>
      </c>
      <c r="F21" s="76">
        <v>0</v>
      </c>
      <c r="G21" s="106">
        <v>0.8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  <c r="N21" s="84"/>
    </row>
    <row r="22" spans="1:14" ht="57.6" customHeight="1" x14ac:dyDescent="0.25">
      <c r="A22" s="90" t="s">
        <v>73</v>
      </c>
      <c r="B22" s="92" t="s">
        <v>35</v>
      </c>
      <c r="C22" s="77"/>
      <c r="D22" s="14" t="s">
        <v>41</v>
      </c>
      <c r="E22" s="105" t="s">
        <v>41</v>
      </c>
      <c r="F22" s="14" t="s">
        <v>41</v>
      </c>
      <c r="G22" s="105" t="s">
        <v>41</v>
      </c>
      <c r="H22" s="14" t="s">
        <v>41</v>
      </c>
      <c r="I22" s="14" t="s">
        <v>41</v>
      </c>
      <c r="J22" s="14" t="s">
        <v>41</v>
      </c>
      <c r="K22" s="14" t="s">
        <v>41</v>
      </c>
      <c r="L22" s="14" t="s">
        <v>41</v>
      </c>
      <c r="N22" s="84"/>
    </row>
    <row r="23" spans="1:14" ht="54.6" customHeight="1" x14ac:dyDescent="0.25">
      <c r="A23" s="90" t="s">
        <v>72</v>
      </c>
      <c r="B23" s="92" t="s">
        <v>38</v>
      </c>
      <c r="C23" s="77"/>
      <c r="D23" s="76">
        <v>30</v>
      </c>
      <c r="E23" s="106">
        <v>0</v>
      </c>
      <c r="F23" s="76">
        <v>0</v>
      </c>
      <c r="G23" s="10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  <c r="N23" s="84"/>
    </row>
    <row r="24" spans="1:14" ht="57.6" customHeight="1" x14ac:dyDescent="0.25">
      <c r="A24" s="90" t="s">
        <v>144</v>
      </c>
      <c r="B24" s="93" t="s">
        <v>145</v>
      </c>
      <c r="C24" s="77"/>
      <c r="D24" s="83">
        <v>30</v>
      </c>
      <c r="E24" s="107">
        <v>0</v>
      </c>
      <c r="F24" s="83">
        <v>0</v>
      </c>
      <c r="G24" s="107">
        <v>30</v>
      </c>
      <c r="H24" s="83">
        <v>0</v>
      </c>
      <c r="I24" s="83">
        <v>0</v>
      </c>
      <c r="J24" s="83">
        <v>0</v>
      </c>
      <c r="K24" s="83">
        <v>0</v>
      </c>
      <c r="L24" s="83">
        <v>0</v>
      </c>
    </row>
    <row r="25" spans="1:14" ht="53.45" customHeight="1" x14ac:dyDescent="0.25">
      <c r="A25" s="90" t="s">
        <v>74</v>
      </c>
      <c r="B25" s="92" t="s">
        <v>35</v>
      </c>
      <c r="C25" s="77"/>
      <c r="D25" s="14" t="s">
        <v>40</v>
      </c>
      <c r="E25" s="105" t="s">
        <v>41</v>
      </c>
      <c r="F25" s="14" t="s">
        <v>41</v>
      </c>
      <c r="G25" s="105" t="s">
        <v>41</v>
      </c>
      <c r="H25" s="14" t="s">
        <v>41</v>
      </c>
      <c r="I25" s="14" t="s">
        <v>41</v>
      </c>
      <c r="J25" s="14" t="s">
        <v>41</v>
      </c>
      <c r="K25" s="14" t="s">
        <v>41</v>
      </c>
      <c r="L25" s="14" t="s">
        <v>41</v>
      </c>
    </row>
    <row r="26" spans="1:14" ht="43.9" customHeight="1" x14ac:dyDescent="0.25">
      <c r="A26" s="90" t="s">
        <v>97</v>
      </c>
      <c r="B26" s="92" t="s">
        <v>35</v>
      </c>
      <c r="C26" s="77"/>
      <c r="D26" s="14" t="s">
        <v>41</v>
      </c>
      <c r="E26" s="105" t="s">
        <v>41</v>
      </c>
      <c r="F26" s="14" t="s">
        <v>41</v>
      </c>
      <c r="G26" s="105" t="s">
        <v>41</v>
      </c>
      <c r="H26" s="14" t="s">
        <v>41</v>
      </c>
      <c r="I26" s="14" t="s">
        <v>41</v>
      </c>
      <c r="J26" s="14" t="s">
        <v>41</v>
      </c>
      <c r="K26" s="14" t="s">
        <v>41</v>
      </c>
      <c r="L26" s="14" t="s">
        <v>41</v>
      </c>
    </row>
    <row r="27" spans="1:14" ht="43.9" customHeight="1" x14ac:dyDescent="0.25">
      <c r="A27" s="90" t="s">
        <v>75</v>
      </c>
      <c r="B27" s="92" t="s">
        <v>36</v>
      </c>
      <c r="C27" s="77"/>
      <c r="D27" s="14">
        <v>0</v>
      </c>
      <c r="E27" s="105">
        <v>0</v>
      </c>
      <c r="F27" s="14">
        <v>0</v>
      </c>
      <c r="G27" s="105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N27" s="163"/>
    </row>
    <row r="28" spans="1:14" ht="46.9" customHeight="1" x14ac:dyDescent="0.25">
      <c r="A28" s="90" t="s">
        <v>76</v>
      </c>
      <c r="B28" s="92" t="s">
        <v>36</v>
      </c>
      <c r="C28" s="77"/>
      <c r="D28" s="14">
        <v>0</v>
      </c>
      <c r="E28" s="105">
        <v>0</v>
      </c>
      <c r="F28" s="14">
        <v>0</v>
      </c>
      <c r="G28" s="105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N28" s="163"/>
    </row>
    <row r="29" spans="1:14" ht="44.45" customHeight="1" x14ac:dyDescent="0.25">
      <c r="A29" s="90" t="s">
        <v>77</v>
      </c>
      <c r="B29" s="92" t="s">
        <v>43</v>
      </c>
      <c r="C29" s="77"/>
      <c r="D29" s="14">
        <v>1800</v>
      </c>
      <c r="E29" s="105"/>
      <c r="F29" s="14"/>
      <c r="G29" s="105"/>
      <c r="H29" s="14"/>
      <c r="I29" s="14"/>
      <c r="J29" s="14"/>
      <c r="K29" s="14"/>
      <c r="L29" s="14"/>
    </row>
    <row r="30" spans="1:14" ht="46.9" customHeight="1" x14ac:dyDescent="0.25">
      <c r="A30" s="90" t="s">
        <v>78</v>
      </c>
      <c r="B30" s="92" t="s">
        <v>44</v>
      </c>
      <c r="C30" s="77"/>
      <c r="D30" s="14">
        <f>10/30*D29</f>
        <v>600</v>
      </c>
      <c r="E30" s="105"/>
      <c r="F30" s="14"/>
      <c r="G30" s="105"/>
      <c r="H30" s="14"/>
      <c r="I30" s="14"/>
      <c r="J30" s="14"/>
      <c r="K30" s="14"/>
      <c r="L30" s="14"/>
    </row>
    <row r="31" spans="1:14" ht="28.9" customHeight="1" x14ac:dyDescent="0.25">
      <c r="A31" s="90" t="s">
        <v>79</v>
      </c>
      <c r="B31" s="92" t="s">
        <v>46</v>
      </c>
      <c r="C31" s="77"/>
      <c r="D31" s="14" t="s">
        <v>89</v>
      </c>
      <c r="E31" s="105" t="s">
        <v>89</v>
      </c>
      <c r="F31" s="14" t="s">
        <v>89</v>
      </c>
      <c r="G31" s="105" t="s">
        <v>89</v>
      </c>
      <c r="H31" s="14" t="s">
        <v>89</v>
      </c>
      <c r="I31" s="14" t="s">
        <v>89</v>
      </c>
      <c r="J31" s="14" t="s">
        <v>89</v>
      </c>
      <c r="K31" s="14" t="s">
        <v>89</v>
      </c>
      <c r="L31" s="14" t="s">
        <v>89</v>
      </c>
    </row>
  </sheetData>
  <mergeCells count="3">
    <mergeCell ref="N27:N28"/>
    <mergeCell ref="A3:B3"/>
    <mergeCell ref="A1:Q1"/>
  </mergeCells>
  <dataValidations count="5">
    <dataValidation type="list" allowBlank="1" showInputMessage="1" showErrorMessage="1" sqref="D25:L26 D22:L22 D20:L20 D18:L18" xr:uid="{74D43ED6-0CDA-4D50-83A1-A5DCADFAA3EB}">
      <formula1>"true, false"</formula1>
    </dataValidation>
    <dataValidation type="list" allowBlank="1" showInputMessage="1" showErrorMessage="1" sqref="D31:L31" xr:uid="{8B0D90CA-9FD2-4430-81FB-6CA14A72A471}">
      <formula1>"Reinforced concrete"</formula1>
    </dataValidation>
    <dataValidation type="list" allowBlank="1" showInputMessage="1" showErrorMessage="1" sqref="D15:L15" xr:uid="{F6EAB73B-7C08-4040-BE8F-E3EE0C3BDC56}">
      <formula1>"Activated carbon filter with ozone, Closed quick filter, Closed sorption filter, Open quick filter, Open suction filter, Quantozone filter, Quartz gravel filter, Two-layer filter, Two-layer filter with ozone"</formula1>
    </dataValidation>
    <dataValidation type="list" allowBlank="1" showInputMessage="1" showErrorMessage="1" sqref="D16:L16" xr:uid="{C5A3411D-23EC-4671-9E50-C9B2C49EE738}">
      <formula1>"without ozone, with ozone, with ultrafiltration, with bromine"</formula1>
    </dataValidation>
    <dataValidation type="list" allowBlank="1" showInputMessage="1" showErrorMessage="1" sqref="D17:L17" xr:uid="{817679F8-1DE4-40CD-877A-BD413B69FD96}">
      <formula1>"Saltwater, Freshwater"</formula1>
    </dataValidation>
  </dataValidations>
  <printOptions horizontalCentered="1" verticalCentered="1"/>
  <pageMargins left="0.70866141732283472" right="0.70866141732283472" top="0.78740157480314965" bottom="0.78740157480314965" header="0.31496062992125984" footer="0.31496062992125984"/>
  <pageSetup paperSize="9" scale="66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3F06-C977-4596-92F6-CA04C216FC55}">
  <dimension ref="A1:P41"/>
  <sheetViews>
    <sheetView zoomScale="90" zoomScaleNormal="90" workbookViewId="0">
      <selection activeCell="F32" sqref="F32"/>
    </sheetView>
  </sheetViews>
  <sheetFormatPr baseColWidth="10" defaultColWidth="9.140625" defaultRowHeight="15" x14ac:dyDescent="0.25"/>
  <cols>
    <col min="1" max="1" width="36.42578125" style="110" customWidth="1"/>
    <col min="2" max="3" width="16.85546875" style="110" customWidth="1"/>
    <col min="4" max="4" width="33.140625" style="110" customWidth="1"/>
    <col min="5" max="5" width="12.7109375" style="122" customWidth="1"/>
    <col min="6" max="6" width="46.85546875" style="110" customWidth="1"/>
    <col min="7" max="8" width="27.140625" style="122" customWidth="1"/>
    <col min="9" max="9" width="16.85546875" style="110" customWidth="1"/>
    <col min="10" max="10" width="0" style="110" hidden="1" customWidth="1"/>
    <col min="11" max="11" width="8.42578125" style="110" hidden="1" customWidth="1"/>
    <col min="12" max="13" width="0" style="110" hidden="1" customWidth="1"/>
    <col min="14" max="16384" width="9.140625" style="110"/>
  </cols>
  <sheetData>
    <row r="1" spans="1:16" x14ac:dyDescent="0.25">
      <c r="A1" s="172" t="s">
        <v>101</v>
      </c>
      <c r="B1" s="172"/>
      <c r="C1" s="172"/>
      <c r="D1" s="172"/>
      <c r="E1" s="108"/>
      <c r="F1" s="109"/>
      <c r="G1" s="108"/>
      <c r="H1" s="108"/>
      <c r="I1" s="109"/>
    </row>
    <row r="2" spans="1:16" s="114" customFormat="1" ht="44.25" customHeight="1" x14ac:dyDescent="0.25">
      <c r="A2" s="111" t="s">
        <v>102</v>
      </c>
      <c r="B2" s="111" t="s">
        <v>103</v>
      </c>
      <c r="C2" s="111" t="s">
        <v>104</v>
      </c>
      <c r="D2" s="111" t="s">
        <v>105</v>
      </c>
      <c r="E2" s="112" t="s">
        <v>106</v>
      </c>
      <c r="F2" s="111" t="s">
        <v>107</v>
      </c>
      <c r="G2" s="111" t="s">
        <v>108</v>
      </c>
      <c r="H2" s="111" t="s">
        <v>109</v>
      </c>
      <c r="I2" s="111" t="s">
        <v>110</v>
      </c>
      <c r="J2" s="113" t="s">
        <v>111</v>
      </c>
      <c r="K2" s="113" t="s">
        <v>112</v>
      </c>
      <c r="L2" s="113" t="s">
        <v>113</v>
      </c>
      <c r="M2" s="113" t="s">
        <v>114</v>
      </c>
    </row>
    <row r="3" spans="1:16" ht="18" thickBot="1" x14ac:dyDescent="0.3">
      <c r="A3" s="115"/>
      <c r="B3" s="116"/>
      <c r="C3" s="116"/>
      <c r="D3" s="116" t="s">
        <v>115</v>
      </c>
      <c r="E3" s="117" t="s">
        <v>116</v>
      </c>
      <c r="F3" s="115"/>
      <c r="G3" s="117" t="s">
        <v>117</v>
      </c>
      <c r="H3" s="117" t="s">
        <v>118</v>
      </c>
      <c r="I3" s="117" t="s">
        <v>119</v>
      </c>
      <c r="J3" s="115"/>
      <c r="K3" s="115"/>
      <c r="L3" s="115"/>
      <c r="M3" s="115"/>
    </row>
    <row r="4" spans="1:16" ht="15" customHeight="1" x14ac:dyDescent="0.25">
      <c r="A4" s="173" t="s">
        <v>120</v>
      </c>
      <c r="B4" s="118"/>
      <c r="C4" s="118"/>
      <c r="D4" s="119">
        <v>0</v>
      </c>
      <c r="E4" s="120">
        <v>25</v>
      </c>
      <c r="F4" t="s">
        <v>121</v>
      </c>
      <c r="G4" s="121">
        <v>1.9375</v>
      </c>
      <c r="H4" s="121">
        <v>2104.1999999999998</v>
      </c>
      <c r="I4" s="121">
        <v>0.77584580000000003</v>
      </c>
      <c r="J4" s="170" t="s">
        <v>122</v>
      </c>
      <c r="K4" s="170" t="s">
        <v>123</v>
      </c>
      <c r="L4" s="170" t="s">
        <v>122</v>
      </c>
      <c r="M4" s="170" t="s">
        <v>124</v>
      </c>
    </row>
    <row r="5" spans="1:16" x14ac:dyDescent="0.25">
      <c r="A5" s="170"/>
      <c r="B5" s="118"/>
      <c r="C5" s="118"/>
      <c r="D5" s="119">
        <v>1</v>
      </c>
      <c r="E5" s="120">
        <v>16</v>
      </c>
      <c r="F5" t="s">
        <v>125</v>
      </c>
      <c r="G5" s="120">
        <v>0.04</v>
      </c>
      <c r="H5" s="121">
        <v>31</v>
      </c>
      <c r="I5" s="121">
        <v>1.45</v>
      </c>
      <c r="J5" s="170"/>
      <c r="K5" s="170"/>
      <c r="L5" s="170"/>
      <c r="M5" s="170"/>
    </row>
    <row r="6" spans="1:16" x14ac:dyDescent="0.25">
      <c r="A6" s="170"/>
      <c r="B6" s="118"/>
      <c r="C6" s="118"/>
      <c r="D6" s="119">
        <v>2</v>
      </c>
      <c r="E6" s="120">
        <v>0.5</v>
      </c>
      <c r="F6" t="s">
        <v>126</v>
      </c>
      <c r="G6" s="121">
        <v>0.7</v>
      </c>
      <c r="H6" s="121">
        <v>1645</v>
      </c>
      <c r="I6" s="121">
        <v>10</v>
      </c>
      <c r="J6" s="170"/>
      <c r="K6" s="170"/>
      <c r="L6" s="170"/>
      <c r="M6" s="170"/>
    </row>
    <row r="7" spans="1:16" x14ac:dyDescent="0.25">
      <c r="A7" s="170"/>
      <c r="B7" s="118"/>
      <c r="C7" s="118"/>
      <c r="D7" s="119">
        <v>3</v>
      </c>
      <c r="E7" s="120">
        <v>0.3</v>
      </c>
      <c r="F7" t="s">
        <v>127</v>
      </c>
      <c r="G7" s="120">
        <v>0.7</v>
      </c>
      <c r="H7" s="121">
        <v>1690</v>
      </c>
      <c r="I7" s="121">
        <v>1</v>
      </c>
      <c r="J7" s="170"/>
      <c r="K7" s="170"/>
      <c r="L7" s="170"/>
      <c r="M7" s="170"/>
    </row>
    <row r="8" spans="1:16" x14ac:dyDescent="0.25">
      <c r="A8" s="170"/>
      <c r="B8" s="118"/>
      <c r="C8" s="118"/>
      <c r="D8" s="119">
        <v>4</v>
      </c>
      <c r="J8" s="170"/>
      <c r="K8" s="170"/>
      <c r="L8" s="170"/>
      <c r="M8" s="170"/>
    </row>
    <row r="9" spans="1:16" x14ac:dyDescent="0.25">
      <c r="A9" s="169"/>
      <c r="B9" s="123"/>
      <c r="C9" s="123"/>
      <c r="D9" s="124">
        <v>5</v>
      </c>
      <c r="H9" s="108"/>
      <c r="I9" s="108"/>
      <c r="J9" s="169"/>
      <c r="K9" s="169"/>
      <c r="L9" s="169"/>
      <c r="M9" s="169"/>
    </row>
    <row r="10" spans="1:16" ht="16.5" customHeight="1" x14ac:dyDescent="0.25">
      <c r="A10" s="167" t="s">
        <v>128</v>
      </c>
      <c r="B10" s="125"/>
      <c r="C10" s="125"/>
      <c r="D10" s="126">
        <v>0</v>
      </c>
      <c r="E10" s="127">
        <v>12.5</v>
      </c>
      <c r="F10" s="128" t="s">
        <v>129</v>
      </c>
      <c r="G10" s="125"/>
      <c r="H10" s="125"/>
      <c r="I10" s="119"/>
      <c r="J10" s="167" t="s">
        <v>122</v>
      </c>
      <c r="K10" s="167" t="s">
        <v>123</v>
      </c>
      <c r="L10" s="167" t="s">
        <v>122</v>
      </c>
      <c r="M10" s="167" t="s">
        <v>124</v>
      </c>
      <c r="N10" s="171" t="s">
        <v>130</v>
      </c>
      <c r="O10" s="171"/>
      <c r="P10" s="171"/>
    </row>
    <row r="11" spans="1:16" x14ac:dyDescent="0.25">
      <c r="A11" s="168"/>
      <c r="B11" s="129"/>
      <c r="C11" s="129"/>
      <c r="D11" s="130">
        <v>1</v>
      </c>
      <c r="E11" s="129">
        <v>7</v>
      </c>
      <c r="F11" t="s">
        <v>131</v>
      </c>
      <c r="G11" s="129"/>
      <c r="H11" s="129"/>
      <c r="I11" s="119"/>
      <c r="J11" s="168"/>
      <c r="K11" s="168"/>
      <c r="L11" s="168"/>
      <c r="M11" s="168"/>
      <c r="N11" s="171"/>
      <c r="O11" s="171"/>
      <c r="P11" s="171"/>
    </row>
    <row r="12" spans="1:16" x14ac:dyDescent="0.25">
      <c r="A12" s="168"/>
      <c r="B12" s="129"/>
      <c r="C12" s="129"/>
      <c r="D12" s="119">
        <v>2</v>
      </c>
      <c r="E12" s="122">
        <v>12.5</v>
      </c>
      <c r="F12" t="s">
        <v>129</v>
      </c>
      <c r="I12" s="119"/>
      <c r="J12" s="170"/>
      <c r="K12" s="170"/>
      <c r="L12" s="170"/>
      <c r="M12" s="170"/>
      <c r="N12" s="171"/>
      <c r="O12" s="171"/>
      <c r="P12" s="171"/>
    </row>
    <row r="13" spans="1:16" x14ac:dyDescent="0.25">
      <c r="A13" s="168"/>
      <c r="B13" s="129"/>
      <c r="C13" s="129"/>
      <c r="D13" s="119">
        <v>3</v>
      </c>
      <c r="E13" s="129"/>
      <c r="F13"/>
      <c r="G13" s="129"/>
      <c r="H13" s="129"/>
      <c r="I13" s="119"/>
      <c r="J13" s="170"/>
      <c r="K13" s="170"/>
      <c r="L13" s="170"/>
      <c r="M13" s="170"/>
      <c r="N13" s="171"/>
      <c r="O13" s="171"/>
      <c r="P13" s="171"/>
    </row>
    <row r="14" spans="1:16" x14ac:dyDescent="0.25">
      <c r="A14" s="168"/>
      <c r="B14" s="129"/>
      <c r="C14" s="129"/>
      <c r="D14" s="119">
        <v>4</v>
      </c>
      <c r="E14" s="129"/>
      <c r="F14"/>
      <c r="G14" s="129"/>
      <c r="H14" s="129"/>
      <c r="I14" s="119"/>
      <c r="J14" s="170"/>
      <c r="K14" s="170"/>
      <c r="L14" s="170"/>
      <c r="M14" s="170"/>
      <c r="N14" s="171"/>
      <c r="O14" s="171"/>
      <c r="P14" s="171"/>
    </row>
    <row r="15" spans="1:16" x14ac:dyDescent="0.25">
      <c r="A15" s="169"/>
      <c r="B15" s="108"/>
      <c r="C15" s="108"/>
      <c r="D15" s="124">
        <v>5</v>
      </c>
      <c r="E15" s="108"/>
      <c r="F15" s="131"/>
      <c r="G15" s="129"/>
      <c r="H15" s="108"/>
      <c r="I15" s="119"/>
      <c r="J15" s="169"/>
      <c r="K15" s="169"/>
      <c r="L15" s="169"/>
      <c r="M15" s="169"/>
      <c r="N15" s="171"/>
      <c r="O15" s="171"/>
      <c r="P15" s="171"/>
    </row>
    <row r="16" spans="1:16" x14ac:dyDescent="0.25">
      <c r="A16" s="167" t="s">
        <v>132</v>
      </c>
      <c r="B16" s="132"/>
      <c r="C16" s="132"/>
      <c r="D16" s="126">
        <v>0</v>
      </c>
      <c r="E16" s="127">
        <v>0.88</v>
      </c>
      <c r="F16" t="s">
        <v>133</v>
      </c>
      <c r="G16" s="127">
        <v>48</v>
      </c>
      <c r="H16" s="121">
        <v>7800</v>
      </c>
      <c r="I16" s="125">
        <v>0.47699999999999998</v>
      </c>
      <c r="J16" s="167" t="s">
        <v>122</v>
      </c>
      <c r="K16" s="167" t="s">
        <v>123</v>
      </c>
      <c r="L16" s="167" t="s">
        <v>122</v>
      </c>
      <c r="M16" s="167" t="s">
        <v>124</v>
      </c>
    </row>
    <row r="17" spans="1:13" x14ac:dyDescent="0.25">
      <c r="A17" s="168"/>
      <c r="B17" s="133"/>
      <c r="C17" s="133"/>
      <c r="D17" s="130">
        <v>1</v>
      </c>
      <c r="E17" s="134">
        <v>0.5</v>
      </c>
      <c r="F17" t="s">
        <v>134</v>
      </c>
      <c r="G17" s="134">
        <v>5</v>
      </c>
      <c r="H17" s="121">
        <v>1200</v>
      </c>
      <c r="I17" s="129">
        <v>1</v>
      </c>
      <c r="J17" s="168"/>
      <c r="K17" s="168"/>
      <c r="L17" s="168"/>
      <c r="M17" s="168"/>
    </row>
    <row r="18" spans="1:13" x14ac:dyDescent="0.25">
      <c r="A18" s="168"/>
      <c r="B18" s="133"/>
      <c r="C18" s="133"/>
      <c r="D18" s="130">
        <v>2</v>
      </c>
      <c r="E18" s="134">
        <v>25</v>
      </c>
      <c r="F18" t="s">
        <v>125</v>
      </c>
      <c r="G18" s="134">
        <v>0.04</v>
      </c>
      <c r="H18" s="135">
        <v>31</v>
      </c>
      <c r="I18" s="129">
        <v>1.45</v>
      </c>
      <c r="J18" s="168"/>
      <c r="K18" s="168"/>
      <c r="L18" s="168"/>
      <c r="M18" s="168"/>
    </row>
    <row r="19" spans="1:13" x14ac:dyDescent="0.25">
      <c r="A19" s="168"/>
      <c r="B19" s="133"/>
      <c r="C19" s="133"/>
      <c r="D19" s="130">
        <v>3</v>
      </c>
      <c r="E19" s="134">
        <v>0.2</v>
      </c>
      <c r="F19" t="s">
        <v>125</v>
      </c>
      <c r="G19" s="134">
        <v>0.04</v>
      </c>
      <c r="H19" s="135">
        <v>31</v>
      </c>
      <c r="I19" s="129">
        <v>1.45</v>
      </c>
      <c r="J19" s="168"/>
      <c r="K19" s="168"/>
      <c r="L19" s="168"/>
      <c r="M19" s="168"/>
    </row>
    <row r="20" spans="1:13" x14ac:dyDescent="0.25">
      <c r="A20" s="168"/>
      <c r="B20" s="133"/>
      <c r="C20" s="133"/>
      <c r="D20" s="130">
        <v>4</v>
      </c>
      <c r="E20" s="134">
        <v>0.4</v>
      </c>
      <c r="F20" t="s">
        <v>134</v>
      </c>
      <c r="G20" s="134">
        <v>5</v>
      </c>
      <c r="H20" s="121">
        <v>1200</v>
      </c>
      <c r="I20" s="129">
        <v>1</v>
      </c>
      <c r="J20" s="168"/>
      <c r="K20" s="168"/>
      <c r="L20" s="168"/>
      <c r="M20" s="168"/>
    </row>
    <row r="21" spans="1:13" x14ac:dyDescent="0.25">
      <c r="A21" s="168"/>
      <c r="B21" s="133"/>
      <c r="C21" s="133"/>
      <c r="D21" s="130">
        <v>5</v>
      </c>
      <c r="E21" s="134">
        <v>0.5</v>
      </c>
      <c r="F21" s="136" t="s">
        <v>135</v>
      </c>
      <c r="G21" s="137">
        <v>0.35</v>
      </c>
      <c r="H21" s="138">
        <v>900</v>
      </c>
      <c r="I21" s="108">
        <v>2.2999999999999998</v>
      </c>
      <c r="J21" s="170"/>
      <c r="K21" s="170"/>
      <c r="L21" s="170"/>
      <c r="M21" s="170"/>
    </row>
    <row r="22" spans="1:13" x14ac:dyDescent="0.25">
      <c r="A22" s="167" t="s">
        <v>136</v>
      </c>
      <c r="B22" s="125"/>
      <c r="C22" s="125"/>
      <c r="D22" s="126">
        <v>0</v>
      </c>
      <c r="E22" s="125">
        <v>5</v>
      </c>
      <c r="F22" s="132" t="s">
        <v>137</v>
      </c>
      <c r="G22" s="125">
        <v>1.4</v>
      </c>
      <c r="H22" s="125">
        <v>250</v>
      </c>
      <c r="I22" s="139">
        <v>2</v>
      </c>
      <c r="J22" s="167" t="s">
        <v>122</v>
      </c>
      <c r="K22" s="167" t="s">
        <v>123</v>
      </c>
      <c r="L22" s="167" t="s">
        <v>122</v>
      </c>
      <c r="M22" s="167" t="s">
        <v>124</v>
      </c>
    </row>
    <row r="23" spans="1:13" x14ac:dyDescent="0.25">
      <c r="A23" s="168"/>
      <c r="B23" s="129"/>
      <c r="C23" s="129"/>
      <c r="D23" s="130">
        <v>1</v>
      </c>
      <c r="E23" s="129">
        <v>0.2</v>
      </c>
      <c r="F23" t="s">
        <v>135</v>
      </c>
      <c r="G23" s="129">
        <v>0.35</v>
      </c>
      <c r="H23" s="129">
        <v>900</v>
      </c>
      <c r="I23" s="139">
        <v>2.2999999999999998</v>
      </c>
      <c r="J23" s="168"/>
      <c r="K23" s="168"/>
      <c r="L23" s="168"/>
      <c r="M23" s="168"/>
    </row>
    <row r="24" spans="1:13" x14ac:dyDescent="0.25">
      <c r="A24" s="168"/>
      <c r="B24" s="129"/>
      <c r="C24" s="129"/>
      <c r="D24" s="130">
        <v>2</v>
      </c>
      <c r="E24" s="129">
        <v>5</v>
      </c>
      <c r="F24" t="s">
        <v>137</v>
      </c>
      <c r="G24" s="129">
        <v>1.4</v>
      </c>
      <c r="H24" s="129">
        <v>250</v>
      </c>
      <c r="I24" s="139">
        <v>2</v>
      </c>
      <c r="J24" s="168"/>
      <c r="K24" s="168"/>
      <c r="L24" s="168"/>
      <c r="M24" s="168"/>
    </row>
    <row r="25" spans="1:13" x14ac:dyDescent="0.25">
      <c r="A25" s="168"/>
      <c r="B25" s="129"/>
      <c r="C25" s="129"/>
      <c r="D25" s="130">
        <v>3</v>
      </c>
      <c r="E25" s="129">
        <v>20</v>
      </c>
      <c r="F25" t="s">
        <v>121</v>
      </c>
      <c r="G25" s="129">
        <v>1.94</v>
      </c>
      <c r="H25" s="129">
        <v>2104.1999999999998</v>
      </c>
      <c r="I25" s="139">
        <v>0.77584580000000003</v>
      </c>
      <c r="J25" s="168"/>
      <c r="K25" s="168"/>
      <c r="L25" s="168"/>
      <c r="M25" s="168"/>
    </row>
    <row r="26" spans="1:13" x14ac:dyDescent="0.25">
      <c r="A26" s="168"/>
      <c r="B26" s="129"/>
      <c r="C26" s="129"/>
      <c r="D26" s="130">
        <v>4</v>
      </c>
      <c r="E26" s="129">
        <v>0.2</v>
      </c>
      <c r="F26" t="s">
        <v>135</v>
      </c>
      <c r="G26" s="129">
        <v>0.35</v>
      </c>
      <c r="H26" s="129">
        <v>900</v>
      </c>
      <c r="I26" s="122">
        <v>2.2999999999999998</v>
      </c>
      <c r="J26" s="168"/>
      <c r="K26" s="168"/>
      <c r="L26" s="168"/>
      <c r="M26" s="168"/>
    </row>
    <row r="27" spans="1:13" x14ac:dyDescent="0.25">
      <c r="A27" s="169"/>
      <c r="B27" s="108"/>
      <c r="C27" s="108"/>
      <c r="D27" s="124">
        <v>5</v>
      </c>
      <c r="E27" s="108">
        <v>10</v>
      </c>
      <c r="F27" s="109" t="s">
        <v>138</v>
      </c>
      <c r="G27" s="108">
        <v>4.1000000000000002E-2</v>
      </c>
      <c r="H27" s="108">
        <v>30</v>
      </c>
      <c r="I27" s="108">
        <v>1.38</v>
      </c>
      <c r="J27" s="169"/>
      <c r="K27" s="169"/>
      <c r="L27" s="169"/>
      <c r="M27" s="169"/>
    </row>
    <row r="28" spans="1:13" x14ac:dyDescent="0.25">
      <c r="A28" s="167" t="s">
        <v>139</v>
      </c>
      <c r="B28" s="125"/>
      <c r="C28" s="125"/>
      <c r="D28" s="126">
        <v>0</v>
      </c>
      <c r="E28" s="125"/>
      <c r="F28" s="132"/>
      <c r="G28" s="125"/>
      <c r="H28" s="125"/>
      <c r="I28" s="139"/>
      <c r="J28" s="167"/>
      <c r="K28" s="167"/>
      <c r="L28" s="167"/>
      <c r="M28" s="167"/>
    </row>
    <row r="29" spans="1:13" x14ac:dyDescent="0.25">
      <c r="A29" s="168"/>
      <c r="B29" s="129"/>
      <c r="C29" s="129"/>
      <c r="D29" s="130">
        <v>1</v>
      </c>
      <c r="E29" s="129"/>
      <c r="F29"/>
      <c r="G29" s="129"/>
      <c r="H29" s="129"/>
      <c r="I29" s="139"/>
      <c r="J29" s="168"/>
      <c r="K29" s="168"/>
      <c r="L29" s="168"/>
      <c r="M29" s="168"/>
    </row>
    <row r="30" spans="1:13" x14ac:dyDescent="0.25">
      <c r="A30" s="168"/>
      <c r="B30" s="129"/>
      <c r="C30" s="129"/>
      <c r="D30" s="130">
        <v>2</v>
      </c>
      <c r="E30" s="129"/>
      <c r="F30"/>
      <c r="G30" s="129"/>
      <c r="H30" s="129"/>
      <c r="I30" s="139"/>
      <c r="J30" s="168"/>
      <c r="K30" s="168"/>
      <c r="L30" s="168"/>
      <c r="M30" s="168"/>
    </row>
    <row r="31" spans="1:13" x14ac:dyDescent="0.25">
      <c r="A31" s="168"/>
      <c r="B31" s="129"/>
      <c r="C31" s="129"/>
      <c r="D31" s="130">
        <v>3</v>
      </c>
      <c r="E31" s="129"/>
      <c r="F31"/>
      <c r="G31" s="129"/>
      <c r="H31" s="129"/>
      <c r="I31" s="139"/>
      <c r="J31" s="168"/>
      <c r="K31" s="168"/>
      <c r="L31" s="168"/>
      <c r="M31" s="168"/>
    </row>
    <row r="32" spans="1:13" x14ac:dyDescent="0.25">
      <c r="A32" s="168"/>
      <c r="B32" s="129"/>
      <c r="C32" s="129"/>
      <c r="D32" s="130">
        <v>4</v>
      </c>
      <c r="E32" s="129"/>
      <c r="F32"/>
      <c r="G32" s="129"/>
      <c r="H32" s="129"/>
      <c r="I32" s="122"/>
      <c r="J32" s="168"/>
      <c r="K32" s="168"/>
      <c r="L32" s="168"/>
      <c r="M32" s="168"/>
    </row>
    <row r="33" spans="1:13" x14ac:dyDescent="0.25">
      <c r="A33" s="169"/>
      <c r="B33" s="108"/>
      <c r="C33" s="108"/>
      <c r="D33" s="124">
        <v>5</v>
      </c>
      <c r="E33" s="108"/>
      <c r="F33" s="109"/>
      <c r="G33" s="108"/>
      <c r="H33" s="108"/>
      <c r="I33" s="108"/>
      <c r="J33" s="169"/>
      <c r="K33" s="169"/>
      <c r="L33" s="169"/>
      <c r="M33" s="169"/>
    </row>
    <row r="34" spans="1:13" x14ac:dyDescent="0.25">
      <c r="A34" s="167" t="s">
        <v>140</v>
      </c>
      <c r="B34" s="125"/>
      <c r="C34" s="125"/>
      <c r="D34" s="126">
        <v>0</v>
      </c>
      <c r="E34" s="125"/>
      <c r="F34" s="132"/>
      <c r="G34" s="125"/>
      <c r="H34" s="125"/>
      <c r="I34" s="139"/>
      <c r="J34" s="167"/>
      <c r="K34" s="167"/>
      <c r="L34" s="167"/>
      <c r="M34" s="167"/>
    </row>
    <row r="35" spans="1:13" x14ac:dyDescent="0.25">
      <c r="A35" s="168"/>
      <c r="B35" s="129"/>
      <c r="C35" s="129"/>
      <c r="D35" s="130">
        <v>1</v>
      </c>
      <c r="E35" s="129"/>
      <c r="F35"/>
      <c r="G35" s="129"/>
      <c r="H35" s="129"/>
      <c r="I35" s="139"/>
      <c r="J35" s="168"/>
      <c r="K35" s="168"/>
      <c r="L35" s="168"/>
      <c r="M35" s="168"/>
    </row>
    <row r="36" spans="1:13" x14ac:dyDescent="0.25">
      <c r="A36" s="168"/>
      <c r="B36" s="129"/>
      <c r="C36" s="129"/>
      <c r="D36" s="130">
        <v>2</v>
      </c>
      <c r="E36" s="129"/>
      <c r="F36"/>
      <c r="G36" s="129"/>
      <c r="H36" s="129"/>
      <c r="I36" s="139"/>
      <c r="J36" s="168"/>
      <c r="K36" s="168"/>
      <c r="L36" s="168"/>
      <c r="M36" s="168"/>
    </row>
    <row r="37" spans="1:13" x14ac:dyDescent="0.25">
      <c r="A37" s="168"/>
      <c r="B37" s="129"/>
      <c r="C37" s="129"/>
      <c r="D37" s="130">
        <v>3</v>
      </c>
      <c r="E37" s="129"/>
      <c r="F37"/>
      <c r="G37" s="129"/>
      <c r="H37" s="129"/>
      <c r="I37" s="139"/>
      <c r="J37" s="168"/>
      <c r="K37" s="168"/>
      <c r="L37" s="168"/>
      <c r="M37" s="168"/>
    </row>
    <row r="38" spans="1:13" x14ac:dyDescent="0.25">
      <c r="A38" s="168"/>
      <c r="B38" s="129"/>
      <c r="C38" s="129"/>
      <c r="D38" s="130">
        <v>4</v>
      </c>
      <c r="E38" s="129"/>
      <c r="F38"/>
      <c r="G38" s="129"/>
      <c r="H38" s="129"/>
      <c r="I38" s="122"/>
      <c r="J38" s="168"/>
      <c r="K38" s="168"/>
      <c r="L38" s="168"/>
      <c r="M38" s="168"/>
    </row>
    <row r="39" spans="1:13" x14ac:dyDescent="0.25">
      <c r="A39" s="169"/>
      <c r="B39" s="108"/>
      <c r="C39" s="108"/>
      <c r="D39" s="124">
        <v>5</v>
      </c>
      <c r="E39" s="108"/>
      <c r="F39" s="109"/>
      <c r="G39" s="108"/>
      <c r="H39" s="108"/>
      <c r="I39" s="108"/>
      <c r="J39" s="169"/>
      <c r="K39" s="169"/>
      <c r="L39" s="169"/>
      <c r="M39" s="169"/>
    </row>
    <row r="40" spans="1:13" x14ac:dyDescent="0.25">
      <c r="A40" s="125" t="s">
        <v>141</v>
      </c>
      <c r="B40" s="125">
        <v>0.5</v>
      </c>
      <c r="C40" s="126">
        <v>7.0000000000000007E-2</v>
      </c>
      <c r="D40" s="126">
        <v>0</v>
      </c>
      <c r="E40" s="140">
        <v>2.4</v>
      </c>
      <c r="F40" s="141" t="s">
        <v>142</v>
      </c>
      <c r="G40" s="142">
        <v>2.2200000000000001E-2</v>
      </c>
      <c r="H40" s="140">
        <v>0</v>
      </c>
      <c r="I40" s="143">
        <v>0</v>
      </c>
      <c r="J40" s="125" t="s">
        <v>122</v>
      </c>
      <c r="K40" s="125" t="s">
        <v>123</v>
      </c>
      <c r="L40" s="125" t="s">
        <v>122</v>
      </c>
      <c r="M40" s="140" t="s">
        <v>124</v>
      </c>
    </row>
    <row r="41" spans="1:13" x14ac:dyDescent="0.25">
      <c r="A41" s="144" t="s">
        <v>143</v>
      </c>
      <c r="B41" s="140"/>
      <c r="C41" s="140"/>
      <c r="D41" s="143">
        <v>0</v>
      </c>
      <c r="E41" s="140"/>
      <c r="F41" s="141"/>
      <c r="G41" s="140"/>
      <c r="H41" s="140"/>
      <c r="I41" s="141"/>
      <c r="J41" s="140"/>
      <c r="K41" s="140"/>
      <c r="L41" s="140"/>
      <c r="M41" s="140"/>
    </row>
  </sheetData>
  <mergeCells count="32">
    <mergeCell ref="N10:P15"/>
    <mergeCell ref="A1:D1"/>
    <mergeCell ref="A4:A9"/>
    <mergeCell ref="J4:J9"/>
    <mergeCell ref="K4:K9"/>
    <mergeCell ref="L4:L9"/>
    <mergeCell ref="M4:M9"/>
    <mergeCell ref="A10:A15"/>
    <mergeCell ref="J10:J15"/>
    <mergeCell ref="K10:K15"/>
    <mergeCell ref="L10:L15"/>
    <mergeCell ref="M10:M15"/>
    <mergeCell ref="A22:A27"/>
    <mergeCell ref="J22:J27"/>
    <mergeCell ref="K22:K27"/>
    <mergeCell ref="L22:L27"/>
    <mergeCell ref="M22:M27"/>
    <mergeCell ref="A16:A21"/>
    <mergeCell ref="J16:J21"/>
    <mergeCell ref="K16:K21"/>
    <mergeCell ref="L16:L21"/>
    <mergeCell ref="M16:M21"/>
    <mergeCell ref="A34:A39"/>
    <mergeCell ref="J34:J39"/>
    <mergeCell ref="K34:K39"/>
    <mergeCell ref="L34:L39"/>
    <mergeCell ref="M34:M39"/>
    <mergeCell ref="A28:A33"/>
    <mergeCell ref="J28:J33"/>
    <mergeCell ref="K28:K33"/>
    <mergeCell ref="L28:L33"/>
    <mergeCell ref="M28:M33"/>
  </mergeCells>
  <pageMargins left="0.75" right="0.75" top="0.75" bottom="0.5" header="0.5" footer="0.75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Zone Data</vt:lpstr>
      <vt:lpstr>Pool Data</vt:lpstr>
      <vt:lpstr>Envelope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Larisa Snegar</dc:creator>
  <cp:lastModifiedBy>Benani Zoumba</cp:lastModifiedBy>
  <cp:lastPrinted>2020-05-27T07:16:42Z</cp:lastPrinted>
  <dcterms:created xsi:type="dcterms:W3CDTF">2020-05-27T06:42:45Z</dcterms:created>
  <dcterms:modified xsi:type="dcterms:W3CDTF">2021-11-15T13:57:37Z</dcterms:modified>
</cp:coreProperties>
</file>