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2_Projekte\EESchwimm\TEASER\teaser\examples\"/>
    </mc:Choice>
  </mc:AlternateContent>
  <bookViews>
    <workbookView xWindow="-120" yWindow="-120" windowWidth="29040" windowHeight="15720" activeTab="2"/>
  </bookViews>
  <sheets>
    <sheet name="Zone Data" sheetId="5" r:id="rId1"/>
    <sheet name="Pool Data" sheetId="6" r:id="rId2"/>
    <sheet name="Envelope Structures" sheetId="4" r:id="rId3"/>
  </sheets>
  <externalReferences>
    <externalReference r:id="rId4"/>
  </externalReferences>
  <definedNames>
    <definedName name="Glass_A" localSheetId="2">[1]Dropdown!#REF!</definedName>
    <definedName name="Glass_A">[1]Dropdown!#REF!</definedName>
    <definedName name="GlassA" localSheetId="2">[1]Dropdown!#REF!</definedName>
    <definedName name="GlassA">[1]Dropdown!#REF!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4" l="1"/>
  <c r="C15" i="4"/>
  <c r="C19" i="4" l="1"/>
  <c r="C18" i="4"/>
  <c r="C16" i="4"/>
  <c r="C21" i="4" l="1"/>
  <c r="Q18" i="5" l="1"/>
  <c r="K18" i="5"/>
  <c r="I18" i="5"/>
  <c r="G18" i="5"/>
  <c r="E18" i="5"/>
  <c r="C18" i="5"/>
  <c r="K17" i="5"/>
  <c r="I17" i="5"/>
  <c r="Q16" i="5"/>
  <c r="K16" i="5"/>
  <c r="G16" i="5"/>
  <c r="Q15" i="5"/>
  <c r="K15" i="5"/>
  <c r="I15" i="5"/>
  <c r="G15" i="5"/>
  <c r="E15" i="5"/>
  <c r="C15" i="5"/>
  <c r="Q14" i="5"/>
  <c r="I14" i="5"/>
  <c r="G14" i="5"/>
  <c r="E14" i="5"/>
  <c r="C14" i="5"/>
  <c r="Q13" i="5"/>
  <c r="I13" i="5"/>
  <c r="G13" i="5"/>
  <c r="E13" i="5"/>
  <c r="C13" i="5"/>
  <c r="Q12" i="5"/>
  <c r="I12" i="5"/>
  <c r="I11" i="5"/>
  <c r="Q9" i="5"/>
  <c r="I9" i="5"/>
  <c r="E9" i="5"/>
  <c r="Q8" i="5"/>
  <c r="I8" i="5"/>
  <c r="I7" i="5"/>
  <c r="E6" i="5"/>
  <c r="C6" i="5"/>
  <c r="C10" i="5" s="1"/>
  <c r="Q5" i="5"/>
  <c r="I5" i="5"/>
  <c r="E5" i="5"/>
  <c r="A2" i="4" l="1"/>
  <c r="A2" i="6" l="1"/>
  <c r="A2" i="5"/>
  <c r="D17" i="6" a="1"/>
  <c r="G17" i="6" a="1"/>
  <c r="G17" i="6" l="1"/>
  <c r="D17" i="6"/>
  <c r="C5" i="6"/>
  <c r="C11" i="6" l="1"/>
  <c r="C9" i="6"/>
  <c r="C7" i="6"/>
  <c r="C12" i="6" l="1"/>
  <c r="C10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<sst xmlns="http://schemas.openxmlformats.org/spreadsheetml/2006/main" count="242" uniqueCount="146">
  <si>
    <t>Schwimmerbecken</t>
  </si>
  <si>
    <t>Nichtschwimmerbecken</t>
  </si>
  <si>
    <t>Kleinkinderbecken</t>
  </si>
  <si>
    <t>Envelope Surfaces of Zones in an Example Swimming Pool</t>
  </si>
  <si>
    <t>Zone number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</si>
  <si>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</si>
  <si>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</si>
  <si>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</si>
  <si>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</si>
  <si>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</si>
  <si>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</si>
  <si>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</si>
  <si>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</si>
  <si>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designation in german (english)</t>
  </si>
  <si>
    <t>Eingangsbereich
(Entrance)</t>
  </si>
  <si>
    <t>Umkleiden
(Changing rooms)</t>
  </si>
  <si>
    <t>Duschen und Sanitärräume
(Showers and sanitary rooms)</t>
  </si>
  <si>
    <t>Schwimmhalle
(Swimming hall)</t>
  </si>
  <si>
    <t>Aufsichtsraum
(Supervisory room)</t>
  </si>
  <si>
    <t>Saunabereich
(Sauna area)</t>
  </si>
  <si>
    <t>Fitness
(Fitness)</t>
  </si>
  <si>
    <t>Technikraum
(Technical room)</t>
  </si>
  <si>
    <t xml:space="preserve">Outer walls and cardinal directions of them, including transparent elements [m²]
</t>
  </si>
  <si>
    <t>N</t>
  </si>
  <si>
    <t>E</t>
  </si>
  <si>
    <t>S</t>
  </si>
  <si>
    <t>W</t>
  </si>
  <si>
    <t>Transparent elements in outer walls in each cardinal direction [m²]</t>
  </si>
  <si>
    <t>Roof (upper building closure, including horizontal transparent elements) [m²]</t>
  </si>
  <si>
    <t>Ground floor (lower building closure) with earth contact [m²]</t>
  </si>
  <si>
    <t>Inner walls as a sum (Shared inner walls of two zones are fully accounted for both)[m²]</t>
  </si>
  <si>
    <t>Ceiling (Inner Ceilings)[m²]</t>
  </si>
  <si>
    <t>Floor (Inner Floors without earth contact)[m²]</t>
  </si>
  <si>
    <t>Total area of zone (including water area) [m²]</t>
  </si>
  <si>
    <t>Air volume [m³]</t>
  </si>
  <si>
    <t>Additional information for pools within zone 4</t>
  </si>
  <si>
    <t>Pool abbreviation</t>
  </si>
  <si>
    <t>SUM</t>
  </si>
  <si>
    <t>SB</t>
  </si>
  <si>
    <t>MZB</t>
  </si>
  <si>
    <t>KB</t>
  </si>
  <si>
    <t>NSB</t>
  </si>
  <si>
    <t>SPB</t>
  </si>
  <si>
    <t>FB1</t>
  </si>
  <si>
    <t>FB2</t>
  </si>
  <si>
    <t>FB3</t>
  </si>
  <si>
    <t>FB4</t>
  </si>
  <si>
    <t>Pool designation in german (english)</t>
  </si>
  <si>
    <t>Sum of pools</t>
  </si>
  <si>
    <t>[m²]</t>
  </si>
  <si>
    <t>[m]</t>
  </si>
  <si>
    <t>Water volume</t>
  </si>
  <si>
    <t>[m³]</t>
  </si>
  <si>
    <t>Perimeter pool</t>
  </si>
  <si>
    <r>
      <t xml:space="preserve">Pool floor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</si>
  <si>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floor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</si>
  <si>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</si>
  <si>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</si>
  <si>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t>Pool temperature</t>
  </si>
  <si>
    <t>[K]</t>
  </si>
  <si>
    <t>Filter rinses per week</t>
  </si>
  <si>
    <t>[per week]</t>
  </si>
  <si>
    <t>Filter type</t>
  </si>
  <si>
    <t>string</t>
  </si>
  <si>
    <t>Filter combination</t>
  </si>
  <si>
    <t>Water type</t>
  </si>
  <si>
    <t>Heat recovery rinsing wastewater</t>
  </si>
  <si>
    <t xml:space="preserve">boolean </t>
  </si>
  <si>
    <t>Heat recovery rate rinsing wastewater</t>
  </si>
  <si>
    <t>Wastewater treatment</t>
  </si>
  <si>
    <t>boolean</t>
  </si>
  <si>
    <t>Wastewater treatment rate</t>
  </si>
  <si>
    <t>float</t>
  </si>
  <si>
    <t>Night setback</t>
  </si>
  <si>
    <t>Volume flow wastewater treatment night</t>
  </si>
  <si>
    <t>Visitor number per hour</t>
  </si>
  <si>
    <t>[per hour]</t>
  </si>
  <si>
    <t>Pool covering outside operating hours</t>
  </si>
  <si>
    <t>Operation of artificial waves</t>
  </si>
  <si>
    <t>Wave height</t>
  </si>
  <si>
    <t>Wave width</t>
  </si>
  <si>
    <t>Interval wave operation</t>
  </si>
  <si>
    <t>[sec]</t>
  </si>
  <si>
    <t>Share of wave operation</t>
  </si>
  <si>
    <t>[%]</t>
  </si>
  <si>
    <t>Construction of pool wall</t>
  </si>
  <si>
    <t xml:space="preserve">string </t>
  </si>
  <si>
    <t>Building Envelope Structures in Swimming Pools</t>
  </si>
  <si>
    <t>name</t>
  </si>
  <si>
    <t>g-value</t>
  </si>
  <si>
    <t>a_conv</t>
  </si>
  <si>
    <t>thickness</t>
  </si>
  <si>
    <t>material_id</t>
  </si>
  <si>
    <t>density</t>
  </si>
  <si>
    <t>[cm]</t>
  </si>
  <si>
    <t>[W/mK]</t>
  </si>
  <si>
    <r>
      <t>[kg/m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]</t>
    </r>
  </si>
  <si>
    <t>[kJ/kgK]</t>
  </si>
  <si>
    <t>OuterWall</t>
  </si>
  <si>
    <t>2497c138-3a43-11e7-9e0f-2cd444b2e704</t>
  </si>
  <si>
    <t>InnerWall</t>
  </si>
  <si>
    <t>27068cc0-3a43-11e7-bc9e-2cd444b2e704</t>
  </si>
  <si>
    <t>35d01e70-3a43-11e7-a6cf-2cd444b2e704</t>
  </si>
  <si>
    <t>Rooftop</t>
  </si>
  <si>
    <t>6c217f5c-3a43-11e7-8fc5-2cd444b2e704</t>
  </si>
  <si>
    <t>GroundFloor</t>
  </si>
  <si>
    <t>6755e6e6-3a43-11e7-adad-2cd444b2e704</t>
  </si>
  <si>
    <t>2603ea80-3a43-11e7-882b-2cd444b2e704</t>
  </si>
  <si>
    <t>Floor</t>
  </si>
  <si>
    <t>Ceiling</t>
  </si>
  <si>
    <t>Window</t>
  </si>
  <si>
    <t>0abbb1a2-83ff-11e6-946a-2cd444b2e704</t>
  </si>
  <si>
    <t>Water area</t>
  </si>
  <si>
    <t>false</t>
  </si>
  <si>
    <t>Reinforced concrete</t>
  </si>
  <si>
    <t>Mehrzweckbecken</t>
  </si>
  <si>
    <t>Springerbecken</t>
  </si>
  <si>
    <t>Freiformbecken1</t>
  </si>
  <si>
    <t>Freiformbecken2</t>
  </si>
  <si>
    <t>Freiformbecken3</t>
  </si>
  <si>
    <t>Freiformbecken4</t>
  </si>
  <si>
    <t>XPS_30</t>
  </si>
  <si>
    <t>Beton</t>
  </si>
  <si>
    <t>Stahl</t>
  </si>
  <si>
    <t>[-]</t>
  </si>
  <si>
    <t>layer
(from inside
to outside)</t>
  </si>
  <si>
    <t>thermal 
conductivity</t>
  </si>
  <si>
    <t>heat
capacity</t>
  </si>
  <si>
    <t>material name</t>
  </si>
  <si>
    <t>material designation</t>
  </si>
  <si>
    <t>Average pool depth</t>
  </si>
  <si>
    <t>int</t>
  </si>
  <si>
    <t>Pressure loss heat exchanger</t>
  </si>
  <si>
    <t xml:space="preserve">true </t>
  </si>
  <si>
    <t>Dämmung</t>
  </si>
  <si>
    <t>Putz</t>
  </si>
  <si>
    <t>25f82c80-3a43-11e7-87af-2cd444b2e704</t>
  </si>
  <si>
    <t>2450d810-3a43-11e7-acc4-2cd444b2e704</t>
  </si>
  <si>
    <t>36734a3e-3a43-11e7-962d-2cd444b2e704</t>
  </si>
  <si>
    <t>bituminized_felt_2</t>
  </si>
  <si>
    <t>24ce8040-3a43-11e7-9beb-2cd444b2e704</t>
  </si>
  <si>
    <t>39c59c0c-3a43-11e7-ac33-2cd444b2e704</t>
  </si>
  <si>
    <t>Estricht</t>
  </si>
  <si>
    <t>polyethylene_foil_2</t>
  </si>
  <si>
    <t>without ozone</t>
  </si>
  <si>
    <t>Open suction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</si>
</sst>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9" x14ac:knownFonts="1"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color rgb="FF1F497D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color theme="0" tint="-4.9989318521683403E-2"/>
      <name val="Century Gothic"/>
      <family val="2"/>
    </font>
    <font>
      <sz val="11"/>
      <color rgb="FF000000"/>
      <name val="Century Gothic"/>
      <family val="2"/>
    </font>
    <font>
      <sz val="16"/>
      <color theme="1"/>
      <name val="Calibri"/>
      <family val="2"/>
      <scheme val="minor"/>
    </font>
    <font>
      <u/>
      <sz val="11"/>
      <color indexed="56"/>
      <name val="Century Gothic"/>
      <family val="2"/>
    </font>
    <font>
      <sz val="11"/>
      <color indexed="56"/>
      <name val="Century Gothic"/>
      <family val="2"/>
    </font>
    <font>
      <sz val="16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theme="0" tint="-0.249977111117893"/>
      <name val="Century Gothic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theme="0" tint="-0.34998626667073579"/>
      </bottom>
      <diagonal/>
    </border>
  </borders>
  <cellStyleXfs count="2">
    <xf numFmtId="0" fontId="0" fillId="0" borderId="0"/>
    <xf numFmtId="0" fontId="13" fillId="0" borderId="0" applyBorder="0"/>
  </cellStyleXfs>
  <cellXfs count="16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164" fontId="3" fillId="0" borderId="20" xfId="0" applyNumberFormat="1" applyFont="1" applyBorder="1" applyAlignment="1">
      <alignment horizontal="center" vertical="center" wrapText="1"/>
    </xf>
    <xf numFmtId="164" fontId="3" fillId="0" borderId="21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64" fontId="3" fillId="0" borderId="23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5" fillId="0" borderId="28" xfId="0" applyNumberFormat="1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 wrapText="1"/>
    </xf>
    <xf numFmtId="164" fontId="5" fillId="0" borderId="31" xfId="0" applyNumberFormat="1" applyFont="1" applyBorder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" fillId="0" borderId="27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164" fontId="5" fillId="2" borderId="9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5" fillId="0" borderId="6" xfId="0" applyNumberFormat="1" applyFont="1" applyBorder="1" applyAlignment="1">
      <alignment horizontal="center" vertical="center"/>
    </xf>
    <xf numFmtId="164" fontId="8" fillId="0" borderId="3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5" fillId="0" borderId="14" xfId="0" applyFont="1" applyBorder="1" applyAlignment="1">
      <alignment horizontal="center" vertical="center" wrapText="1"/>
    </xf>
    <xf numFmtId="1" fontId="5" fillId="0" borderId="6" xfId="0" applyNumberFormat="1" applyFont="1" applyBorder="1" applyAlignment="1">
      <alignment horizontal="center" vertical="center"/>
    </xf>
    <xf numFmtId="1" fontId="8" fillId="0" borderId="34" xfId="0" applyNumberFormat="1" applyFont="1" applyBorder="1" applyAlignment="1">
      <alignment horizontal="center" vertical="center"/>
    </xf>
    <xf numFmtId="0" fontId="13" fillId="0" borderId="0" xfId="1"/>
    <xf numFmtId="0" fontId="14" fillId="0" borderId="0" xfId="1" applyFont="1" applyBorder="1" applyAlignment="1">
      <alignment vertical="top" wrapText="1"/>
    </xf>
    <xf numFmtId="0" fontId="14" fillId="0" borderId="0" xfId="1" applyFont="1" applyBorder="1" applyAlignment="1">
      <alignment horizontal="left" vertical="top" wrapText="1"/>
    </xf>
    <xf numFmtId="0" fontId="14" fillId="0" borderId="1" xfId="1" applyFont="1" applyBorder="1" applyAlignment="1">
      <alignment horizontal="left" vertical="center"/>
    </xf>
    <xf numFmtId="0" fontId="13" fillId="0" borderId="0" xfId="1" applyBorder="1" applyAlignment="1">
      <alignment horizontal="left" vertical="center" wrapText="1"/>
    </xf>
    <xf numFmtId="2" fontId="13" fillId="0" borderId="0" xfId="1" applyNumberFormat="1" applyAlignment="1">
      <alignment horizontal="left" vertical="center"/>
    </xf>
    <xf numFmtId="2" fontId="13" fillId="0" borderId="13" xfId="1" applyNumberFormat="1" applyBorder="1" applyAlignment="1">
      <alignment horizontal="left" vertical="center"/>
    </xf>
    <xf numFmtId="2" fontId="13" fillId="0" borderId="0" xfId="1" applyNumberFormat="1" applyBorder="1" applyAlignment="1">
      <alignment horizontal="left" vertical="center"/>
    </xf>
    <xf numFmtId="0" fontId="13" fillId="0" borderId="8" xfId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 wrapText="1"/>
    </xf>
    <xf numFmtId="0" fontId="13" fillId="0" borderId="13" xfId="1" applyBorder="1" applyAlignment="1">
      <alignment horizontal="left" vertical="center"/>
    </xf>
    <xf numFmtId="0" fontId="13" fillId="0" borderId="0" xfId="1" applyBorder="1" applyAlignment="1">
      <alignment horizontal="left" vertical="center"/>
    </xf>
    <xf numFmtId="0" fontId="13" fillId="0" borderId="4" xfId="1" applyBorder="1" applyAlignment="1">
      <alignment horizontal="left" vertical="center"/>
    </xf>
    <xf numFmtId="0" fontId="13" fillId="0" borderId="0" xfId="1" applyAlignment="1">
      <alignment horizontal="left" vertical="center"/>
    </xf>
    <xf numFmtId="0" fontId="13" fillId="0" borderId="0" xfId="1" applyAlignment="1">
      <alignment vertical="top" wrapText="1"/>
    </xf>
    <xf numFmtId="0" fontId="14" fillId="0" borderId="4" xfId="1" applyFont="1" applyBorder="1" applyAlignment="1">
      <alignment horizontal="left" vertical="center" wrapText="1"/>
    </xf>
    <xf numFmtId="0" fontId="13" fillId="0" borderId="30" xfId="1" applyBorder="1" applyAlignment="1">
      <alignment horizontal="left" vertical="center"/>
    </xf>
    <xf numFmtId="0" fontId="3" fillId="0" borderId="35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13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4" fillId="0" borderId="1" xfId="1" applyFont="1" applyBorder="1" applyAlignment="1">
      <alignment vertical="top" wrapText="1"/>
    </xf>
    <xf numFmtId="165" fontId="13" fillId="0" borderId="0" xfId="1" applyNumberFormat="1" applyBorder="1" applyAlignment="1">
      <alignment horizontal="left" vertical="center" wrapText="1"/>
    </xf>
    <xf numFmtId="165" fontId="13" fillId="0" borderId="0" xfId="1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13" fillId="0" borderId="4" xfId="1" applyNumberFormat="1" applyBorder="1" applyAlignment="1">
      <alignment horizontal="left" vertical="center"/>
    </xf>
    <xf numFmtId="165" fontId="13" fillId="0" borderId="13" xfId="1" applyNumberFormat="1" applyBorder="1" applyAlignment="1">
      <alignment horizontal="left" vertical="center"/>
    </xf>
    <xf numFmtId="165" fontId="13" fillId="0" borderId="0" xfId="1" applyNumberFormat="1" applyBorder="1" applyAlignment="1">
      <alignment horizontal="left" vertical="center"/>
    </xf>
    <xf numFmtId="165" fontId="0" fillId="0" borderId="8" xfId="0" applyNumberFormat="1" applyBorder="1" applyAlignment="1">
      <alignment horizontal="left" vertical="center"/>
    </xf>
    <xf numFmtId="165" fontId="13" fillId="0" borderId="8" xfId="1" applyNumberFormat="1" applyBorder="1" applyAlignment="1">
      <alignment horizontal="left" vertical="center"/>
    </xf>
    <xf numFmtId="0" fontId="14" fillId="0" borderId="8" xfId="1" applyFont="1" applyBorder="1" applyAlignment="1">
      <alignment horizontal="left" vertical="center" wrapText="1"/>
    </xf>
    <xf numFmtId="0" fontId="13" fillId="0" borderId="8" xfId="1" applyFont="1" applyBorder="1" applyAlignment="1">
      <alignment horizontal="left" vertical="center" wrapText="1"/>
    </xf>
    <xf numFmtId="2" fontId="5" fillId="0" borderId="34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8" fillId="0" borderId="3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13" fillId="0" borderId="8" xfId="1" applyFill="1" applyBorder="1" applyAlignment="1">
      <alignment horizontal="left" vertical="center"/>
    </xf>
    <xf numFmtId="0" fontId="3" fillId="0" borderId="38" xfId="0" applyFont="1" applyBorder="1" applyAlignment="1">
      <alignment horizontal="center" vertical="center" wrapText="1"/>
    </xf>
    <xf numFmtId="1" fontId="5" fillId="0" borderId="39" xfId="0" applyNumberFormat="1" applyFont="1" applyBorder="1" applyAlignment="1">
      <alignment horizontal="center" vertical="center"/>
    </xf>
    <xf numFmtId="164" fontId="5" fillId="0" borderId="39" xfId="0" applyNumberFormat="1" applyFont="1" applyFill="1" applyBorder="1" applyAlignment="1">
      <alignment horizontal="center" vertical="center"/>
    </xf>
    <xf numFmtId="164" fontId="16" fillId="2" borderId="20" xfId="0" applyNumberFormat="1" applyFont="1" applyFill="1" applyBorder="1" applyAlignment="1">
      <alignment horizontal="center" vertical="center" wrapText="1"/>
    </xf>
    <xf numFmtId="164" fontId="16" fillId="2" borderId="39" xfId="0" applyNumberFormat="1" applyFont="1" applyFill="1" applyBorder="1" applyAlignment="1">
      <alignment horizontal="center" vertical="center"/>
    </xf>
    <xf numFmtId="164" fontId="5" fillId="0" borderId="40" xfId="0" applyNumberFormat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164" fontId="6" fillId="0" borderId="8" xfId="0" applyNumberFormat="1" applyFont="1" applyFill="1" applyBorder="1" applyAlignment="1">
      <alignment horizontal="center" vertical="center" wrapText="1"/>
    </xf>
    <xf numFmtId="1" fontId="5" fillId="0" borderId="22" xfId="0" applyNumberFormat="1" applyFont="1" applyBorder="1" applyAlignment="1">
      <alignment horizontal="center" vertical="center"/>
    </xf>
    <xf numFmtId="164" fontId="16" fillId="2" borderId="21" xfId="0" applyNumberFormat="1" applyFont="1" applyFill="1" applyBorder="1" applyAlignment="1">
      <alignment horizontal="center" vertical="center" wrapText="1"/>
    </xf>
    <xf numFmtId="164" fontId="16" fillId="2" borderId="22" xfId="0" applyNumberFormat="1" applyFont="1" applyFill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 wrapText="1"/>
    </xf>
    <xf numFmtId="1" fontId="5" fillId="0" borderId="43" xfId="0" applyNumberFormat="1" applyFont="1" applyBorder="1" applyAlignment="1">
      <alignment horizontal="center" vertical="center"/>
    </xf>
    <xf numFmtId="1" fontId="5" fillId="0" borderId="44" xfId="0" applyNumberFormat="1" applyFont="1" applyBorder="1" applyAlignment="1">
      <alignment horizontal="center" vertical="center"/>
    </xf>
    <xf numFmtId="164" fontId="5" fillId="0" borderId="44" xfId="0" applyNumberFormat="1" applyFont="1" applyFill="1" applyBorder="1" applyAlignment="1">
      <alignment horizontal="center" vertical="center"/>
    </xf>
    <xf numFmtId="164" fontId="16" fillId="2" borderId="23" xfId="0" applyNumberFormat="1" applyFont="1" applyFill="1" applyBorder="1" applyAlignment="1">
      <alignment horizontal="center" vertical="center" wrapText="1"/>
    </xf>
    <xf numFmtId="164" fontId="16" fillId="2" borderId="44" xfId="0" applyNumberFormat="1" applyFont="1" applyFill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1" fontId="5" fillId="0" borderId="15" xfId="0" applyNumberFormat="1" applyFont="1" applyBorder="1" applyAlignment="1">
      <alignment horizontal="center" vertical="center"/>
    </xf>
    <xf numFmtId="164" fontId="3" fillId="0" borderId="46" xfId="0" applyNumberFormat="1" applyFont="1" applyBorder="1" applyAlignment="1">
      <alignment horizontal="center" vertical="center" wrapText="1"/>
    </xf>
    <xf numFmtId="164" fontId="5" fillId="0" borderId="15" xfId="0" applyNumberFormat="1" applyFont="1" applyFill="1" applyBorder="1" applyAlignment="1">
      <alignment horizontal="center" vertical="center"/>
    </xf>
    <xf numFmtId="164" fontId="16" fillId="2" borderId="25" xfId="0" applyNumberFormat="1" applyFont="1" applyFill="1" applyBorder="1" applyAlignment="1">
      <alignment horizontal="center" vertical="center" wrapText="1"/>
    </xf>
    <xf numFmtId="164" fontId="16" fillId="2" borderId="47" xfId="0" applyNumberFormat="1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/>
    </xf>
    <xf numFmtId="164" fontId="5" fillId="0" borderId="22" xfId="0" applyNumberFormat="1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 wrapText="1"/>
    </xf>
    <xf numFmtId="164" fontId="5" fillId="0" borderId="28" xfId="0" applyNumberFormat="1" applyFont="1" applyFill="1" applyBorder="1" applyAlignment="1">
      <alignment horizontal="center" vertical="center"/>
    </xf>
    <xf numFmtId="164" fontId="3" fillId="0" borderId="27" xfId="0" applyNumberFormat="1" applyFont="1" applyFill="1" applyBorder="1" applyAlignment="1">
      <alignment horizontal="center" vertical="center" wrapText="1"/>
    </xf>
    <xf numFmtId="164" fontId="5" fillId="0" borderId="29" xfId="0" applyNumberFormat="1" applyFont="1" applyFill="1" applyBorder="1" applyAlignment="1">
      <alignment horizontal="center"/>
    </xf>
    <xf numFmtId="164" fontId="5" fillId="3" borderId="28" xfId="0" applyNumberFormat="1" applyFont="1" applyFill="1" applyBorder="1" applyAlignment="1">
      <alignment horizontal="center" vertical="center" wrapText="1"/>
    </xf>
    <xf numFmtId="164" fontId="5" fillId="0" borderId="29" xfId="0" applyNumberFormat="1" applyFont="1" applyBorder="1" applyAlignment="1">
      <alignment horizontal="center"/>
    </xf>
    <xf numFmtId="164" fontId="7" fillId="2" borderId="29" xfId="0" applyNumberFormat="1" applyFont="1" applyFill="1" applyBorder="1" applyAlignment="1">
      <alignment horizontal="center"/>
    </xf>
    <xf numFmtId="164" fontId="7" fillId="2" borderId="28" xfId="0" applyNumberFormat="1" applyFont="1" applyFill="1" applyBorder="1" applyAlignment="1">
      <alignment horizontal="center"/>
    </xf>
    <xf numFmtId="164" fontId="5" fillId="0" borderId="27" xfId="0" applyNumberFormat="1" applyFont="1" applyBorder="1" applyAlignment="1">
      <alignment horizontal="center"/>
    </xf>
    <xf numFmtId="1" fontId="5" fillId="0" borderId="27" xfId="0" applyNumberFormat="1" applyFont="1" applyBorder="1" applyAlignment="1">
      <alignment horizontal="center" vertical="center"/>
    </xf>
    <xf numFmtId="164" fontId="5" fillId="3" borderId="27" xfId="0" applyNumberFormat="1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 wrapText="1"/>
    </xf>
    <xf numFmtId="164" fontId="5" fillId="0" borderId="31" xfId="0" applyNumberFormat="1" applyFont="1" applyFill="1" applyBorder="1" applyAlignment="1">
      <alignment horizontal="center" vertical="center"/>
    </xf>
    <xf numFmtId="164" fontId="3" fillId="0" borderId="30" xfId="0" applyNumberFormat="1" applyFont="1" applyFill="1" applyBorder="1" applyAlignment="1">
      <alignment horizontal="center" vertical="center" wrapText="1"/>
    </xf>
    <xf numFmtId="164" fontId="5" fillId="0" borderId="51" xfId="0" applyNumberFormat="1" applyFont="1" applyFill="1" applyBorder="1" applyAlignment="1">
      <alignment horizontal="center"/>
    </xf>
    <xf numFmtId="164" fontId="5" fillId="0" borderId="30" xfId="0" applyNumberFormat="1" applyFont="1" applyFill="1" applyBorder="1" applyAlignment="1">
      <alignment horizontal="center"/>
    </xf>
    <xf numFmtId="164" fontId="5" fillId="3" borderId="30" xfId="0" applyNumberFormat="1" applyFont="1" applyFill="1" applyBorder="1" applyAlignment="1">
      <alignment horizontal="center" vertical="center"/>
    </xf>
    <xf numFmtId="164" fontId="5" fillId="3" borderId="31" xfId="0" applyNumberFormat="1" applyFont="1" applyFill="1" applyBorder="1" applyAlignment="1">
      <alignment horizontal="center" vertical="center"/>
    </xf>
    <xf numFmtId="164" fontId="7" fillId="2" borderId="31" xfId="0" applyNumberFormat="1" applyFont="1" applyFill="1" applyBorder="1" applyAlignment="1">
      <alignment horizontal="center"/>
    </xf>
    <xf numFmtId="164" fontId="5" fillId="0" borderId="30" xfId="0" applyNumberFormat="1" applyFont="1" applyFill="1" applyBorder="1" applyAlignment="1">
      <alignment horizontal="center" vertical="center"/>
    </xf>
    <xf numFmtId="0" fontId="3" fillId="0" borderId="50" xfId="0" applyFont="1" applyBorder="1" applyAlignment="1">
      <alignment horizontal="center" vertical="center" wrapText="1"/>
    </xf>
    <xf numFmtId="164" fontId="5" fillId="0" borderId="51" xfId="0" applyNumberFormat="1" applyFont="1" applyBorder="1" applyAlignment="1">
      <alignment horizontal="center"/>
    </xf>
    <xf numFmtId="164" fontId="7" fillId="2" borderId="51" xfId="0" applyNumberFormat="1" applyFont="1" applyFill="1" applyBorder="1" applyAlignment="1">
      <alignment horizontal="center"/>
    </xf>
    <xf numFmtId="164" fontId="5" fillId="0" borderId="30" xfId="0" applyNumberFormat="1" applyFont="1" applyBorder="1" applyAlignment="1">
      <alignment horizontal="center"/>
    </xf>
    <xf numFmtId="164" fontId="5" fillId="0" borderId="30" xfId="0" applyNumberFormat="1" applyFont="1" applyBorder="1" applyAlignment="1">
      <alignment horizontal="center" vertical="center"/>
    </xf>
    <xf numFmtId="2" fontId="0" fillId="0" borderId="0" xfId="0" applyNumberFormat="1" applyFill="1" applyAlignment="1" applyProtection="1">
      <alignment horizontal="left"/>
    </xf>
    <xf numFmtId="2" fontId="13" fillId="0" borderId="13" xfId="1" applyNumberFormat="1" applyFill="1" applyBorder="1" applyAlignment="1">
      <alignment horizontal="left" vertical="center"/>
    </xf>
    <xf numFmtId="0" fontId="0" fillId="0" borderId="13" xfId="0" applyBorder="1"/>
    <xf numFmtId="165" fontId="13" fillId="0" borderId="0" xfId="1" applyNumberFormat="1" applyFill="1" applyBorder="1" applyAlignment="1">
      <alignment horizontal="left" vertical="center"/>
    </xf>
    <xf numFmtId="2" fontId="13" fillId="0" borderId="0" xfId="1" applyNumberFormat="1" applyFill="1" applyBorder="1" applyAlignment="1">
      <alignment horizontal="left" vertical="center"/>
    </xf>
    <xf numFmtId="0" fontId="0" fillId="0" borderId="0" xfId="0" applyFill="1"/>
    <xf numFmtId="0" fontId="17" fillId="0" borderId="0" xfId="0" applyFont="1"/>
    <xf numFmtId="2" fontId="18" fillId="0" borderId="0" xfId="1" applyNumberFormat="1" applyFont="1" applyBorder="1" applyAlignment="1">
      <alignment horizontal="left" vertical="center"/>
    </xf>
    <xf numFmtId="2" fontId="13" fillId="0" borderId="0" xfId="1" applyNumberFormat="1" applyFill="1" applyAlignment="1">
      <alignment horizontal="left"/>
    </xf>
    <xf numFmtId="2" fontId="18" fillId="0" borderId="52" xfId="1" applyNumberFormat="1" applyFont="1" applyBorder="1" applyAlignment="1">
      <alignment horizontal="left"/>
    </xf>
    <xf numFmtId="0" fontId="13" fillId="0" borderId="13" xfId="1" applyBorder="1"/>
    <xf numFmtId="0" fontId="13" fillId="0" borderId="4" xfId="1" applyBorder="1"/>
    <xf numFmtId="2" fontId="0" fillId="0" borderId="0" xfId="0" applyNumberFormat="1" applyFill="1" applyAlignment="1" applyProtection="1">
      <alignment horizontal="left" vertical="center"/>
    </xf>
    <xf numFmtId="0" fontId="13" fillId="0" borderId="8" xfId="1" applyFill="1" applyBorder="1"/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3" fillId="0" borderId="0" xfId="1" applyAlignment="1">
      <alignment vertical="top" wrapText="1"/>
    </xf>
  </cellXfs>
  <cellStyles count="2">
    <cellStyle name="Standard" xfId="0" builtinId="0"/>
    <cellStyle name="Standard 2" xfId="1"/>
  </cellStyles>
  <dxfs count="7"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Sciebo/energieeffizienz-in-b&#228;dern/A_Architektonische%20und%20bauphysikalische%20Einflussgr&#246;&#223;en%20(AP%203+4)/2020-05-26_Zone%20intera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boundary"/>
      <sheetName val="Dropdown"/>
      <sheetName val="Walls"/>
      <sheetName val="Tabelle basic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R29"/>
  <sheetViews>
    <sheetView zoomScale="55" zoomScaleNormal="55" workbookViewId="0">
      <selection activeCell="K13" sqref="K13"/>
    </sheetView>
  </sheetViews>
  <sheetFormatPr baseColWidth="10" defaultColWidth="11.42578125" defaultRowHeight="15" x14ac:dyDescent="0.25"/>
  <cols>
    <col min="1" max="1" width="28.85546875" style="21" customWidth="1"/>
    <col min="2" max="2" width="13.140625" style="22" customWidth="1"/>
    <col min="3" max="3" width="13.140625" style="1" customWidth="1"/>
    <col min="4" max="4" width="13.140625" style="22" customWidth="1"/>
    <col min="5" max="17" width="13.140625" style="1" customWidth="1"/>
    <col min="18" max="16384" width="11.42578125" style="1"/>
  </cols>
  <sheetData>
    <row r="1" spans="1:17" ht="17.25" x14ac:dyDescent="0.25">
      <c r="A1" s="152" t="s">
        <v>3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</row>
    <row r="2" spans="1:17" ht="18" thickBot="1" x14ac:dyDescent="0.3">
      <c r="A2" s="59" t="e">
        <f>#REF!</f>
        <v>#REF!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</row>
    <row r="3" spans="1:17" ht="42" customHeight="1" x14ac:dyDescent="0.25">
      <c r="A3" s="58" t="s">
        <v>4</v>
      </c>
      <c r="B3" s="154" t="s">
        <v>5</v>
      </c>
      <c r="C3" s="155"/>
      <c r="D3" s="156" t="s">
        <v>6</v>
      </c>
      <c r="E3" s="157"/>
      <c r="F3" s="158" t="s">
        <v>7</v>
      </c>
      <c r="G3" s="155"/>
      <c r="H3" s="159" t="s">
        <v>8</v>
      </c>
      <c r="I3" s="157"/>
      <c r="J3" s="158" t="s">
        <v>9</v>
      </c>
      <c r="K3" s="155"/>
      <c r="L3" s="158" t="s">
        <v>10</v>
      </c>
      <c r="M3" s="155"/>
      <c r="N3" s="158" t="s">
        <v>11</v>
      </c>
      <c r="O3" s="155"/>
      <c r="P3" s="159" t="s">
        <v>12</v>
      </c>
      <c r="Q3" s="157"/>
    </row>
    <row r="4" spans="1:17" ht="50.1" customHeight="1" thickBot="1" x14ac:dyDescent="0.3">
      <c r="A4" s="3" t="s">
        <v>13</v>
      </c>
      <c r="B4" s="166" t="s">
        <v>14</v>
      </c>
      <c r="C4" s="163"/>
      <c r="D4" s="162" t="s">
        <v>15</v>
      </c>
      <c r="E4" s="163"/>
      <c r="F4" s="162" t="s">
        <v>16</v>
      </c>
      <c r="G4" s="163"/>
      <c r="H4" s="162" t="s">
        <v>17</v>
      </c>
      <c r="I4" s="163"/>
      <c r="J4" s="160" t="s">
        <v>18</v>
      </c>
      <c r="K4" s="161"/>
      <c r="L4" s="160" t="s">
        <v>19</v>
      </c>
      <c r="M4" s="161"/>
      <c r="N4" s="160" t="s">
        <v>20</v>
      </c>
      <c r="O4" s="161"/>
      <c r="P4" s="162" t="s">
        <v>21</v>
      </c>
      <c r="Q4" s="163"/>
    </row>
    <row r="5" spans="1:17" ht="50.1" customHeight="1" thickTop="1" x14ac:dyDescent="0.25">
      <c r="A5" s="164" t="s">
        <v>22</v>
      </c>
      <c r="B5" s="80" t="s">
        <v>23</v>
      </c>
      <c r="C5" s="81">
        <v>0</v>
      </c>
      <c r="D5" s="4" t="s">
        <v>23</v>
      </c>
      <c r="E5" s="82">
        <f>31.5*3.25</f>
        <v>102.375</v>
      </c>
      <c r="F5" s="4" t="s">
        <v>23</v>
      </c>
      <c r="G5" s="81">
        <v>0</v>
      </c>
      <c r="H5" s="4" t="s">
        <v>23</v>
      </c>
      <c r="I5" s="82">
        <f>10*6.2</f>
        <v>62</v>
      </c>
      <c r="J5" s="4" t="s">
        <v>23</v>
      </c>
      <c r="K5" s="81">
        <v>0</v>
      </c>
      <c r="L5" s="83" t="s">
        <v>23</v>
      </c>
      <c r="M5" s="84"/>
      <c r="N5" s="83" t="s">
        <v>23</v>
      </c>
      <c r="O5" s="84"/>
      <c r="P5" s="4" t="s">
        <v>23</v>
      </c>
      <c r="Q5" s="85">
        <f>6.25*10</f>
        <v>62.5</v>
      </c>
    </row>
    <row r="6" spans="1:17" ht="50.1" customHeight="1" x14ac:dyDescent="0.25">
      <c r="A6" s="164"/>
      <c r="B6" s="86" t="s">
        <v>24</v>
      </c>
      <c r="C6" s="87">
        <f>29*6.5</f>
        <v>188.5</v>
      </c>
      <c r="D6" s="5" t="s">
        <v>24</v>
      </c>
      <c r="E6" s="88">
        <f>8.5*3.25</f>
        <v>27.625</v>
      </c>
      <c r="F6" s="5" t="s">
        <v>24</v>
      </c>
      <c r="G6" s="88">
        <v>0</v>
      </c>
      <c r="H6" s="5" t="s">
        <v>24</v>
      </c>
      <c r="I6" s="88">
        <v>0</v>
      </c>
      <c r="J6" s="5" t="s">
        <v>24</v>
      </c>
      <c r="K6" s="88">
        <v>0</v>
      </c>
      <c r="L6" s="89" t="s">
        <v>24</v>
      </c>
      <c r="M6" s="90"/>
      <c r="N6" s="89" t="s">
        <v>24</v>
      </c>
      <c r="O6" s="90"/>
      <c r="P6" s="5" t="s">
        <v>24</v>
      </c>
      <c r="Q6" s="91">
        <v>0</v>
      </c>
    </row>
    <row r="7" spans="1:17" ht="50.1" customHeight="1" x14ac:dyDescent="0.25">
      <c r="A7" s="164"/>
      <c r="B7" s="86" t="s">
        <v>25</v>
      </c>
      <c r="C7" s="88">
        <v>0</v>
      </c>
      <c r="D7" s="5" t="s">
        <v>25</v>
      </c>
      <c r="E7" s="88">
        <v>0</v>
      </c>
      <c r="F7" s="5" t="s">
        <v>25</v>
      </c>
      <c r="G7" s="88">
        <v>0</v>
      </c>
      <c r="H7" s="5" t="s">
        <v>25</v>
      </c>
      <c r="I7" s="88">
        <f>(15+24)*6.2+13*2</f>
        <v>267.8</v>
      </c>
      <c r="J7" s="5" t="s">
        <v>25</v>
      </c>
      <c r="K7" s="88">
        <v>0</v>
      </c>
      <c r="L7" s="89" t="s">
        <v>25</v>
      </c>
      <c r="M7" s="90"/>
      <c r="N7" s="89" t="s">
        <v>25</v>
      </c>
      <c r="O7" s="90"/>
      <c r="P7" s="5" t="s">
        <v>25</v>
      </c>
      <c r="Q7" s="91">
        <v>0</v>
      </c>
    </row>
    <row r="8" spans="1:17" ht="50.1" customHeight="1" thickBot="1" x14ac:dyDescent="0.3">
      <c r="A8" s="164"/>
      <c r="B8" s="92" t="s">
        <v>26</v>
      </c>
      <c r="C8" s="93">
        <v>0</v>
      </c>
      <c r="D8" s="7" t="s">
        <v>26</v>
      </c>
      <c r="E8" s="94">
        <v>0</v>
      </c>
      <c r="F8" s="7" t="s">
        <v>26</v>
      </c>
      <c r="G8" s="94">
        <v>0</v>
      </c>
      <c r="H8" s="7" t="s">
        <v>26</v>
      </c>
      <c r="I8" s="95">
        <f>24.88*6.2</f>
        <v>154.256</v>
      </c>
      <c r="J8" s="7" t="s">
        <v>26</v>
      </c>
      <c r="K8" s="94">
        <v>0</v>
      </c>
      <c r="L8" s="96" t="s">
        <v>26</v>
      </c>
      <c r="M8" s="97"/>
      <c r="N8" s="96" t="s">
        <v>26</v>
      </c>
      <c r="O8" s="97"/>
      <c r="P8" s="98" t="s">
        <v>26</v>
      </c>
      <c r="Q8" s="99">
        <f>6.25*5+3*3.25</f>
        <v>41</v>
      </c>
    </row>
    <row r="9" spans="1:17" ht="50.1" customHeight="1" x14ac:dyDescent="0.25">
      <c r="A9" s="164" t="s">
        <v>27</v>
      </c>
      <c r="B9" s="100" t="s">
        <v>23</v>
      </c>
      <c r="C9" s="101">
        <v>0</v>
      </c>
      <c r="D9" s="102" t="s">
        <v>23</v>
      </c>
      <c r="E9" s="101">
        <f>(2.26*1)*7</f>
        <v>15.819999999999999</v>
      </c>
      <c r="F9" s="102" t="s">
        <v>23</v>
      </c>
      <c r="G9" s="101">
        <v>0</v>
      </c>
      <c r="H9" s="102" t="s">
        <v>23</v>
      </c>
      <c r="I9" s="103">
        <f>3*6.2</f>
        <v>18.600000000000001</v>
      </c>
      <c r="J9" s="102" t="s">
        <v>23</v>
      </c>
      <c r="K9" s="101">
        <v>0</v>
      </c>
      <c r="L9" s="104" t="s">
        <v>23</v>
      </c>
      <c r="M9" s="105"/>
      <c r="N9" s="104" t="s">
        <v>23</v>
      </c>
      <c r="O9" s="105"/>
      <c r="P9" s="106" t="s">
        <v>23</v>
      </c>
      <c r="Q9" s="107">
        <f>1.51*2+2*1.51</f>
        <v>6.04</v>
      </c>
    </row>
    <row r="10" spans="1:17" ht="50.1" customHeight="1" x14ac:dyDescent="0.25">
      <c r="A10" s="164"/>
      <c r="B10" s="86" t="s">
        <v>24</v>
      </c>
      <c r="C10" s="108">
        <f>C6-(2.5*6.5)</f>
        <v>172.25</v>
      </c>
      <c r="D10" s="109" t="s">
        <v>24</v>
      </c>
      <c r="E10" s="88">
        <v>0</v>
      </c>
      <c r="F10" s="109" t="s">
        <v>24</v>
      </c>
      <c r="G10" s="88">
        <v>0</v>
      </c>
      <c r="H10" s="109" t="s">
        <v>24</v>
      </c>
      <c r="I10" s="88">
        <v>0</v>
      </c>
      <c r="J10" s="109" t="s">
        <v>24</v>
      </c>
      <c r="K10" s="88">
        <v>0</v>
      </c>
      <c r="L10" s="89" t="s">
        <v>24</v>
      </c>
      <c r="M10" s="90"/>
      <c r="N10" s="89" t="s">
        <v>24</v>
      </c>
      <c r="O10" s="90"/>
      <c r="P10" s="5" t="s">
        <v>24</v>
      </c>
      <c r="Q10" s="110">
        <v>0</v>
      </c>
    </row>
    <row r="11" spans="1:17" ht="50.1" customHeight="1" x14ac:dyDescent="0.25">
      <c r="A11" s="164"/>
      <c r="B11" s="86" t="s">
        <v>25</v>
      </c>
      <c r="C11" s="88">
        <v>0</v>
      </c>
      <c r="D11" s="109" t="s">
        <v>25</v>
      </c>
      <c r="E11" s="88">
        <v>0</v>
      </c>
      <c r="F11" s="109" t="s">
        <v>25</v>
      </c>
      <c r="G11" s="88">
        <v>0</v>
      </c>
      <c r="H11" s="109" t="s">
        <v>25</v>
      </c>
      <c r="I11" s="108">
        <f>24*6.2+15*4+13*2</f>
        <v>234.8</v>
      </c>
      <c r="J11" s="109" t="s">
        <v>25</v>
      </c>
      <c r="K11" s="88">
        <v>0</v>
      </c>
      <c r="L11" s="89" t="s">
        <v>25</v>
      </c>
      <c r="M11" s="90"/>
      <c r="N11" s="89" t="s">
        <v>25</v>
      </c>
      <c r="O11" s="90"/>
      <c r="P11" s="5" t="s">
        <v>25</v>
      </c>
      <c r="Q11" s="110">
        <v>0</v>
      </c>
    </row>
    <row r="12" spans="1:17" ht="50.1" customHeight="1" thickBot="1" x14ac:dyDescent="0.3">
      <c r="A12" s="164"/>
      <c r="B12" s="111" t="s">
        <v>26</v>
      </c>
      <c r="C12" s="94">
        <v>0</v>
      </c>
      <c r="D12" s="8" t="s">
        <v>26</v>
      </c>
      <c r="E12" s="94">
        <v>0</v>
      </c>
      <c r="F12" s="8" t="s">
        <v>26</v>
      </c>
      <c r="G12" s="94">
        <v>0</v>
      </c>
      <c r="H12" s="8" t="s">
        <v>26</v>
      </c>
      <c r="I12" s="94">
        <f>24.88*6.2</f>
        <v>154.256</v>
      </c>
      <c r="J12" s="8" t="s">
        <v>26</v>
      </c>
      <c r="K12" s="94">
        <v>0</v>
      </c>
      <c r="L12" s="96" t="s">
        <v>26</v>
      </c>
      <c r="M12" s="97"/>
      <c r="N12" s="96" t="s">
        <v>26</v>
      </c>
      <c r="O12" s="97"/>
      <c r="P12" s="7" t="s">
        <v>26</v>
      </c>
      <c r="Q12" s="112">
        <f>2.16*2*2</f>
        <v>8.64</v>
      </c>
    </row>
    <row r="13" spans="1:17" ht="69.95" customHeight="1" thickBot="1" x14ac:dyDescent="0.35">
      <c r="A13" s="3" t="s">
        <v>28</v>
      </c>
      <c r="B13" s="113"/>
      <c r="C13" s="114">
        <f>29*8.5</f>
        <v>246.5</v>
      </c>
      <c r="D13" s="115"/>
      <c r="E13" s="114">
        <f>8.5*31.5</f>
        <v>267.75</v>
      </c>
      <c r="F13" s="116"/>
      <c r="G13" s="117">
        <f>8*31.5</f>
        <v>252</v>
      </c>
      <c r="H13" s="118"/>
      <c r="I13" s="114">
        <f>53*25</f>
        <v>1325</v>
      </c>
      <c r="J13" s="118"/>
      <c r="K13" s="114">
        <v>0</v>
      </c>
      <c r="L13" s="119"/>
      <c r="M13" s="120"/>
      <c r="N13" s="119"/>
      <c r="O13" s="120"/>
      <c r="P13" s="121"/>
      <c r="Q13" s="122">
        <f>8*17.2</f>
        <v>137.6</v>
      </c>
    </row>
    <row r="14" spans="1:17" ht="69.95" customHeight="1" thickBot="1" x14ac:dyDescent="0.35">
      <c r="A14" s="3" t="s">
        <v>29</v>
      </c>
      <c r="B14" s="113"/>
      <c r="C14" s="9">
        <f>29*8.5</f>
        <v>246.5</v>
      </c>
      <c r="D14" s="10"/>
      <c r="E14" s="114">
        <f>8.5*31.5</f>
        <v>267.75</v>
      </c>
      <c r="F14" s="118"/>
      <c r="G14" s="9">
        <f>8*31.5</f>
        <v>252</v>
      </c>
      <c r="H14" s="118"/>
      <c r="I14" s="9">
        <f>1325-(12.5*10+9.26*25+25*16.66)</f>
        <v>552</v>
      </c>
      <c r="J14" s="118"/>
      <c r="K14" s="9">
        <v>0</v>
      </c>
      <c r="L14" s="119"/>
      <c r="M14" s="120"/>
      <c r="N14" s="119"/>
      <c r="O14" s="120"/>
      <c r="P14" s="121"/>
      <c r="Q14" s="123">
        <f>17.2*8+9.26*25+2.23*(25+9.26+9.26)</f>
        <v>466.14960000000002</v>
      </c>
    </row>
    <row r="15" spans="1:17" ht="69.95" customHeight="1" thickBot="1" x14ac:dyDescent="0.35">
      <c r="A15" s="49" t="s">
        <v>30</v>
      </c>
      <c r="B15" s="124"/>
      <c r="C15" s="125">
        <f>6.2*((C16/8.51)*0.5+8.51*0.5+8.51) + 6.2*(3.885+5.165)</f>
        <v>135.25300000000001</v>
      </c>
      <c r="D15" s="126"/>
      <c r="E15" s="125">
        <f>(31.5*0.5+8.5)*3.25</f>
        <v>78.8125</v>
      </c>
      <c r="F15" s="127"/>
      <c r="G15" s="125">
        <f>3.25*(31.5+8+8+(7*8)+(2*8))</f>
        <v>388.375</v>
      </c>
      <c r="H15" s="127"/>
      <c r="I15" s="125">
        <f>6.2*(25*0.5+43*0.5+14)</f>
        <v>297.60000000000002</v>
      </c>
      <c r="J15" s="127"/>
      <c r="K15" s="125">
        <f>(21.2/2)*4*3.25</f>
        <v>137.79999999999998</v>
      </c>
      <c r="L15" s="119"/>
      <c r="M15" s="120"/>
      <c r="N15" s="119"/>
      <c r="O15" s="120"/>
      <c r="P15" s="128"/>
      <c r="Q15" s="129">
        <f>0.5*16.66*2.23+(25-16.66)*2.23+17.2*6.25+8*6.25*2</f>
        <v>244.67410000000001</v>
      </c>
    </row>
    <row r="16" spans="1:17" ht="69.95" customHeight="1" thickBot="1" x14ac:dyDescent="0.35">
      <c r="A16" s="49" t="s">
        <v>31</v>
      </c>
      <c r="B16" s="124"/>
      <c r="C16" s="125">
        <v>0</v>
      </c>
      <c r="D16" s="126"/>
      <c r="E16" s="125">
        <v>0</v>
      </c>
      <c r="F16" s="127"/>
      <c r="G16" s="130">
        <f>8*31.5</f>
        <v>252</v>
      </c>
      <c r="H16" s="127"/>
      <c r="I16" s="125">
        <v>0</v>
      </c>
      <c r="J16" s="127"/>
      <c r="K16" s="125">
        <f>11.79+9.41</f>
        <v>21.2</v>
      </c>
      <c r="L16" s="119"/>
      <c r="M16" s="120"/>
      <c r="N16" s="119"/>
      <c r="O16" s="131"/>
      <c r="P16" s="128"/>
      <c r="Q16" s="132">
        <f>25*9.26</f>
        <v>231.5</v>
      </c>
    </row>
    <row r="17" spans="1:18" ht="69.95" customHeight="1" thickBot="1" x14ac:dyDescent="0.35">
      <c r="A17" s="3" t="s">
        <v>32</v>
      </c>
      <c r="B17" s="133"/>
      <c r="C17" s="11">
        <v>0</v>
      </c>
      <c r="D17" s="12"/>
      <c r="E17" s="125">
        <v>0</v>
      </c>
      <c r="F17" s="134"/>
      <c r="G17" s="11">
        <v>0</v>
      </c>
      <c r="H17" s="134"/>
      <c r="I17" s="130">
        <f>9.26*25</f>
        <v>231.5</v>
      </c>
      <c r="J17" s="134"/>
      <c r="K17" s="125">
        <f>11.79+9.41</f>
        <v>21.2</v>
      </c>
      <c r="L17" s="135"/>
      <c r="M17" s="131"/>
      <c r="N17" s="135"/>
      <c r="O17" s="131"/>
      <c r="P17" s="136"/>
      <c r="Q17" s="137">
        <v>0</v>
      </c>
      <c r="R17" s="13"/>
    </row>
    <row r="18" spans="1:18" ht="69.95" customHeight="1" thickBot="1" x14ac:dyDescent="0.35">
      <c r="A18" s="3" t="s">
        <v>33</v>
      </c>
      <c r="B18" s="113"/>
      <c r="C18" s="9">
        <f>29*8.5</f>
        <v>246.5</v>
      </c>
      <c r="D18" s="10"/>
      <c r="E18" s="114">
        <f>8.5*31.5</f>
        <v>267.75</v>
      </c>
      <c r="F18" s="118"/>
      <c r="G18" s="9">
        <f>8*31.5</f>
        <v>252</v>
      </c>
      <c r="H18" s="118"/>
      <c r="I18" s="114">
        <f>53*25</f>
        <v>1325</v>
      </c>
      <c r="J18" s="118"/>
      <c r="K18" s="114">
        <f>11.79+9.41</f>
        <v>21.2</v>
      </c>
      <c r="L18" s="119"/>
      <c r="M18" s="120"/>
      <c r="N18" s="119"/>
      <c r="O18" s="120"/>
      <c r="P18" s="121"/>
      <c r="Q18" s="14">
        <f>8*17.2+9.26*25</f>
        <v>369.1</v>
      </c>
    </row>
    <row r="19" spans="1:18" ht="69.95" customHeight="1" thickBot="1" x14ac:dyDescent="0.35">
      <c r="A19" s="57" t="s">
        <v>34</v>
      </c>
      <c r="B19" s="133"/>
      <c r="C19" s="125">
        <v>1528.3</v>
      </c>
      <c r="D19" s="12"/>
      <c r="E19" s="125">
        <v>963.9</v>
      </c>
      <c r="F19" s="134"/>
      <c r="G19" s="125">
        <v>819</v>
      </c>
      <c r="H19" s="134"/>
      <c r="I19" s="125">
        <v>8215</v>
      </c>
      <c r="J19" s="134"/>
      <c r="K19" s="125">
        <v>68.899999999999991</v>
      </c>
      <c r="L19" s="135"/>
      <c r="M19" s="131"/>
      <c r="N19" s="135"/>
      <c r="O19" s="131"/>
      <c r="P19" s="136"/>
      <c r="Q19" s="137">
        <v>1251.5450000000001</v>
      </c>
      <c r="R19" s="13"/>
    </row>
    <row r="20" spans="1:18" ht="58.9" customHeight="1" x14ac:dyDescent="0.3">
      <c r="A20" s="15"/>
      <c r="B20" s="15"/>
      <c r="C20" s="16"/>
      <c r="D20" s="15"/>
      <c r="E20" s="16"/>
      <c r="F20" s="17"/>
      <c r="G20" s="16"/>
      <c r="H20" s="17"/>
      <c r="I20" s="16"/>
      <c r="J20" s="17"/>
      <c r="K20" s="16"/>
      <c r="L20" s="18"/>
      <c r="M20" s="18"/>
      <c r="N20" s="18"/>
      <c r="O20" s="18"/>
      <c r="P20" s="17"/>
      <c r="Q20" s="16"/>
      <c r="R20" s="13"/>
    </row>
    <row r="21" spans="1:18" ht="54.6" customHeigh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6"/>
      <c r="R21" s="13"/>
    </row>
    <row r="22" spans="1:18" ht="57.6" customHeight="1" x14ac:dyDescent="0.25">
      <c r="A22" s="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16"/>
      <c r="R22" s="13"/>
    </row>
    <row r="23" spans="1:18" ht="57.6" customHeight="1" x14ac:dyDescent="0.25">
      <c r="A23" s="2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16"/>
    </row>
    <row r="24" spans="1:18" ht="53.45" customHeight="1" x14ac:dyDescent="0.25">
      <c r="A24" s="2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16"/>
    </row>
    <row r="25" spans="1:18" ht="43.9" customHeight="1" x14ac:dyDescent="0.25"/>
    <row r="26" spans="1:18" ht="43.9" customHeight="1" x14ac:dyDescent="0.25">
      <c r="R26" s="165"/>
    </row>
    <row r="27" spans="1:18" ht="46.9" customHeight="1" x14ac:dyDescent="0.25">
      <c r="R27" s="165"/>
    </row>
    <row r="28" spans="1:18" ht="44.45" customHeight="1" x14ac:dyDescent="0.25"/>
    <row r="29" spans="1:18" ht="46.9" customHeight="1" x14ac:dyDescent="0.25"/>
  </sheetData>
  <mergeCells count="20">
    <mergeCell ref="N4:O4"/>
    <mergeCell ref="P4:Q4"/>
    <mergeCell ref="A5:A8"/>
    <mergeCell ref="A9:A12"/>
    <mergeCell ref="R26:R27"/>
    <mergeCell ref="B4:C4"/>
    <mergeCell ref="D4:E4"/>
    <mergeCell ref="F4:G4"/>
    <mergeCell ref="H4:I4"/>
    <mergeCell ref="J4:K4"/>
    <mergeCell ref="L4:M4"/>
    <mergeCell ref="A1:Q1"/>
    <mergeCell ref="B3:C3"/>
    <mergeCell ref="D3:E3"/>
    <mergeCell ref="F3:G3"/>
    <mergeCell ref="H3:I3"/>
    <mergeCell ref="J3:K3"/>
    <mergeCell ref="L3:M3"/>
    <mergeCell ref="N3:O3"/>
    <mergeCell ref="P3:Q3"/>
  </mergeCells>
  <conditionalFormatting sqref="B22">
    <cfRule type="cellIs" dxfId="6" priority="4" operator="equal">
      <formula>TRUE</formula>
    </cfRule>
  </conditionalFormatting>
  <conditionalFormatting sqref="C23">
    <cfRule type="cellIs" dxfId="5" priority="3" operator="equal">
      <formula>TRUE</formula>
    </cfRule>
  </conditionalFormatting>
  <conditionalFormatting sqref="E23">
    <cfRule type="cellIs" dxfId="4" priority="2" operator="equal">
      <formula>TRUE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Q32"/>
  <sheetViews>
    <sheetView zoomScale="55" zoomScaleNormal="55" workbookViewId="0">
      <pane xSplit="2" ySplit="4" topLeftCell="C20" activePane="bottomRight" state="frozen"/>
      <selection pane="topRight" activeCell="C1" sqref="C1"/>
      <selection pane="bottomLeft" activeCell="A5" sqref="A5"/>
      <selection pane="bottomRight" activeCell="D8" sqref="D8"/>
    </sheetView>
  </sheetViews>
  <sheetFormatPr baseColWidth="10" defaultColWidth="11.42578125" defaultRowHeight="15" x14ac:dyDescent="0.25"/>
  <cols>
    <col min="1" max="1" width="25.7109375" style="1" customWidth="1"/>
    <col min="2" max="2" width="10.7109375" style="1" customWidth="1"/>
    <col min="3" max="3" width="15.28515625" style="1" customWidth="1"/>
    <col min="4" max="12" width="26.28515625" style="1" customWidth="1"/>
    <col min="13" max="13" width="16.7109375" style="1" bestFit="1" customWidth="1"/>
    <col min="14" max="16384" width="11.42578125" style="1"/>
  </cols>
  <sheetData>
    <row r="1" spans="1:17" ht="17.25" x14ac:dyDescent="0.25">
      <c r="A1" s="152" t="s">
        <v>35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</row>
    <row r="2" spans="1:17" x14ac:dyDescent="0.25">
      <c r="A2" s="1" t="e">
        <f>#REF!</f>
        <v>#REF!</v>
      </c>
    </row>
    <row r="3" spans="1:17" ht="42" customHeight="1" thickBot="1" x14ac:dyDescent="0.3">
      <c r="A3" s="167" t="s">
        <v>36</v>
      </c>
      <c r="B3" s="164"/>
      <c r="C3" s="6" t="s">
        <v>37</v>
      </c>
      <c r="D3" s="23" t="s">
        <v>38</v>
      </c>
      <c r="E3" s="23" t="s">
        <v>39</v>
      </c>
      <c r="F3" s="23" t="s">
        <v>40</v>
      </c>
      <c r="G3" s="23" t="s">
        <v>41</v>
      </c>
      <c r="H3" s="23" t="s">
        <v>42</v>
      </c>
      <c r="I3" s="23" t="s">
        <v>43</v>
      </c>
      <c r="J3" s="23" t="s">
        <v>44</v>
      </c>
      <c r="K3" s="23" t="s">
        <v>45</v>
      </c>
      <c r="L3" s="23" t="s">
        <v>46</v>
      </c>
    </row>
    <row r="4" spans="1:17" ht="50.1" customHeight="1" thickBot="1" x14ac:dyDescent="0.3">
      <c r="A4" s="24" t="s">
        <v>47</v>
      </c>
      <c r="B4" s="3"/>
      <c r="C4" s="25" t="s">
        <v>48</v>
      </c>
      <c r="D4" s="26" t="s">
        <v>0</v>
      </c>
      <c r="E4" s="26" t="s">
        <v>115</v>
      </c>
      <c r="F4" s="26" t="s">
        <v>2</v>
      </c>
      <c r="G4" s="26" t="s">
        <v>1</v>
      </c>
      <c r="H4" s="26" t="s">
        <v>116</v>
      </c>
      <c r="I4" s="26" t="s">
        <v>117</v>
      </c>
      <c r="J4" s="26" t="s">
        <v>118</v>
      </c>
      <c r="K4" s="26" t="s">
        <v>119</v>
      </c>
      <c r="L4" s="26" t="s">
        <v>120</v>
      </c>
    </row>
    <row r="5" spans="1:17" ht="50.1" customHeight="1" thickTop="1" x14ac:dyDescent="0.25">
      <c r="A5" s="24" t="s">
        <v>112</v>
      </c>
      <c r="B5" s="27" t="s">
        <v>49</v>
      </c>
      <c r="C5" s="28">
        <f>SUM(D5:L5)</f>
        <v>541</v>
      </c>
      <c r="D5" s="75">
        <v>416</v>
      </c>
      <c r="E5" s="75"/>
      <c r="F5" s="75"/>
      <c r="G5" s="75">
        <v>125</v>
      </c>
      <c r="H5" s="75"/>
      <c r="I5" s="75"/>
      <c r="J5" s="75"/>
      <c r="K5" s="75"/>
      <c r="L5" s="75"/>
    </row>
    <row r="6" spans="1:17" ht="69.95" customHeight="1" x14ac:dyDescent="0.25">
      <c r="A6" s="24" t="s">
        <v>130</v>
      </c>
      <c r="B6" s="27" t="s">
        <v>50</v>
      </c>
      <c r="C6" s="28"/>
      <c r="D6" s="75">
        <v>2.2000000000000002</v>
      </c>
      <c r="E6" s="75"/>
      <c r="F6" s="75"/>
      <c r="G6" s="75">
        <v>1</v>
      </c>
      <c r="H6" s="75"/>
      <c r="I6" s="75"/>
      <c r="J6" s="75"/>
      <c r="K6" s="75"/>
      <c r="L6" s="75"/>
      <c r="M6" s="31"/>
    </row>
    <row r="7" spans="1:17" ht="50.1" customHeight="1" x14ac:dyDescent="0.25">
      <c r="A7" s="24" t="s">
        <v>51</v>
      </c>
      <c r="B7" s="27" t="s">
        <v>52</v>
      </c>
      <c r="C7" s="28">
        <f>SUM(D7:L7)</f>
        <v>1040.2</v>
      </c>
      <c r="D7" s="75">
        <v>915.2</v>
      </c>
      <c r="E7" s="75"/>
      <c r="F7" s="75"/>
      <c r="G7" s="75">
        <v>125</v>
      </c>
      <c r="H7" s="75"/>
      <c r="I7" s="75"/>
      <c r="J7" s="75"/>
      <c r="K7" s="75"/>
      <c r="L7" s="75"/>
      <c r="M7" s="34"/>
    </row>
    <row r="8" spans="1:17" ht="50.1" customHeight="1" x14ac:dyDescent="0.25">
      <c r="A8" s="24" t="s">
        <v>53</v>
      </c>
      <c r="B8" s="27" t="s">
        <v>50</v>
      </c>
      <c r="C8" s="28"/>
      <c r="D8" s="75">
        <v>83.32</v>
      </c>
      <c r="E8" s="75"/>
      <c r="F8" s="75"/>
      <c r="G8" s="75">
        <v>45</v>
      </c>
      <c r="H8" s="75"/>
      <c r="I8" s="75"/>
      <c r="J8" s="75"/>
      <c r="K8" s="75"/>
      <c r="L8" s="75"/>
      <c r="M8" s="34"/>
    </row>
    <row r="9" spans="1:17" ht="50.1" customHeight="1" x14ac:dyDescent="0.25">
      <c r="A9" s="24" t="s">
        <v>54</v>
      </c>
      <c r="B9" s="27" t="s">
        <v>49</v>
      </c>
      <c r="C9" s="28">
        <f t="shared" ref="C9:C12" si="0">SUM(D9:L9)</f>
        <v>716.32891940711272</v>
      </c>
      <c r="D9" s="75">
        <v>559.82000000000005</v>
      </c>
      <c r="E9" s="75"/>
      <c r="F9" s="75"/>
      <c r="G9" s="75">
        <v>156.5089194071127</v>
      </c>
      <c r="H9" s="75"/>
      <c r="I9" s="75"/>
      <c r="J9" s="75"/>
      <c r="K9" s="75"/>
      <c r="L9" s="75"/>
      <c r="M9" s="35"/>
    </row>
    <row r="10" spans="1:17" ht="50.1" customHeight="1" x14ac:dyDescent="0.25">
      <c r="A10" s="24" t="s">
        <v>55</v>
      </c>
      <c r="B10" s="27" t="s">
        <v>49</v>
      </c>
      <c r="C10" s="28">
        <f t="shared" si="0"/>
        <v>0</v>
      </c>
      <c r="D10" s="75">
        <v>0</v>
      </c>
      <c r="E10" s="75"/>
      <c r="F10" s="75"/>
      <c r="G10" s="75">
        <v>0</v>
      </c>
      <c r="H10" s="75"/>
      <c r="I10" s="75"/>
      <c r="J10" s="75"/>
      <c r="K10" s="75"/>
      <c r="L10" s="75"/>
    </row>
    <row r="11" spans="1:17" ht="50.1" customHeight="1" x14ac:dyDescent="0.25">
      <c r="A11" s="24" t="s">
        <v>56</v>
      </c>
      <c r="B11" s="27" t="s">
        <v>49</v>
      </c>
      <c r="C11" s="28">
        <f t="shared" si="0"/>
        <v>299.82891940711272</v>
      </c>
      <c r="D11" s="75">
        <v>143.32000000000002</v>
      </c>
      <c r="E11" s="75"/>
      <c r="F11" s="75"/>
      <c r="G11" s="75">
        <v>156.5089194071127</v>
      </c>
      <c r="H11" s="75"/>
      <c r="I11" s="75"/>
      <c r="J11" s="75"/>
      <c r="K11" s="75"/>
      <c r="L11" s="75"/>
    </row>
    <row r="12" spans="1:17" ht="50.1" customHeight="1" x14ac:dyDescent="0.25">
      <c r="A12" s="24" t="s">
        <v>57</v>
      </c>
      <c r="B12" s="27" t="s">
        <v>49</v>
      </c>
      <c r="C12" s="28">
        <f t="shared" si="0"/>
        <v>21.658000000000001</v>
      </c>
      <c r="D12" s="75">
        <v>21.658000000000001</v>
      </c>
      <c r="E12" s="75"/>
      <c r="F12" s="75"/>
      <c r="G12" s="75">
        <v>0</v>
      </c>
      <c r="H12" s="75"/>
      <c r="I12" s="75"/>
      <c r="J12" s="75"/>
      <c r="K12" s="75"/>
      <c r="L12" s="75"/>
      <c r="M12" s="36"/>
    </row>
    <row r="13" spans="1:17" ht="50.1" customHeight="1" x14ac:dyDescent="0.25">
      <c r="A13" s="24" t="s">
        <v>58</v>
      </c>
      <c r="B13" s="27" t="s">
        <v>59</v>
      </c>
      <c r="C13" s="28"/>
      <c r="D13" s="76">
        <v>301.14999999999998</v>
      </c>
      <c r="E13" s="77"/>
      <c r="F13" s="76"/>
      <c r="G13" s="77">
        <v>303.14999999999998</v>
      </c>
      <c r="H13" s="76"/>
      <c r="I13" s="76"/>
      <c r="J13" s="76"/>
      <c r="K13" s="76"/>
      <c r="L13" s="76"/>
      <c r="M13" s="34"/>
    </row>
    <row r="14" spans="1:17" ht="69.95" customHeight="1" x14ac:dyDescent="0.25">
      <c r="A14" s="24" t="s">
        <v>60</v>
      </c>
      <c r="B14" s="37" t="s">
        <v>61</v>
      </c>
      <c r="C14" s="28"/>
      <c r="D14" s="38">
        <v>2</v>
      </c>
      <c r="E14" s="39"/>
      <c r="F14" s="38"/>
      <c r="G14" s="39">
        <v>2</v>
      </c>
      <c r="H14" s="38"/>
      <c r="I14" s="38"/>
      <c r="J14" s="38"/>
      <c r="K14" s="38"/>
      <c r="L14" s="38"/>
    </row>
    <row r="15" spans="1:17" ht="69.95" customHeight="1" x14ac:dyDescent="0.25">
      <c r="A15" s="24" t="s">
        <v>62</v>
      </c>
      <c r="B15" s="37" t="s">
        <v>63</v>
      </c>
      <c r="C15" s="28"/>
      <c r="D15" s="38" t="s">
        <v>145</v>
      </c>
      <c r="E15" s="30"/>
      <c r="F15" s="29"/>
      <c r="G15" s="38" t="s">
        <v>145</v>
      </c>
      <c r="H15" s="29"/>
      <c r="I15" s="29"/>
      <c r="J15" s="29"/>
      <c r="K15" s="29"/>
      <c r="L15" s="29"/>
    </row>
    <row r="16" spans="1:17" ht="69.95" customHeight="1" x14ac:dyDescent="0.25">
      <c r="A16" s="24" t="s">
        <v>64</v>
      </c>
      <c r="B16" s="27" t="s">
        <v>63</v>
      </c>
      <c r="C16" s="28"/>
      <c r="D16" s="38" t="s">
        <v>144</v>
      </c>
      <c r="E16" s="30"/>
      <c r="F16" s="29"/>
      <c r="G16" s="38" t="s">
        <v>144</v>
      </c>
      <c r="H16" s="29"/>
      <c r="I16" s="29"/>
      <c r="J16" s="29"/>
      <c r="K16" s="29"/>
      <c r="L16" s="29"/>
    </row>
    <row r="17" spans="1:14" ht="69.95" customHeight="1" x14ac:dyDescent="0.25">
      <c r="A17" s="24" t="s">
        <v>65</v>
      </c>
      <c r="B17" s="27" t="s">
        <v>63</v>
      </c>
      <c r="C17" s="28"/>
      <c r="D17" s="29" t="str" cm="1">
        <f t="array" aca="1" ref="D17" ca="1">IF(ISNA(INDIRECT("Datenbank!"&amp;ADDRESS(ROW(INDEX(#REF!,MATCH($A$2,#REF!,0))),COLUMN(INDEX(INDIRECT("Datenbank!$A"&amp;ROW(INDEX(#REF!,MATCH($A$2,#REF!,0)))):INDIRECT("Datenbank!$MS"&amp;ROW(INDEX(#REF!,MATCH($A$2,#REF!,0)))),MATCH(D$4,INDIRECT("Datenbank!$A"&amp;ROW(INDEX(#REF!,MATCH($A$2,#REF!,0)))):INDIRECT("Datenbank!$MS"&amp;ROW(INDEX(#REF!,MATCH($A$2,#REF!,0)))),0)))))),"","Freshwater")</f>
        <v>Freshwater</v>
      </c>
      <c r="E17" s="29"/>
      <c r="F17" s="29"/>
      <c r="G17" s="29" t="str" cm="1">
        <f t="array" aca="1" ref="G17" ca="1">IF(ISNA(INDIRECT("Datenbank!"&amp;ADDRESS(ROW(INDEX(#REF!,MATCH($A$2,#REF!,0))),COLUMN(INDEX(INDIRECT("Datenbank!$A"&amp;ROW(INDEX(#REF!,MATCH($A$2,#REF!,0)))):INDIRECT("Datenbank!$MS"&amp;ROW(INDEX(#REF!,MATCH($A$2,#REF!,0)))),MATCH(G$4,INDIRECT("Datenbank!$A"&amp;ROW(INDEX(#REF!,MATCH($A$2,#REF!,0)))):INDIRECT("Datenbank!$MS"&amp;ROW(INDEX(#REF!,MATCH($A$2,#REF!,0)))),0)))))),"","Freshwater")</f>
        <v>Freshwater</v>
      </c>
      <c r="H17" s="29"/>
      <c r="I17" s="29"/>
      <c r="J17" s="29"/>
      <c r="K17" s="29"/>
      <c r="L17" s="29"/>
    </row>
    <row r="18" spans="1:14" ht="69.95" customHeight="1" x14ac:dyDescent="0.25">
      <c r="A18" s="24" t="s">
        <v>66</v>
      </c>
      <c r="B18" s="27" t="s">
        <v>67</v>
      </c>
      <c r="C18" s="28"/>
      <c r="D18" s="29" t="s">
        <v>133</v>
      </c>
      <c r="E18" s="30"/>
      <c r="F18" s="29"/>
      <c r="G18" s="30" t="s">
        <v>133</v>
      </c>
      <c r="H18" s="29"/>
      <c r="I18" s="29"/>
      <c r="J18" s="29"/>
      <c r="K18" s="29"/>
      <c r="L18" s="29"/>
    </row>
    <row r="19" spans="1:14" ht="69.95" customHeight="1" x14ac:dyDescent="0.25">
      <c r="A19" s="24" t="s">
        <v>68</v>
      </c>
      <c r="B19" s="27"/>
      <c r="C19" s="28"/>
      <c r="D19" s="32">
        <v>0.8</v>
      </c>
      <c r="E19" s="33"/>
      <c r="F19" s="32"/>
      <c r="G19" s="33">
        <v>0.8</v>
      </c>
      <c r="H19" s="32"/>
      <c r="I19" s="32"/>
      <c r="J19" s="32"/>
      <c r="K19" s="32"/>
      <c r="L19" s="32"/>
      <c r="N19" s="13"/>
    </row>
    <row r="20" spans="1:14" ht="69.95" customHeight="1" x14ac:dyDescent="0.25">
      <c r="A20" s="78" t="s">
        <v>132</v>
      </c>
      <c r="B20" s="27" t="s">
        <v>131</v>
      </c>
      <c r="C20" s="28"/>
      <c r="D20" s="32">
        <v>350</v>
      </c>
      <c r="E20" s="33"/>
      <c r="F20" s="32"/>
      <c r="G20" s="33">
        <v>350</v>
      </c>
      <c r="H20" s="32"/>
      <c r="I20" s="32"/>
      <c r="J20" s="32"/>
      <c r="K20" s="32"/>
      <c r="L20" s="32"/>
      <c r="N20" s="13"/>
    </row>
    <row r="21" spans="1:14" ht="69.95" customHeight="1" x14ac:dyDescent="0.25">
      <c r="A21" s="24" t="s">
        <v>69</v>
      </c>
      <c r="B21" s="27" t="s">
        <v>70</v>
      </c>
      <c r="C21" s="28"/>
      <c r="D21" s="32" t="s">
        <v>113</v>
      </c>
      <c r="E21" s="30"/>
      <c r="F21" s="29"/>
      <c r="G21" s="30" t="s">
        <v>113</v>
      </c>
      <c r="H21" s="29"/>
      <c r="I21" s="29"/>
      <c r="J21" s="29"/>
      <c r="K21" s="29"/>
      <c r="L21" s="29"/>
      <c r="N21" s="13"/>
    </row>
    <row r="22" spans="1:14" ht="58.9" customHeight="1" x14ac:dyDescent="0.25">
      <c r="A22" s="24" t="s">
        <v>71</v>
      </c>
      <c r="B22" s="27" t="s">
        <v>72</v>
      </c>
      <c r="C22" s="28"/>
      <c r="D22" s="32">
        <v>0</v>
      </c>
      <c r="E22" s="33"/>
      <c r="F22" s="32"/>
      <c r="G22" s="33">
        <v>0</v>
      </c>
      <c r="H22" s="32"/>
      <c r="I22" s="32"/>
      <c r="J22" s="32"/>
      <c r="K22" s="32"/>
      <c r="L22" s="32"/>
      <c r="N22" s="13"/>
    </row>
    <row r="23" spans="1:14" ht="57.6" customHeight="1" x14ac:dyDescent="0.25">
      <c r="A23" s="24" t="s">
        <v>73</v>
      </c>
      <c r="B23" s="27" t="s">
        <v>70</v>
      </c>
      <c r="C23" s="28"/>
      <c r="D23" s="32" t="s">
        <v>133</v>
      </c>
      <c r="E23" s="30"/>
      <c r="F23" s="29"/>
      <c r="G23" s="30" t="s">
        <v>133</v>
      </c>
      <c r="H23" s="29"/>
      <c r="I23" s="29"/>
      <c r="J23" s="29"/>
      <c r="K23" s="29"/>
      <c r="L23" s="29"/>
      <c r="N23" s="13"/>
    </row>
    <row r="24" spans="1:14" ht="54.6" customHeight="1" x14ac:dyDescent="0.25">
      <c r="A24" s="24" t="s">
        <v>74</v>
      </c>
      <c r="B24" s="27" t="s">
        <v>72</v>
      </c>
      <c r="C24" s="28"/>
      <c r="D24" s="32">
        <v>30</v>
      </c>
      <c r="E24" s="33"/>
      <c r="F24" s="32"/>
      <c r="G24" s="33">
        <v>30</v>
      </c>
      <c r="H24" s="32"/>
      <c r="I24" s="32"/>
      <c r="J24" s="32"/>
      <c r="K24" s="32"/>
      <c r="L24" s="32"/>
      <c r="N24" s="13"/>
    </row>
    <row r="25" spans="1:14" ht="57.6" customHeight="1" x14ac:dyDescent="0.25">
      <c r="A25" s="24" t="s">
        <v>75</v>
      </c>
      <c r="B25" s="37" t="s">
        <v>76</v>
      </c>
      <c r="C25" s="28"/>
      <c r="D25" s="38">
        <v>30</v>
      </c>
      <c r="E25" s="39"/>
      <c r="F25" s="38"/>
      <c r="G25" s="39">
        <v>30</v>
      </c>
      <c r="H25" s="38"/>
      <c r="I25" s="38"/>
      <c r="J25" s="38"/>
      <c r="K25" s="38"/>
      <c r="L25" s="38"/>
    </row>
    <row r="26" spans="1:14" ht="53.45" customHeight="1" x14ac:dyDescent="0.25">
      <c r="A26" s="24" t="s">
        <v>77</v>
      </c>
      <c r="B26" s="27" t="s">
        <v>70</v>
      </c>
      <c r="C26" s="28"/>
      <c r="D26" s="29" t="s">
        <v>113</v>
      </c>
      <c r="E26" s="30"/>
      <c r="F26" s="29"/>
      <c r="G26" s="30" t="s">
        <v>113</v>
      </c>
      <c r="H26" s="29"/>
      <c r="I26" s="29"/>
      <c r="J26" s="29"/>
      <c r="K26" s="29"/>
      <c r="L26" s="29"/>
    </row>
    <row r="27" spans="1:14" ht="43.9" customHeight="1" x14ac:dyDescent="0.25">
      <c r="A27" s="24" t="s">
        <v>78</v>
      </c>
      <c r="B27" s="27" t="s">
        <v>70</v>
      </c>
      <c r="C27" s="28"/>
      <c r="D27" s="29" t="s">
        <v>113</v>
      </c>
      <c r="E27" s="30"/>
      <c r="F27" s="29"/>
      <c r="G27" s="30" t="s">
        <v>113</v>
      </c>
      <c r="H27" s="29"/>
      <c r="I27" s="29"/>
      <c r="J27" s="29"/>
      <c r="K27" s="29"/>
      <c r="L27" s="29"/>
    </row>
    <row r="28" spans="1:14" ht="43.9" customHeight="1" x14ac:dyDescent="0.25">
      <c r="A28" s="24" t="s">
        <v>79</v>
      </c>
      <c r="B28" s="27" t="s">
        <v>50</v>
      </c>
      <c r="C28" s="28"/>
      <c r="D28" s="29">
        <v>0</v>
      </c>
      <c r="E28" s="30"/>
      <c r="F28" s="29"/>
      <c r="G28" s="30">
        <v>0</v>
      </c>
      <c r="H28" s="29"/>
      <c r="I28" s="29"/>
      <c r="J28" s="29"/>
      <c r="K28" s="29"/>
      <c r="L28" s="29"/>
      <c r="N28" s="165"/>
    </row>
    <row r="29" spans="1:14" ht="46.9" customHeight="1" x14ac:dyDescent="0.25">
      <c r="A29" s="24" t="s">
        <v>80</v>
      </c>
      <c r="B29" s="27" t="s">
        <v>50</v>
      </c>
      <c r="C29" s="28"/>
      <c r="D29" s="29">
        <v>0</v>
      </c>
      <c r="E29" s="30"/>
      <c r="F29" s="29"/>
      <c r="G29" s="30">
        <v>0</v>
      </c>
      <c r="H29" s="29"/>
      <c r="I29" s="29"/>
      <c r="J29" s="29"/>
      <c r="K29" s="29"/>
      <c r="L29" s="29"/>
      <c r="N29" s="165"/>
    </row>
    <row r="30" spans="1:14" ht="44.45" customHeight="1" x14ac:dyDescent="0.25">
      <c r="A30" s="24" t="s">
        <v>81</v>
      </c>
      <c r="B30" s="27" t="s">
        <v>82</v>
      </c>
      <c r="C30" s="28"/>
      <c r="D30" s="29">
        <v>0</v>
      </c>
      <c r="E30" s="30"/>
      <c r="F30" s="29"/>
      <c r="G30" s="30">
        <v>0</v>
      </c>
      <c r="H30" s="29"/>
      <c r="I30" s="29"/>
      <c r="J30" s="29"/>
      <c r="K30" s="29"/>
      <c r="L30" s="29"/>
    </row>
    <row r="31" spans="1:14" ht="46.9" customHeight="1" x14ac:dyDescent="0.25">
      <c r="A31" s="24" t="s">
        <v>83</v>
      </c>
      <c r="B31" s="27" t="s">
        <v>84</v>
      </c>
      <c r="C31" s="28"/>
      <c r="D31" s="29">
        <v>0</v>
      </c>
      <c r="E31" s="30"/>
      <c r="F31" s="29"/>
      <c r="G31" s="30">
        <v>0</v>
      </c>
      <c r="H31" s="29"/>
      <c r="I31" s="29"/>
      <c r="J31" s="29"/>
      <c r="K31" s="29"/>
      <c r="L31" s="29"/>
    </row>
    <row r="32" spans="1:14" ht="43.5" customHeight="1" x14ac:dyDescent="0.25">
      <c r="A32" s="24" t="s">
        <v>85</v>
      </c>
      <c r="B32" s="27" t="s">
        <v>86</v>
      </c>
      <c r="C32" s="28"/>
      <c r="D32" s="29" t="s">
        <v>114</v>
      </c>
      <c r="E32" s="30"/>
      <c r="F32" s="29"/>
      <c r="G32" s="30" t="s">
        <v>114</v>
      </c>
      <c r="H32" s="29"/>
      <c r="I32" s="29"/>
      <c r="J32" s="29"/>
      <c r="K32" s="29"/>
      <c r="L32" s="29"/>
    </row>
  </sheetData>
  <mergeCells count="3">
    <mergeCell ref="A1:Q1"/>
    <mergeCell ref="A3:B3"/>
    <mergeCell ref="N28:N29"/>
  </mergeCells>
  <conditionalFormatting sqref="D5:L14 D17:L32 E15:F15 H15:L15 E16:L16">
    <cfRule type="cellIs" dxfId="3" priority="6" operator="lessThan">
      <formula>0</formula>
    </cfRule>
  </conditionalFormatting>
  <conditionalFormatting sqref="D15">
    <cfRule type="cellIs" dxfId="2" priority="5" operator="lessThan">
      <formula>0</formula>
    </cfRule>
  </conditionalFormatting>
  <conditionalFormatting sqref="D16">
    <cfRule type="cellIs" dxfId="1" priority="2" operator="lessThan">
      <formula>0</formula>
    </cfRule>
  </conditionalFormatting>
  <conditionalFormatting sqref="G15">
    <cfRule type="cellIs" dxfId="0" priority="1" operator="lessThan">
      <formula>0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N35"/>
  <sheetViews>
    <sheetView tabSelected="1" zoomScale="70" zoomScaleNormal="70" workbookViewId="0">
      <pane xSplit="1" ySplit="4" topLeftCell="C5" activePane="bottomRight" state="frozen"/>
      <selection pane="topRight" activeCell="B1" sqref="B1"/>
      <selection pane="bottomLeft" activeCell="A4" sqref="A4"/>
      <selection pane="bottomRight" activeCell="C20" sqref="C20"/>
    </sheetView>
  </sheetViews>
  <sheetFormatPr baseColWidth="10" defaultColWidth="9.140625" defaultRowHeight="15" x14ac:dyDescent="0.25"/>
  <cols>
    <col min="1" max="1" width="36.42578125" style="53" customWidth="1"/>
    <col min="2" max="3" width="12.5703125" style="53" customWidth="1"/>
    <col min="4" max="4" width="24" style="53" customWidth="1"/>
    <col min="5" max="5" width="39.28515625" style="53" customWidth="1"/>
    <col min="6" max="6" width="43.140625" style="53" customWidth="1"/>
    <col min="7" max="11" width="12.5703125" style="53" customWidth="1"/>
    <col min="12" max="16384" width="9.140625" style="40"/>
  </cols>
  <sheetData>
    <row r="1" spans="1:14" ht="15" customHeight="1" x14ac:dyDescent="0.25">
      <c r="A1" s="55" t="s">
        <v>87</v>
      </c>
      <c r="B1" s="55"/>
      <c r="C1" s="52"/>
      <c r="D1" s="52"/>
      <c r="E1" s="52"/>
      <c r="F1" s="52"/>
      <c r="G1" s="52"/>
      <c r="H1" s="52"/>
      <c r="I1" s="52"/>
      <c r="J1" s="55"/>
      <c r="K1" s="55"/>
    </row>
    <row r="2" spans="1:14" ht="15" customHeight="1" x14ac:dyDescent="0.25">
      <c r="A2" s="74" t="e">
        <f>#REF!</f>
        <v>#REF!</v>
      </c>
      <c r="B2" s="73"/>
      <c r="C2" s="48"/>
      <c r="D2" s="48"/>
      <c r="E2" s="48"/>
      <c r="F2" s="48"/>
      <c r="G2" s="48"/>
      <c r="H2" s="48"/>
      <c r="I2" s="48"/>
      <c r="J2" s="73"/>
      <c r="K2" s="73"/>
    </row>
    <row r="3" spans="1:14" s="54" customFormat="1" ht="44.25" customHeight="1" x14ac:dyDescent="0.25">
      <c r="A3" s="42" t="s">
        <v>88</v>
      </c>
      <c r="B3" s="41" t="s">
        <v>125</v>
      </c>
      <c r="C3" s="42" t="s">
        <v>91</v>
      </c>
      <c r="D3" s="42" t="s">
        <v>128</v>
      </c>
      <c r="E3" s="42" t="s">
        <v>129</v>
      </c>
      <c r="F3" s="42" t="s">
        <v>92</v>
      </c>
      <c r="G3" s="42" t="s">
        <v>126</v>
      </c>
      <c r="H3" s="42" t="s">
        <v>93</v>
      </c>
      <c r="I3" s="42" t="s">
        <v>127</v>
      </c>
      <c r="J3" s="42" t="s">
        <v>89</v>
      </c>
      <c r="K3" s="42" t="s">
        <v>90</v>
      </c>
    </row>
    <row r="4" spans="1:14" ht="18" thickBot="1" x14ac:dyDescent="0.3">
      <c r="A4" s="60"/>
      <c r="B4" s="64"/>
      <c r="C4" s="43" t="s">
        <v>94</v>
      </c>
      <c r="D4" s="43"/>
      <c r="E4" s="43"/>
      <c r="F4" s="60"/>
      <c r="G4" s="43" t="s">
        <v>95</v>
      </c>
      <c r="H4" s="43" t="s">
        <v>96</v>
      </c>
      <c r="I4" s="43" t="s">
        <v>97</v>
      </c>
      <c r="J4" s="43" t="s">
        <v>124</v>
      </c>
      <c r="K4" s="43" t="s">
        <v>124</v>
      </c>
    </row>
    <row r="5" spans="1:14" ht="15" customHeight="1" x14ac:dyDescent="0.25">
      <c r="A5" s="56" t="s">
        <v>98</v>
      </c>
      <c r="B5" s="53">
        <v>1</v>
      </c>
      <c r="C5" s="66">
        <v>25</v>
      </c>
      <c r="D5" s="66" t="s">
        <v>122</v>
      </c>
      <c r="E5" s="45"/>
      <c r="F5" t="s">
        <v>99</v>
      </c>
      <c r="G5" s="138">
        <v>1.9375</v>
      </c>
      <c r="H5" s="138">
        <v>2104.1999999999998</v>
      </c>
      <c r="I5" s="138">
        <v>0.77584580000000003</v>
      </c>
      <c r="J5" s="65"/>
      <c r="K5" s="65"/>
      <c r="L5" s="44"/>
      <c r="M5" s="44"/>
    </row>
    <row r="6" spans="1:14" x14ac:dyDescent="0.25">
      <c r="B6" s="53">
        <v>2</v>
      </c>
      <c r="C6" s="66">
        <v>16</v>
      </c>
      <c r="D6" s="66" t="s">
        <v>134</v>
      </c>
      <c r="E6" s="45"/>
      <c r="F6" t="s">
        <v>136</v>
      </c>
      <c r="G6" s="45">
        <v>0.04</v>
      </c>
      <c r="H6" s="138">
        <v>31</v>
      </c>
      <c r="I6" s="138">
        <v>1.45</v>
      </c>
      <c r="J6" s="65"/>
      <c r="K6" s="65"/>
    </row>
    <row r="7" spans="1:14" x14ac:dyDescent="0.25">
      <c r="B7" s="53">
        <v>3</v>
      </c>
      <c r="C7" s="66">
        <v>0.5</v>
      </c>
      <c r="D7" s="66" t="s">
        <v>135</v>
      </c>
      <c r="E7" s="45"/>
      <c r="F7" t="s">
        <v>137</v>
      </c>
      <c r="G7" s="138">
        <v>0.7</v>
      </c>
      <c r="H7" s="138">
        <v>1645</v>
      </c>
      <c r="I7" s="138">
        <v>10</v>
      </c>
      <c r="J7" s="65"/>
      <c r="K7" s="65"/>
    </row>
    <row r="8" spans="1:14" x14ac:dyDescent="0.25">
      <c r="B8" s="53">
        <v>4</v>
      </c>
      <c r="C8" s="66">
        <v>0.3</v>
      </c>
      <c r="D8" s="66" t="s">
        <v>135</v>
      </c>
      <c r="E8" s="45"/>
      <c r="F8" t="s">
        <v>138</v>
      </c>
      <c r="G8" s="45">
        <v>0.7</v>
      </c>
      <c r="H8" s="138">
        <v>1690</v>
      </c>
      <c r="I8" s="138">
        <v>1</v>
      </c>
      <c r="J8" s="65"/>
      <c r="K8" s="65"/>
    </row>
    <row r="9" spans="1:14" x14ac:dyDescent="0.25">
      <c r="B9" s="53">
        <v>5</v>
      </c>
      <c r="C9" s="45"/>
      <c r="D9" s="45"/>
      <c r="E9" s="45"/>
      <c r="G9" s="66"/>
      <c r="H9" s="66"/>
      <c r="I9" s="68"/>
      <c r="J9" s="65"/>
      <c r="K9" s="65"/>
    </row>
    <row r="10" spans="1:14" ht="16.5" customHeight="1" x14ac:dyDescent="0.25">
      <c r="A10" s="50" t="s">
        <v>100</v>
      </c>
      <c r="B10" s="50">
        <v>1</v>
      </c>
      <c r="C10" s="139">
        <v>12.5</v>
      </c>
      <c r="D10" s="46"/>
      <c r="E10" s="46"/>
      <c r="F10" s="140" t="s">
        <v>101</v>
      </c>
      <c r="G10" s="69"/>
      <c r="H10" s="69"/>
      <c r="I10" s="66"/>
      <c r="J10" s="69"/>
      <c r="K10" s="69"/>
      <c r="L10" s="168"/>
      <c r="M10" s="168"/>
      <c r="N10" s="168"/>
    </row>
    <row r="11" spans="1:14" x14ac:dyDescent="0.25">
      <c r="A11" s="51"/>
      <c r="B11" s="51">
        <v>2</v>
      </c>
      <c r="C11" s="51">
        <v>7</v>
      </c>
      <c r="D11" s="51"/>
      <c r="E11" s="51"/>
      <c r="F11" t="s">
        <v>102</v>
      </c>
      <c r="G11" s="70"/>
      <c r="H11" s="70"/>
      <c r="I11" s="66"/>
      <c r="J11" s="70"/>
      <c r="K11" s="70"/>
      <c r="L11" s="168"/>
      <c r="M11" s="168"/>
      <c r="N11" s="168"/>
    </row>
    <row r="12" spans="1:14" x14ac:dyDescent="0.25">
      <c r="A12" s="51"/>
      <c r="B12" s="53">
        <v>3</v>
      </c>
      <c r="C12" s="53">
        <v>12.5</v>
      </c>
      <c r="F12" t="s">
        <v>101</v>
      </c>
      <c r="G12" s="66"/>
      <c r="H12" s="66"/>
      <c r="I12" s="66"/>
      <c r="J12" s="70"/>
      <c r="K12" s="70"/>
      <c r="L12" s="168"/>
      <c r="M12" s="168"/>
      <c r="N12" s="168"/>
    </row>
    <row r="13" spans="1:14" x14ac:dyDescent="0.25">
      <c r="A13" s="51"/>
      <c r="B13" s="53">
        <v>4</v>
      </c>
      <c r="C13" s="51"/>
      <c r="D13" s="51"/>
      <c r="E13" s="51"/>
      <c r="F13" s="62"/>
      <c r="G13" s="70"/>
      <c r="H13" s="70"/>
      <c r="I13" s="70"/>
      <c r="J13" s="70"/>
      <c r="K13" s="70"/>
      <c r="L13" s="168"/>
      <c r="M13" s="168"/>
      <c r="N13" s="168"/>
    </row>
    <row r="14" spans="1:14" x14ac:dyDescent="0.25">
      <c r="A14" s="51"/>
      <c r="B14" s="52">
        <v>5</v>
      </c>
      <c r="C14" s="52"/>
      <c r="D14" s="52"/>
      <c r="E14" s="52"/>
      <c r="F14" s="63"/>
      <c r="G14" s="68"/>
      <c r="H14" s="68"/>
      <c r="I14" s="68"/>
      <c r="J14" s="70"/>
      <c r="K14" s="70"/>
      <c r="L14" s="168"/>
      <c r="M14" s="168"/>
      <c r="N14" s="168"/>
    </row>
    <row r="15" spans="1:14" x14ac:dyDescent="0.25">
      <c r="A15" s="50" t="s">
        <v>103</v>
      </c>
      <c r="B15" s="53">
        <v>1</v>
      </c>
      <c r="C15" s="69">
        <f>0.88</f>
        <v>0.88</v>
      </c>
      <c r="D15" s="47" t="s">
        <v>123</v>
      </c>
      <c r="E15" s="47"/>
      <c r="F15" t="s">
        <v>104</v>
      </c>
      <c r="G15" s="46">
        <v>48</v>
      </c>
      <c r="H15" s="138">
        <v>7800</v>
      </c>
      <c r="I15" s="50">
        <v>0.47699999999999998</v>
      </c>
      <c r="J15" s="69"/>
      <c r="K15" s="69"/>
    </row>
    <row r="16" spans="1:14" x14ac:dyDescent="0.25">
      <c r="A16" s="51"/>
      <c r="B16" s="53">
        <v>2</v>
      </c>
      <c r="C16" s="70">
        <f>0.5</f>
        <v>0.5</v>
      </c>
      <c r="D16" t="s">
        <v>139</v>
      </c>
      <c r="E16" s="47"/>
      <c r="F16" t="s">
        <v>140</v>
      </c>
      <c r="G16" s="47">
        <v>5</v>
      </c>
      <c r="H16" s="138">
        <v>1200</v>
      </c>
      <c r="I16" s="51">
        <v>1</v>
      </c>
      <c r="J16" s="70"/>
      <c r="K16" s="70"/>
    </row>
    <row r="17" spans="1:11" x14ac:dyDescent="0.25">
      <c r="A17" s="51"/>
      <c r="B17" s="53">
        <v>3</v>
      </c>
      <c r="C17" s="141">
        <f>25.2</f>
        <v>25.2</v>
      </c>
      <c r="D17" s="142" t="s">
        <v>134</v>
      </c>
      <c r="E17" s="47"/>
      <c r="F17" s="143" t="s">
        <v>136</v>
      </c>
      <c r="G17" s="142">
        <v>0.04</v>
      </c>
      <c r="H17" s="146">
        <v>31</v>
      </c>
      <c r="I17" s="51">
        <v>1.45</v>
      </c>
      <c r="J17" s="70"/>
      <c r="K17" s="70"/>
    </row>
    <row r="18" spans="1:11" x14ac:dyDescent="0.25">
      <c r="A18" s="51"/>
      <c r="B18" s="53">
        <v>4</v>
      </c>
      <c r="C18" s="70">
        <f>0.4</f>
        <v>0.4</v>
      </c>
      <c r="D18" t="s">
        <v>139</v>
      </c>
      <c r="E18" s="47"/>
      <c r="F18" t="s">
        <v>140</v>
      </c>
      <c r="G18" s="47">
        <v>5</v>
      </c>
      <c r="H18" s="138">
        <v>1200</v>
      </c>
      <c r="I18" s="51">
        <v>1</v>
      </c>
      <c r="J18" s="70"/>
      <c r="K18" s="70"/>
    </row>
    <row r="19" spans="1:11" x14ac:dyDescent="0.25">
      <c r="A19" s="51"/>
      <c r="B19" s="52">
        <v>5</v>
      </c>
      <c r="C19" s="70">
        <f>5</f>
        <v>5</v>
      </c>
      <c r="D19" s="47"/>
      <c r="E19" s="47"/>
      <c r="F19" s="144" t="s">
        <v>141</v>
      </c>
      <c r="G19" s="145">
        <v>0.35</v>
      </c>
      <c r="H19" s="147">
        <v>900</v>
      </c>
      <c r="I19" s="52">
        <v>2.2999999999999998</v>
      </c>
      <c r="J19" s="70"/>
      <c r="K19" s="70"/>
    </row>
    <row r="20" spans="1:11" x14ac:dyDescent="0.25">
      <c r="A20" s="50" t="s">
        <v>105</v>
      </c>
      <c r="B20" s="53">
        <v>1</v>
      </c>
      <c r="C20" s="50">
        <v>5</v>
      </c>
      <c r="D20" s="50" t="s">
        <v>142</v>
      </c>
      <c r="E20" s="50"/>
      <c r="F20" s="148" t="s">
        <v>106</v>
      </c>
      <c r="G20" s="50">
        <v>1.4</v>
      </c>
      <c r="H20" s="50">
        <v>250</v>
      </c>
      <c r="I20" s="150">
        <v>2</v>
      </c>
      <c r="J20" s="69"/>
      <c r="K20" s="69"/>
    </row>
    <row r="21" spans="1:11" x14ac:dyDescent="0.25">
      <c r="A21" s="51"/>
      <c r="B21" s="53">
        <v>2</v>
      </c>
      <c r="C21" s="51">
        <f>0.4</f>
        <v>0.4</v>
      </c>
      <c r="D21" t="s">
        <v>143</v>
      </c>
      <c r="E21" s="51"/>
      <c r="F21" t="s">
        <v>141</v>
      </c>
      <c r="G21" s="51">
        <v>0.35</v>
      </c>
      <c r="H21" s="51">
        <v>900</v>
      </c>
      <c r="I21" s="150">
        <v>2.2999999999999998</v>
      </c>
      <c r="J21" s="70"/>
      <c r="K21" s="70"/>
    </row>
    <row r="22" spans="1:11" x14ac:dyDescent="0.25">
      <c r="A22" s="51"/>
      <c r="B22" s="53">
        <v>3</v>
      </c>
      <c r="C22" s="51">
        <v>5</v>
      </c>
      <c r="D22" s="51" t="s">
        <v>142</v>
      </c>
      <c r="E22" s="51"/>
      <c r="F22" t="s">
        <v>106</v>
      </c>
      <c r="G22" s="51">
        <v>1.4</v>
      </c>
      <c r="H22" s="51">
        <v>250</v>
      </c>
      <c r="I22" s="150">
        <v>2</v>
      </c>
      <c r="J22" s="70"/>
      <c r="K22" s="70"/>
    </row>
    <row r="23" spans="1:11" x14ac:dyDescent="0.25">
      <c r="A23" s="51"/>
      <c r="B23" s="53">
        <v>4</v>
      </c>
      <c r="C23" s="51">
        <v>20</v>
      </c>
      <c r="D23" s="51" t="s">
        <v>122</v>
      </c>
      <c r="E23" s="51"/>
      <c r="F23" t="s">
        <v>99</v>
      </c>
      <c r="G23" s="51">
        <v>1.94</v>
      </c>
      <c r="H23" s="51">
        <v>2104.1999999999998</v>
      </c>
      <c r="I23" s="150">
        <v>0.77584580000000003</v>
      </c>
      <c r="J23" s="70"/>
      <c r="K23" s="70"/>
    </row>
    <row r="24" spans="1:11" x14ac:dyDescent="0.25">
      <c r="A24" s="51"/>
      <c r="B24" s="52">
        <v>5</v>
      </c>
      <c r="C24" s="52">
        <v>10</v>
      </c>
      <c r="D24" t="s">
        <v>121</v>
      </c>
      <c r="E24" s="51"/>
      <c r="F24" s="149" t="s">
        <v>107</v>
      </c>
      <c r="G24" s="52">
        <v>4.1000000000000002E-2</v>
      </c>
      <c r="H24" s="52">
        <v>30</v>
      </c>
      <c r="I24" s="52">
        <v>1.38</v>
      </c>
      <c r="J24" s="70"/>
      <c r="K24" s="70"/>
    </row>
    <row r="25" spans="1:11" x14ac:dyDescent="0.25">
      <c r="A25" s="50" t="s">
        <v>108</v>
      </c>
      <c r="B25" s="53">
        <v>1</v>
      </c>
      <c r="C25" s="50"/>
      <c r="D25" s="50"/>
      <c r="E25" s="50"/>
      <c r="F25" s="50"/>
      <c r="G25" s="69"/>
      <c r="H25" s="69"/>
      <c r="I25" s="67"/>
      <c r="J25" s="69"/>
      <c r="K25" s="69"/>
    </row>
    <row r="26" spans="1:11" x14ac:dyDescent="0.25">
      <c r="A26" s="51"/>
      <c r="B26" s="53">
        <v>2</v>
      </c>
      <c r="C26" s="51"/>
      <c r="D26" s="51"/>
      <c r="E26" s="51"/>
      <c r="F26" s="61"/>
      <c r="G26" s="70"/>
      <c r="H26" s="70"/>
      <c r="I26" s="67"/>
      <c r="J26" s="70"/>
      <c r="K26" s="70"/>
    </row>
    <row r="27" spans="1:11" x14ac:dyDescent="0.25">
      <c r="A27" s="51"/>
      <c r="B27" s="53">
        <v>3</v>
      </c>
      <c r="C27" s="51"/>
      <c r="D27" s="51"/>
      <c r="E27" s="51"/>
      <c r="F27" s="61"/>
      <c r="G27" s="70"/>
      <c r="H27" s="70"/>
      <c r="I27" s="67"/>
      <c r="J27" s="70"/>
      <c r="K27" s="70"/>
    </row>
    <row r="28" spans="1:11" x14ac:dyDescent="0.25">
      <c r="A28" s="51"/>
      <c r="B28" s="53">
        <v>4</v>
      </c>
      <c r="C28" s="51"/>
      <c r="D28" s="51"/>
      <c r="E28" s="51"/>
      <c r="F28" s="61"/>
      <c r="G28" s="70"/>
      <c r="H28" s="70"/>
      <c r="I28" s="67"/>
      <c r="J28" s="70"/>
      <c r="K28" s="70"/>
    </row>
    <row r="29" spans="1:11" x14ac:dyDescent="0.25">
      <c r="A29" s="51"/>
      <c r="B29" s="52">
        <v>5</v>
      </c>
      <c r="C29" s="51"/>
      <c r="D29" s="51"/>
      <c r="E29" s="51"/>
      <c r="F29" s="61"/>
      <c r="G29" s="70"/>
      <c r="H29" s="70"/>
      <c r="I29" s="68"/>
      <c r="J29" s="70"/>
      <c r="K29" s="70"/>
    </row>
    <row r="30" spans="1:11" x14ac:dyDescent="0.25">
      <c r="A30" s="50" t="s">
        <v>109</v>
      </c>
      <c r="B30" s="53">
        <v>1</v>
      </c>
      <c r="C30" s="50"/>
      <c r="D30" s="50"/>
      <c r="E30" s="50"/>
      <c r="F30" s="50"/>
      <c r="G30" s="69"/>
      <c r="H30" s="69"/>
      <c r="I30" s="67"/>
      <c r="J30" s="69"/>
      <c r="K30" s="69"/>
    </row>
    <row r="31" spans="1:11" x14ac:dyDescent="0.25">
      <c r="A31" s="51"/>
      <c r="B31" s="53">
        <v>2</v>
      </c>
      <c r="C31" s="51"/>
      <c r="D31" s="51"/>
      <c r="E31" s="51"/>
      <c r="F31" s="61"/>
      <c r="G31" s="70"/>
      <c r="H31" s="70"/>
      <c r="I31" s="67"/>
      <c r="J31" s="70"/>
      <c r="K31" s="70"/>
    </row>
    <row r="32" spans="1:11" x14ac:dyDescent="0.25">
      <c r="A32" s="51"/>
      <c r="B32" s="53">
        <v>3</v>
      </c>
      <c r="C32" s="51"/>
      <c r="D32" s="51"/>
      <c r="E32" s="51"/>
      <c r="F32" s="61"/>
      <c r="G32" s="70"/>
      <c r="H32" s="70"/>
      <c r="I32" s="67"/>
      <c r="J32" s="70"/>
      <c r="K32" s="70"/>
    </row>
    <row r="33" spans="1:11" x14ac:dyDescent="0.25">
      <c r="A33" s="51"/>
      <c r="B33" s="53">
        <v>4</v>
      </c>
      <c r="C33" s="51"/>
      <c r="D33" s="51"/>
      <c r="E33" s="51"/>
      <c r="F33" s="61"/>
      <c r="G33" s="70"/>
      <c r="H33" s="70"/>
      <c r="I33" s="67"/>
      <c r="J33" s="70"/>
      <c r="K33" s="70"/>
    </row>
    <row r="34" spans="1:11" x14ac:dyDescent="0.25">
      <c r="A34" s="51"/>
      <c r="B34" s="53">
        <v>5</v>
      </c>
      <c r="C34" s="51"/>
      <c r="D34" s="51"/>
      <c r="E34" s="51"/>
      <c r="F34" s="61"/>
      <c r="G34" s="70"/>
      <c r="H34" s="70"/>
      <c r="I34" s="66"/>
      <c r="J34" s="70"/>
      <c r="K34" s="70"/>
    </row>
    <row r="35" spans="1:11" x14ac:dyDescent="0.25">
      <c r="A35" s="48" t="s">
        <v>110</v>
      </c>
      <c r="B35" s="48">
        <v>1</v>
      </c>
      <c r="C35" s="79">
        <v>2.4</v>
      </c>
      <c r="D35" s="48"/>
      <c r="E35" s="48"/>
      <c r="F35" s="151" t="s">
        <v>111</v>
      </c>
      <c r="G35" s="71">
        <v>0.02</v>
      </c>
      <c r="H35" s="72"/>
      <c r="I35" s="72"/>
      <c r="J35" s="72">
        <v>0.5</v>
      </c>
      <c r="K35" s="72">
        <v>7.0000000000000007E-2</v>
      </c>
    </row>
  </sheetData>
  <mergeCells count="1">
    <mergeCell ref="L10:N14"/>
  </mergeCells>
  <pageMargins left="0.75" right="0.75" top="0.75" bottom="0.5" header="0.5" footer="0.7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Zone Data</vt:lpstr>
      <vt:lpstr>Pool Data</vt:lpstr>
      <vt:lpstr>Envelope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Benani Zoumba</dc:creator>
  <cp:lastModifiedBy>Kuehn, Larissa</cp:lastModifiedBy>
  <dcterms:created xsi:type="dcterms:W3CDTF">2021-11-02T11:09:10Z</dcterms:created>
  <dcterms:modified xsi:type="dcterms:W3CDTF">2022-02-27T14:14:11Z</dcterms:modified>
</cp:coreProperties>
</file>