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rwthaachende-my.sharepoint.com/personal/benani_zoumba_rwth-aachen_de/Documents/EBC/Pool_Repos/TEASER/teaser/examples/"/>
    </mc:Choice>
  </mc:AlternateContent>
  <xr:revisionPtr revIDLastSave="136" documentId="11_4A1A100B1B095E3C865B41D1FE1DDB1B75FDF3E6" xr6:coauthVersionLast="47" xr6:coauthVersionMax="47" xr10:uidLastSave="{2CFA98B7-CDB9-4CF1-B315-32CF29EE746E}"/>
  <bookViews>
    <workbookView xWindow="-120" yWindow="-120" windowWidth="29040" windowHeight="15840" xr2:uid="{00000000-000D-0000-FFFF-FFFF00000000}"/>
  </bookViews>
  <sheets>
    <sheet name="Envelope Surfaces" sheetId="1" r:id="rId1"/>
    <sheet name="Envelope Structure" sheetId="6" r:id="rId2"/>
    <sheet name="Pool Data" sheetId="7" r:id="rId3"/>
  </sheets>
  <externalReferences>
    <externalReference r:id="rId4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7" l="1"/>
  <c r="L6" i="7"/>
  <c r="K6" i="7"/>
  <c r="J6" i="7"/>
  <c r="I6" i="7"/>
  <c r="H6" i="7"/>
  <c r="F6" i="7"/>
  <c r="E6" i="7"/>
  <c r="G8" i="7"/>
  <c r="D8" i="7"/>
  <c r="G7" i="7"/>
  <c r="D12" i="7"/>
  <c r="C12" i="7" s="1"/>
  <c r="G11" i="7"/>
  <c r="D11" i="7"/>
  <c r="C10" i="7"/>
  <c r="G9" i="7"/>
  <c r="G5" i="7"/>
  <c r="D5" i="7"/>
  <c r="D7" i="7" s="1"/>
  <c r="C5" i="7"/>
  <c r="C11" i="7" l="1"/>
  <c r="C7" i="7"/>
  <c r="G6" i="7"/>
  <c r="D6" i="7"/>
  <c r="D9" i="7"/>
  <c r="C9" i="7" s="1"/>
  <c r="E23" i="6"/>
  <c r="E17" i="6" l="1"/>
  <c r="E16" i="6"/>
  <c r="E19" i="6"/>
  <c r="E20" i="6"/>
  <c r="E21" i="6"/>
  <c r="E18" i="6"/>
  <c r="K19" i="1"/>
  <c r="K20" i="1" s="1"/>
  <c r="Q16" i="1"/>
  <c r="Q20" i="1"/>
  <c r="Q17" i="1"/>
  <c r="Q19" i="1"/>
  <c r="Q15" i="1"/>
  <c r="Q13" i="1"/>
  <c r="Q8" i="1"/>
  <c r="Q9" i="1"/>
  <c r="Q12" i="1"/>
  <c r="Q5" i="1"/>
  <c r="K16" i="1"/>
  <c r="K18" i="1"/>
  <c r="K17" i="1"/>
  <c r="I18" i="1"/>
  <c r="I16" i="1"/>
  <c r="I11" i="1"/>
  <c r="I9" i="1"/>
  <c r="I15" i="1"/>
  <c r="I7" i="1"/>
  <c r="I12" i="1"/>
  <c r="I8" i="1"/>
  <c r="I5" i="1"/>
  <c r="E19" i="1"/>
  <c r="E20" i="1"/>
  <c r="C19" i="1"/>
  <c r="C16" i="1" s="1"/>
  <c r="G16" i="1"/>
  <c r="G17" i="1"/>
  <c r="G19" i="1"/>
  <c r="G20" i="1" s="1"/>
  <c r="G15" i="1"/>
  <c r="E16" i="1"/>
  <c r="E6" i="1"/>
  <c r="E5" i="1"/>
  <c r="E15" i="1"/>
  <c r="E9" i="1"/>
  <c r="C15" i="1"/>
  <c r="I19" i="1"/>
  <c r="I20" i="1"/>
  <c r="I13" i="1"/>
  <c r="G13" i="1"/>
  <c r="E13" i="1"/>
  <c r="C13" i="1"/>
  <c r="C6" i="1"/>
  <c r="C10" i="1"/>
  <c r="C20" i="1" l="1"/>
</calcChain>
</file>

<file path=xl/sharedStrings.xml><?xml version="1.0" encoding="utf-8"?>
<sst xmlns="http://schemas.openxmlformats.org/spreadsheetml/2006/main" count="330" uniqueCount="159">
  <si>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</si>
  <si>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</si>
  <si>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</si>
  <si>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</si>
  <si>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</si>
  <si>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</si>
  <si>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</si>
  <si>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</si>
  <si>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</si>
  <si>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</si>
  <si>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</si>
  <si>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</si>
  <si>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</si>
  <si>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</si>
  <si>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</si>
  <si>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</si>
  <si>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</si>
  <si>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</si>
  <si>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</si>
  <si>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</si>
  <si>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</si>
  <si>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</si>
  <si>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</si>
  <si>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</si>
  <si>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</si>
  <si>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</si>
  <si>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</si>
  <si>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</si>
  <si>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</si>
  <si>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</si>
  <si>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</si>
  <si>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</si>
  <si>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</si>
  <si>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</si>
  <si>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</si>
  <si>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Sum of pools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</si>
  <si>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</si>
  <si>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</si>
  <si>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</si>
  <si>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</si>
  <si>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</si>
  <si>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</si>
  <si>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</si>
  <si>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</si>
  <si>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</si>
  <si>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</si>
  <si>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</si>
  <si>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</si>
  <si>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</si>
  <si>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</si>
  <si>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</si>
  <si>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</si>
  <si>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</si>
  <si>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</si>
  <si>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</si>
  <si>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</si>
  <si>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</si>
  <si>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</si>
  <si>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</si>
  <si>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</si>
  <si>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</si>
  <si>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</si>
  <si>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</si>
  <si>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</si>
  <si>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</si>
  <si>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</si>
  <si>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</si>
  <si>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</si>
  <si>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</si>
  <si>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</si>
  <si>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</si>
  <si>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</si>
  <si>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</si>
  <si>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</si>
  <si>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</si>
  <si>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</si>
  <si>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</si>
  <si>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</si>
  <si>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</si>
  <si>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</si>
  <si>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[m]</t>
  </si>
  <si>
    <t>string</t>
  </si>
  <si>
    <t>float</t>
  </si>
  <si>
    <t>PoolMaterial</t>
  </si>
  <si>
    <t>Window</t>
  </si>
  <si>
    <r>
      <rPr>
        <b/>
        <sz val="16"/>
        <color indexed="8"/>
        <rFont val="Calibri"/>
        <family val="2"/>
      </rPr>
      <t>NOTE:</t>
    </r>
    <r>
      <rPr>
        <sz val="16"/>
        <color indexed="8"/>
        <rFont val="Calibri"/>
        <family val="2"/>
      </rPr>
      <t xml:space="preserve"> Gemittelte Tiefe!</t>
    </r>
  </si>
  <si>
    <t>true</t>
  </si>
  <si>
    <t>false</t>
  </si>
  <si>
    <t>Material</t>
  </si>
  <si>
    <t>Beton</t>
  </si>
  <si>
    <t>Dämmung</t>
  </si>
  <si>
    <t>Putz</t>
  </si>
  <si>
    <t>Stahl</t>
  </si>
  <si>
    <t>bituminized_felt_2</t>
  </si>
  <si>
    <t>polyethylene_foil_2</t>
  </si>
  <si>
    <t>Estricht</t>
  </si>
  <si>
    <t>XPS_30</t>
  </si>
  <si>
    <r>
      <rPr>
        <b/>
        <sz val="16"/>
        <color rgb="FFFF0000"/>
        <rFont val="Calibri"/>
        <family val="2"/>
      </rPr>
      <t>NOTE:</t>
    </r>
    <r>
      <rPr>
        <sz val="16"/>
        <color rgb="FFFF0000"/>
        <rFont val="Calibri"/>
        <family val="2"/>
      </rPr>
      <t xml:space="preserve"> The Pool temperature is not transferred from the Calculator</t>
    </r>
  </si>
  <si>
    <t>[sec]</t>
  </si>
  <si>
    <t>[%]</t>
  </si>
  <si>
    <t xml:space="preserve">boolean </t>
  </si>
  <si>
    <t xml:space="preserve">string </t>
  </si>
  <si>
    <t>[cm]</t>
  </si>
  <si>
    <t>U-Wert</t>
  </si>
  <si>
    <t>Envelope Surfaces of Zones in an Example Swimming Pool</t>
  </si>
  <si>
    <t>Additional information for pools within zone 4</t>
  </si>
  <si>
    <t>Zone number</t>
  </si>
  <si>
    <t>Pool abbreviation</t>
  </si>
  <si>
    <r>
      <t xml:space="preserve">Pool floor </t>
    </r>
    <r>
      <rPr>
        <u/>
        <sz val="11"/>
        <color indexed="56"/>
        <rFont val="Century Gothic"/>
        <family val="2"/>
      </rPr>
      <t>with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</si>
  <si>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floor </t>
    </r>
    <r>
      <rPr>
        <u/>
        <sz val="11"/>
        <color indexed="56"/>
        <rFont val="Century Gothic"/>
        <family val="2"/>
      </rPr>
      <t>without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</si>
  <si>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u/>
        <sz val="11"/>
        <color indexed="56"/>
        <rFont val="Century Gothic"/>
        <family val="2"/>
      </rPr>
      <t>with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</si>
  <si>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u/>
        <sz val="11"/>
        <color indexed="56"/>
        <rFont val="Century Gothic"/>
        <family val="2"/>
      </rPr>
      <t>without</t>
    </r>
    <r>
      <rPr>
        <sz val="11"/>
        <color indexed="56"/>
        <rFont val="Century Gothic"/>
        <family val="2"/>
      </rPr>
      <t xml:space="preserve"> earth contact</t>
    </r>
  </si>
  <si>
    <t>Eingangsbereich
(Entrance)</t>
  </si>
  <si>
    <t>Umkleiden
(Changing rooms)</t>
  </si>
  <si>
    <t>Duschen und Sanitärräume
(Showers and sanitary rooms)</t>
  </si>
  <si>
    <t>Schwimmhalle
(Swimming hall)</t>
  </si>
  <si>
    <t>Aufsichtsraum
(Supervisory room)</t>
  </si>
  <si>
    <t>Saunabereich
(Sauna area)</t>
  </si>
  <si>
    <t>Fitness
(Fitness)</t>
  </si>
  <si>
    <t>Technikraum
(Technical room)</t>
  </si>
  <si>
    <t>Perimeter pool</t>
  </si>
  <si>
    <t>Depth pool</t>
  </si>
  <si>
    <t>Filter rinses per week</t>
  </si>
  <si>
    <t>Filter type</t>
  </si>
  <si>
    <t>Water type</t>
  </si>
  <si>
    <t>Heat recovery rinsing wastewater</t>
  </si>
  <si>
    <t>Heat recovery rate rinsing wastewater</t>
  </si>
  <si>
    <t>Wastewater treatment</t>
  </si>
  <si>
    <t>Wastewater treatment rate</t>
  </si>
  <si>
    <t>Volume flow wastewater treatment night</t>
  </si>
  <si>
    <t>Night setback</t>
  </si>
  <si>
    <t>Pool covering outside operating hours</t>
  </si>
  <si>
    <t>Wave height</t>
  </si>
  <si>
    <t>Wave width</t>
  </si>
  <si>
    <t>Interval wave operation</t>
  </si>
  <si>
    <t>Share of wave operation</t>
  </si>
  <si>
    <t>Construction of pool wall</t>
  </si>
  <si>
    <t>Schwimmerbecken
(Swimmer pool)</t>
  </si>
  <si>
    <t>Mehrzweckbecken
(Multipurpose pool)</t>
  </si>
  <si>
    <t>Kleinkinderbecken
(Toddler pool)</t>
  </si>
  <si>
    <t>Nichtschwimmerbecken
(Non-swimmer pool)</t>
  </si>
  <si>
    <t>Springerbecken
(Diving pool)</t>
  </si>
  <si>
    <t>Freiformbecken1
(Freeform pool 1)</t>
  </si>
  <si>
    <t>Freiformbecken2
(Freeform pool 2)</t>
  </si>
  <si>
    <t>Freiformbecken3
(Freeform pool 3)</t>
  </si>
  <si>
    <t>Freiformbecken4
(Freeform pool 4)</t>
  </si>
  <si>
    <t>Reinforced concrete</t>
  </si>
  <si>
    <t>Open suction filter</t>
  </si>
  <si>
    <t>Quartz gravel filter</t>
  </si>
  <si>
    <t>without ozone</t>
  </si>
  <si>
    <t>with bromine</t>
  </si>
  <si>
    <t>Freshwater</t>
  </si>
  <si>
    <t>Zone designation in german (english)</t>
  </si>
  <si>
    <t>Pool designation in german (english)</t>
  </si>
  <si>
    <t>Operation of artificial waves</t>
  </si>
  <si>
    <t>[per week]</t>
  </si>
  <si>
    <t>[per day]</t>
  </si>
  <si>
    <t>Filter combination</t>
  </si>
  <si>
    <t>Visitor number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</si>
</sst>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sz val="11"/>
      <name val="Century Gothic"/>
      <family val="2"/>
    </font>
    <font>
      <vertAlign val="superscript"/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1F497D"/>
      <name val="Century Gothic"/>
      <family val="2"/>
    </font>
    <font>
      <b/>
      <sz val="11"/>
      <color rgb="FF000000"/>
      <name val="Calibri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theme="0" tint="-0.249977111117893"/>
      <name val="Century Gothic"/>
      <family val="2"/>
    </font>
    <font>
      <sz val="16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rgb="FFFF0000"/>
      <name val="Century Gothic"/>
      <family val="2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sz val="16"/>
      <color rgb="FFFF0000"/>
      <name val="Calibri"/>
      <family val="2"/>
    </font>
    <font>
      <u/>
      <sz val="11"/>
      <color indexed="56"/>
      <name val="Century Gothic"/>
      <family val="2"/>
    </font>
    <font>
      <sz val="11"/>
      <color indexed="56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Border="0"/>
  </cellStyleXfs>
  <cellXfs count="203">
    <xf numFmtId="0" fontId="0" fillId="0" borderId="0" xfId="0"/>
    <xf numFmtId="0" fontId="7" fillId="0" borderId="0" xfId="1"/>
    <xf numFmtId="0" fontId="7" fillId="0" borderId="1" xfId="1" applyBorder="1"/>
    <xf numFmtId="0" fontId="9" fillId="0" borderId="1" xfId="1" applyFont="1" applyBorder="1"/>
    <xf numFmtId="0" fontId="9" fillId="0" borderId="1" xfId="1" applyFont="1" applyBorder="1" applyAlignment="1">
      <alignment horizontal="left" vertical="center"/>
    </xf>
    <xf numFmtId="0" fontId="7" fillId="0" borderId="0" xfId="1" applyAlignment="1">
      <alignment horizontal="left"/>
    </xf>
    <xf numFmtId="0" fontId="7" fillId="0" borderId="2" xfId="1" applyBorder="1" applyAlignment="1">
      <alignment horizontal="left"/>
    </xf>
    <xf numFmtId="0" fontId="7" fillId="0" borderId="2" xfId="1" applyBorder="1"/>
    <xf numFmtId="0" fontId="7" fillId="0" borderId="3" xfId="1" applyBorder="1" applyAlignment="1">
      <alignment horizontal="left"/>
    </xf>
    <xf numFmtId="0" fontId="7" fillId="0" borderId="3" xfId="1" applyBorder="1"/>
    <xf numFmtId="0" fontId="7" fillId="0" borderId="0" xfId="1" applyBorder="1"/>
    <xf numFmtId="0" fontId="7" fillId="0" borderId="0" xfId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9" fillId="0" borderId="0" xfId="1" applyFont="1" applyBorder="1" applyAlignment="1">
      <alignment vertical="top" wrapText="1"/>
    </xf>
    <xf numFmtId="0" fontId="9" fillId="0" borderId="0" xfId="1" applyFont="1" applyBorder="1" applyAlignment="1">
      <alignment horizontal="left" vertical="top" wrapText="1"/>
    </xf>
    <xf numFmtId="0" fontId="7" fillId="0" borderId="0" xfId="1" applyAlignment="1">
      <alignment vertical="top" wrapText="1"/>
    </xf>
    <xf numFmtId="0" fontId="10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center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7" fillId="0" borderId="2" xfId="1" applyBorder="1" applyAlignment="1">
      <alignment horizontal="left" vertical="center" wrapText="1"/>
    </xf>
    <xf numFmtId="0" fontId="7" fillId="0" borderId="0" xfId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3" xfId="1" applyFill="1" applyBorder="1" applyAlignment="1">
      <alignment horizontal="left" vertical="center"/>
    </xf>
    <xf numFmtId="0" fontId="7" fillId="0" borderId="3" xfId="1" applyFill="1" applyBorder="1" applyAlignment="1">
      <alignment horizontal="left"/>
    </xf>
    <xf numFmtId="2" fontId="7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7" fillId="0" borderId="3" xfId="1" applyNumberFormat="1" applyFill="1" applyBorder="1" applyAlignment="1">
      <alignment horizontal="left" vertical="center"/>
    </xf>
    <xf numFmtId="2" fontId="7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7" fillId="0" borderId="3" xfId="1" applyNumberFormat="1" applyBorder="1" applyAlignment="1">
      <alignment horizontal="left" vertical="center"/>
    </xf>
    <xf numFmtId="2" fontId="7" fillId="0" borderId="0" xfId="1" applyNumberFormat="1" applyFill="1" applyBorder="1" applyAlignment="1">
      <alignment horizontal="left" vertical="center"/>
    </xf>
    <xf numFmtId="2" fontId="6" fillId="0" borderId="0" xfId="1" applyNumberFormat="1" applyFont="1" applyBorder="1" applyAlignment="1">
      <alignment horizontal="left" vertical="center"/>
    </xf>
    <xf numFmtId="2" fontId="7" fillId="0" borderId="0" xfId="1" applyNumberFormat="1" applyFill="1" applyAlignment="1">
      <alignment horizontal="left"/>
    </xf>
    <xf numFmtId="2" fontId="6" fillId="0" borderId="41" xfId="1" applyNumberFormat="1" applyFont="1" applyBorder="1" applyAlignment="1">
      <alignment horizontal="left"/>
    </xf>
    <xf numFmtId="0" fontId="7" fillId="0" borderId="10" xfId="1" applyFill="1" applyBorder="1" applyAlignment="1">
      <alignment horizontal="left" vertical="center"/>
    </xf>
    <xf numFmtId="0" fontId="0" fillId="0" borderId="0" xfId="0" applyFill="1"/>
    <xf numFmtId="0" fontId="14" fillId="0" borderId="0" xfId="0" applyFont="1"/>
    <xf numFmtId="2" fontId="0" fillId="0" borderId="10" xfId="0" applyNumberFormat="1" applyFill="1" applyBorder="1" applyAlignment="1" applyProtection="1">
      <alignment horizontal="left"/>
    </xf>
    <xf numFmtId="0" fontId="7" fillId="0" borderId="10" xfId="1" applyFill="1" applyBorder="1"/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0" fontId="7" fillId="0" borderId="2" xfId="1" applyBorder="1" applyAlignment="1">
      <alignment horizontal="left" vertical="center"/>
    </xf>
    <xf numFmtId="164" fontId="8" fillId="0" borderId="11" xfId="0" applyNumberFormat="1" applyFont="1" applyBorder="1" applyAlignment="1">
      <alignment horizontal="center" vertical="center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5" fillId="2" borderId="11" xfId="0" applyNumberFormat="1" applyFont="1" applyFill="1" applyBorder="1" applyAlignment="1">
      <alignment horizontal="center" vertical="center" wrapText="1"/>
    </xf>
    <xf numFmtId="164" fontId="15" fillId="2" borderId="12" xfId="0" applyNumberFormat="1" applyFont="1" applyFill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164" fontId="15" fillId="2" borderId="14" xfId="0" applyNumberFormat="1" applyFont="1" applyFill="1" applyBorder="1" applyAlignment="1">
      <alignment horizontal="center" vertical="center" wrapText="1"/>
    </xf>
    <xf numFmtId="164" fontId="15" fillId="2" borderId="7" xfId="0" applyNumberFormat="1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 wrapText="1"/>
    </xf>
    <xf numFmtId="164" fontId="11" fillId="0" borderId="17" xfId="0" applyNumberFormat="1" applyFont="1" applyFill="1" applyBorder="1" applyAlignment="1">
      <alignment horizontal="center" vertical="center"/>
    </xf>
    <xf numFmtId="164" fontId="15" fillId="2" borderId="16" xfId="0" applyNumberFormat="1" applyFont="1" applyFill="1" applyBorder="1" applyAlignment="1">
      <alignment horizontal="center" vertical="center" wrapText="1"/>
    </xf>
    <xf numFmtId="164" fontId="15" fillId="2" borderId="17" xfId="0" applyNumberFormat="1" applyFont="1" applyFill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 wrapText="1"/>
    </xf>
    <xf numFmtId="164" fontId="11" fillId="0" borderId="21" xfId="0" applyNumberFormat="1" applyFont="1" applyFill="1" applyBorder="1" applyAlignment="1">
      <alignment horizontal="center" vertical="center"/>
    </xf>
    <xf numFmtId="164" fontId="15" fillId="2" borderId="22" xfId="0" applyNumberFormat="1" applyFont="1" applyFill="1" applyBorder="1" applyAlignment="1">
      <alignment horizontal="center" vertical="center" wrapText="1"/>
    </xf>
    <xf numFmtId="164" fontId="15" fillId="2" borderId="23" xfId="0" applyNumberFormat="1" applyFont="1" applyFill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 wrapText="1"/>
    </xf>
    <xf numFmtId="164" fontId="11" fillId="0" borderId="7" xfId="0" applyNumberFormat="1" applyFont="1" applyFill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 wrapText="1"/>
    </xf>
    <xf numFmtId="164" fontId="8" fillId="0" borderId="26" xfId="0" applyNumberFormat="1" applyFont="1" applyBorder="1" applyAlignment="1">
      <alignment horizontal="center" vertical="center" wrapText="1"/>
    </xf>
    <xf numFmtId="164" fontId="11" fillId="0" borderId="27" xfId="0" applyNumberFormat="1" applyFont="1" applyFill="1" applyBorder="1" applyAlignment="1">
      <alignment horizontal="center" vertical="center"/>
    </xf>
    <xf numFmtId="164" fontId="8" fillId="0" borderId="28" xfId="0" applyNumberFormat="1" applyFont="1" applyFill="1" applyBorder="1" applyAlignment="1">
      <alignment horizontal="center" vertical="center" wrapText="1"/>
    </xf>
    <xf numFmtId="164" fontId="11" fillId="0" borderId="4" xfId="0" applyNumberFormat="1" applyFont="1" applyFill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1" fillId="0" borderId="27" xfId="0" applyNumberFormat="1" applyFont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/>
    </xf>
    <xf numFmtId="164" fontId="12" fillId="2" borderId="27" xfId="0" applyNumberFormat="1" applyFont="1" applyFill="1" applyBorder="1" applyAlignment="1">
      <alignment horizontal="center"/>
    </xf>
    <xf numFmtId="164" fontId="11" fillId="0" borderId="28" xfId="0" applyNumberFormat="1" applyFont="1" applyBorder="1" applyAlignment="1">
      <alignment horizontal="center"/>
    </xf>
    <xf numFmtId="164" fontId="11" fillId="0" borderId="28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 wrapText="1"/>
    </xf>
    <xf numFmtId="164" fontId="11" fillId="0" borderId="29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164" fontId="12" fillId="2" borderId="29" xfId="0" applyNumberFormat="1" applyFont="1" applyFill="1" applyBorder="1" applyAlignment="1">
      <alignment horizontal="center"/>
    </xf>
    <xf numFmtId="164" fontId="11" fillId="0" borderId="30" xfId="0" applyNumberFormat="1" applyFont="1" applyBorder="1" applyAlignment="1">
      <alignment horizontal="center"/>
    </xf>
    <xf numFmtId="164" fontId="11" fillId="0" borderId="30" xfId="0" applyNumberFormat="1" applyFont="1" applyBorder="1" applyAlignment="1">
      <alignment horizontal="center" vertical="center"/>
    </xf>
    <xf numFmtId="164" fontId="11" fillId="0" borderId="29" xfId="0" applyNumberFormat="1" applyFont="1" applyFill="1" applyBorder="1" applyAlignment="1">
      <alignment horizontal="center" vertical="center"/>
    </xf>
    <xf numFmtId="1" fontId="11" fillId="0" borderId="31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>
      <alignment horizontal="center" vertical="center"/>
    </xf>
    <xf numFmtId="1" fontId="11" fillId="0" borderId="32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/>
    </xf>
    <xf numFmtId="1" fontId="11" fillId="0" borderId="21" xfId="0" applyNumberFormat="1" applyFont="1" applyBorder="1" applyAlignment="1">
      <alignment horizontal="center" vertical="center"/>
    </xf>
    <xf numFmtId="1" fontId="11" fillId="0" borderId="33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11" fillId="3" borderId="29" xfId="0" applyNumberFormat="1" applyFont="1" applyFill="1" applyBorder="1" applyAlignment="1">
      <alignment horizontal="center" vertical="center"/>
    </xf>
    <xf numFmtId="164" fontId="11" fillId="3" borderId="30" xfId="0" applyNumberFormat="1" applyFont="1" applyFill="1" applyBorder="1" applyAlignment="1">
      <alignment horizontal="center" vertical="center"/>
    </xf>
    <xf numFmtId="164" fontId="11" fillId="3" borderId="27" xfId="0" applyNumberFormat="1" applyFont="1" applyFill="1" applyBorder="1" applyAlignment="1">
      <alignment horizontal="center" vertical="center" wrapText="1"/>
    </xf>
    <xf numFmtId="164" fontId="8" fillId="0" borderId="30" xfId="0" applyNumberFormat="1" applyFont="1" applyFill="1" applyBorder="1" applyAlignment="1">
      <alignment horizontal="center" vertical="center" wrapText="1"/>
    </xf>
    <xf numFmtId="164" fontId="11" fillId="0" borderId="5" xfId="0" applyNumberFormat="1" applyFont="1" applyFill="1" applyBorder="1" applyAlignment="1">
      <alignment horizontal="center"/>
    </xf>
    <xf numFmtId="164" fontId="11" fillId="0" borderId="30" xfId="0" applyNumberFormat="1" applyFont="1" applyFill="1" applyBorder="1" applyAlignment="1">
      <alignment horizontal="center"/>
    </xf>
    <xf numFmtId="164" fontId="11" fillId="0" borderId="30" xfId="0" applyNumberFormat="1" applyFont="1" applyFill="1" applyBorder="1" applyAlignment="1">
      <alignment horizontal="center" vertical="center"/>
    </xf>
    <xf numFmtId="164" fontId="11" fillId="3" borderId="28" xfId="0" applyNumberFormat="1" applyFont="1" applyFill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11" fillId="2" borderId="25" xfId="0" applyNumberFormat="1" applyFont="1" applyFill="1" applyBorder="1" applyAlignment="1">
      <alignment horizontal="center" vertical="center"/>
    </xf>
    <xf numFmtId="164" fontId="11" fillId="3" borderId="8" xfId="0" applyNumberFormat="1" applyFont="1" applyFill="1" applyBorder="1" applyAlignment="1">
      <alignment horizontal="center" vertical="center"/>
    </xf>
    <xf numFmtId="0" fontId="7" fillId="0" borderId="10" xfId="1" applyFill="1" applyBorder="1" applyAlignment="1">
      <alignment horizontal="left"/>
    </xf>
    <xf numFmtId="0" fontId="9" fillId="0" borderId="3" xfId="1" applyFont="1" applyBorder="1" applyAlignment="1">
      <alignment vertical="top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0" fontId="7" fillId="3" borderId="10" xfId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vertical="center" wrapText="1"/>
    </xf>
    <xf numFmtId="1" fontId="11" fillId="0" borderId="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165" fontId="7" fillId="0" borderId="0" xfId="1" applyNumberFormat="1" applyAlignment="1">
      <alignment horizontal="left" vertical="center"/>
    </xf>
    <xf numFmtId="165" fontId="7" fillId="0" borderId="3" xfId="1" applyNumberFormat="1" applyBorder="1" applyAlignment="1">
      <alignment horizontal="left" vertical="center"/>
    </xf>
    <xf numFmtId="165" fontId="7" fillId="0" borderId="0" xfId="1" applyNumberFormat="1" applyBorder="1" applyAlignment="1">
      <alignment horizontal="left" vertical="center"/>
    </xf>
    <xf numFmtId="165" fontId="7" fillId="0" borderId="0" xfId="1" applyNumberFormat="1" applyFill="1" applyBorder="1" applyAlignment="1">
      <alignment horizontal="left" vertical="center"/>
    </xf>
    <xf numFmtId="1" fontId="19" fillId="0" borderId="27" xfId="0" applyNumberFormat="1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/>
    </xf>
    <xf numFmtId="164" fontId="19" fillId="2" borderId="4" xfId="0" applyNumberFormat="1" applyFont="1" applyFill="1" applyBorder="1" applyAlignment="1">
      <alignment horizontal="center"/>
    </xf>
    <xf numFmtId="164" fontId="19" fillId="2" borderId="27" xfId="0" applyNumberFormat="1" applyFont="1" applyFill="1" applyBorder="1" applyAlignment="1">
      <alignment horizontal="center"/>
    </xf>
    <xf numFmtId="164" fontId="19" fillId="0" borderId="28" xfId="0" applyNumberFormat="1" applyFont="1" applyBorder="1" applyAlignment="1">
      <alignment horizontal="center"/>
    </xf>
    <xf numFmtId="1" fontId="19" fillId="0" borderId="28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9" fillId="0" borderId="0" xfId="1" applyFont="1"/>
    <xf numFmtId="0" fontId="8" fillId="0" borderId="8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42" xfId="0" applyFont="1" applyBorder="1" applyAlignment="1">
      <alignment horizontal="left" vertical="center" wrapText="1"/>
    </xf>
    <xf numFmtId="0" fontId="11" fillId="0" borderId="42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3" borderId="4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 wrapText="1"/>
    </xf>
    <xf numFmtId="0" fontId="18" fillId="0" borderId="39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8" fillId="3" borderId="37" xfId="0" applyFont="1" applyFill="1" applyBorder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9" fillId="0" borderId="0" xfId="1" applyFont="1" applyAlignment="1">
      <alignment vertical="top" wrapText="1"/>
    </xf>
    <xf numFmtId="0" fontId="7" fillId="0" borderId="0" xfId="1" applyAlignment="1">
      <alignment horizontal="left" vertical="center"/>
    </xf>
    <xf numFmtId="0" fontId="9" fillId="0" borderId="2" xfId="1" applyFont="1" applyBorder="1" applyAlignment="1">
      <alignment horizontal="left" vertical="center" wrapText="1"/>
    </xf>
    <xf numFmtId="0" fontId="7" fillId="0" borderId="30" xfId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R30"/>
  <sheetViews>
    <sheetView tabSelected="1" zoomScale="61" zoomScaleNormal="85" workbookViewId="0">
      <selection activeCell="A19" sqref="A19:XFD19"/>
    </sheetView>
  </sheetViews>
  <sheetFormatPr baseColWidth="10" defaultColWidth="11.42578125" defaultRowHeight="15" x14ac:dyDescent="0.25"/>
  <cols>
    <col min="1" max="1" width="28.85546875" style="22" customWidth="1"/>
    <col min="2" max="2" width="14.140625" style="23" customWidth="1"/>
    <col min="3" max="3" width="13.7109375" style="18" bestFit="1" customWidth="1"/>
    <col min="4" max="4" width="11.85546875" style="23" customWidth="1"/>
    <col min="5" max="5" width="11.42578125" style="18"/>
    <col min="6" max="6" width="13.28515625" style="18" customWidth="1"/>
    <col min="7" max="7" width="14.7109375" style="18" bestFit="1" customWidth="1"/>
    <col min="8" max="8" width="12" style="18" customWidth="1"/>
    <col min="9" max="9" width="11.42578125" style="18"/>
    <col min="10" max="10" width="11.42578125" style="18" customWidth="1"/>
    <col min="11" max="11" width="14.7109375" style="18" bestFit="1" customWidth="1"/>
    <col min="12" max="12" width="14.28515625" style="18" customWidth="1"/>
    <col min="13" max="13" width="11.42578125" style="18"/>
    <col min="14" max="14" width="7.7109375" style="18" customWidth="1"/>
    <col min="15" max="15" width="11.42578125" style="18"/>
    <col min="16" max="16" width="7.7109375" style="18" customWidth="1"/>
    <col min="17" max="16384" width="11.42578125" style="18"/>
  </cols>
  <sheetData>
    <row r="1" spans="1:17" ht="17.25" x14ac:dyDescent="0.25">
      <c r="A1" s="176" t="s">
        <v>104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</row>
    <row r="2" spans="1:17" ht="17.25" x14ac:dyDescent="0.25">
      <c r="A2" s="2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42" customHeight="1" x14ac:dyDescent="0.25">
      <c r="A3" s="161" t="s">
        <v>106</v>
      </c>
      <c r="B3" s="190" t="s">
        <v>0</v>
      </c>
      <c r="C3" s="188"/>
      <c r="D3" s="184" t="s">
        <v>1</v>
      </c>
      <c r="E3" s="186"/>
      <c r="F3" s="187" t="s">
        <v>2</v>
      </c>
      <c r="G3" s="188"/>
      <c r="H3" s="185" t="s">
        <v>3</v>
      </c>
      <c r="I3" s="186"/>
      <c r="J3" s="187" t="s">
        <v>4</v>
      </c>
      <c r="K3" s="188"/>
      <c r="L3" s="182" t="s">
        <v>5</v>
      </c>
      <c r="M3" s="183"/>
      <c r="N3" s="182" t="s">
        <v>6</v>
      </c>
      <c r="O3" s="183"/>
      <c r="P3" s="184" t="s">
        <v>7</v>
      </c>
      <c r="Q3" s="184"/>
    </row>
    <row r="4" spans="1:17" ht="50.1" customHeight="1" thickBot="1" x14ac:dyDescent="0.3">
      <c r="A4" s="161" t="s">
        <v>152</v>
      </c>
      <c r="B4" s="181" t="s">
        <v>112</v>
      </c>
      <c r="C4" s="191"/>
      <c r="D4" s="180" t="s">
        <v>113</v>
      </c>
      <c r="E4" s="191"/>
      <c r="F4" s="180" t="s">
        <v>114</v>
      </c>
      <c r="G4" s="191"/>
      <c r="H4" s="180" t="s">
        <v>115</v>
      </c>
      <c r="I4" s="191"/>
      <c r="J4" s="193" t="s">
        <v>116</v>
      </c>
      <c r="K4" s="194"/>
      <c r="L4" s="178" t="s">
        <v>117</v>
      </c>
      <c r="M4" s="179"/>
      <c r="N4" s="178" t="s">
        <v>118</v>
      </c>
      <c r="O4" s="179"/>
      <c r="P4" s="180" t="s">
        <v>119</v>
      </c>
      <c r="Q4" s="181"/>
    </row>
    <row r="5" spans="1:17" ht="50.1" customHeight="1" thickTop="1" x14ac:dyDescent="0.25">
      <c r="A5" s="189" t="s">
        <v>33</v>
      </c>
      <c r="B5" s="164" t="s">
        <v>8</v>
      </c>
      <c r="C5" s="108">
        <v>0</v>
      </c>
      <c r="D5" s="62" t="s">
        <v>8</v>
      </c>
      <c r="E5" s="63">
        <f>31.5*3.25</f>
        <v>102.375</v>
      </c>
      <c r="F5" s="62" t="s">
        <v>8</v>
      </c>
      <c r="G5" s="108">
        <v>0</v>
      </c>
      <c r="H5" s="62" t="s">
        <v>8</v>
      </c>
      <c r="I5" s="63">
        <f>10*6.2</f>
        <v>62</v>
      </c>
      <c r="J5" s="62" t="s">
        <v>8</v>
      </c>
      <c r="K5" s="108">
        <v>0</v>
      </c>
      <c r="L5" s="64" t="s">
        <v>8</v>
      </c>
      <c r="M5" s="65"/>
      <c r="N5" s="64" t="s">
        <v>8</v>
      </c>
      <c r="O5" s="65"/>
      <c r="P5" s="62" t="s">
        <v>8</v>
      </c>
      <c r="Q5" s="66">
        <f>6.25*10</f>
        <v>62.5</v>
      </c>
    </row>
    <row r="6" spans="1:17" ht="50.1" customHeight="1" x14ac:dyDescent="0.25">
      <c r="A6" s="189"/>
      <c r="B6" s="165" t="s">
        <v>9</v>
      </c>
      <c r="C6" s="67">
        <f>29*6.5</f>
        <v>188.5</v>
      </c>
      <c r="D6" s="68" t="s">
        <v>9</v>
      </c>
      <c r="E6" s="109">
        <f>8.5*3.25</f>
        <v>27.625</v>
      </c>
      <c r="F6" s="68" t="s">
        <v>9</v>
      </c>
      <c r="G6" s="109">
        <v>0</v>
      </c>
      <c r="H6" s="68" t="s">
        <v>9</v>
      </c>
      <c r="I6" s="109">
        <v>0</v>
      </c>
      <c r="J6" s="68" t="s">
        <v>9</v>
      </c>
      <c r="K6" s="109">
        <v>0</v>
      </c>
      <c r="L6" s="69" t="s">
        <v>9</v>
      </c>
      <c r="M6" s="70"/>
      <c r="N6" s="69" t="s">
        <v>9</v>
      </c>
      <c r="O6" s="70"/>
      <c r="P6" s="68" t="s">
        <v>9</v>
      </c>
      <c r="Q6" s="71">
        <v>0</v>
      </c>
    </row>
    <row r="7" spans="1:17" ht="50.1" customHeight="1" x14ac:dyDescent="0.25">
      <c r="A7" s="189"/>
      <c r="B7" s="165" t="s">
        <v>10</v>
      </c>
      <c r="C7" s="109">
        <v>0</v>
      </c>
      <c r="D7" s="68" t="s">
        <v>10</v>
      </c>
      <c r="E7" s="109">
        <v>0</v>
      </c>
      <c r="F7" s="68" t="s">
        <v>10</v>
      </c>
      <c r="G7" s="109">
        <v>0</v>
      </c>
      <c r="H7" s="68" t="s">
        <v>10</v>
      </c>
      <c r="I7" s="109">
        <f>(15+24)*6.2+13*2</f>
        <v>267.8</v>
      </c>
      <c r="J7" s="68" t="s">
        <v>10</v>
      </c>
      <c r="K7" s="109">
        <v>0</v>
      </c>
      <c r="L7" s="69" t="s">
        <v>10</v>
      </c>
      <c r="M7" s="70"/>
      <c r="N7" s="69" t="s">
        <v>10</v>
      </c>
      <c r="O7" s="70"/>
      <c r="P7" s="68" t="s">
        <v>10</v>
      </c>
      <c r="Q7" s="71">
        <v>0</v>
      </c>
    </row>
    <row r="8" spans="1:17" ht="50.1" customHeight="1" thickBot="1" x14ac:dyDescent="0.3">
      <c r="A8" s="189"/>
      <c r="B8" s="166" t="s">
        <v>11</v>
      </c>
      <c r="C8" s="112">
        <v>0</v>
      </c>
      <c r="D8" s="72" t="s">
        <v>11</v>
      </c>
      <c r="E8" s="110">
        <v>0</v>
      </c>
      <c r="F8" s="72" t="s">
        <v>11</v>
      </c>
      <c r="G8" s="110">
        <v>0</v>
      </c>
      <c r="H8" s="72" t="s">
        <v>11</v>
      </c>
      <c r="I8" s="73">
        <f>24.88*6.2</f>
        <v>154.256</v>
      </c>
      <c r="J8" s="72" t="s">
        <v>11</v>
      </c>
      <c r="K8" s="110">
        <v>0</v>
      </c>
      <c r="L8" s="74" t="s">
        <v>11</v>
      </c>
      <c r="M8" s="75"/>
      <c r="N8" s="74" t="s">
        <v>11</v>
      </c>
      <c r="O8" s="75"/>
      <c r="P8" s="76" t="s">
        <v>11</v>
      </c>
      <c r="Q8" s="77">
        <f>6.25*5+3*3.25</f>
        <v>41</v>
      </c>
    </row>
    <row r="9" spans="1:17" ht="50.1" customHeight="1" x14ac:dyDescent="0.25">
      <c r="A9" s="189" t="s">
        <v>12</v>
      </c>
      <c r="B9" s="167" t="s">
        <v>8</v>
      </c>
      <c r="C9" s="111">
        <v>0</v>
      </c>
      <c r="D9" s="78" t="s">
        <v>8</v>
      </c>
      <c r="E9" s="111">
        <f>(2.26*1)*7</f>
        <v>15.819999999999999</v>
      </c>
      <c r="F9" s="78" t="s">
        <v>8</v>
      </c>
      <c r="G9" s="111">
        <v>0</v>
      </c>
      <c r="H9" s="78" t="s">
        <v>8</v>
      </c>
      <c r="I9" s="79">
        <f>3*6.2</f>
        <v>18.600000000000001</v>
      </c>
      <c r="J9" s="78" t="s">
        <v>8</v>
      </c>
      <c r="K9" s="111">
        <v>0</v>
      </c>
      <c r="L9" s="80" t="s">
        <v>8</v>
      </c>
      <c r="M9" s="81"/>
      <c r="N9" s="80" t="s">
        <v>8</v>
      </c>
      <c r="O9" s="81"/>
      <c r="P9" s="82" t="s">
        <v>8</v>
      </c>
      <c r="Q9" s="104">
        <f>1.51*2+2*1.51</f>
        <v>6.04</v>
      </c>
    </row>
    <row r="10" spans="1:17" ht="50.1" customHeight="1" x14ac:dyDescent="0.25">
      <c r="A10" s="189"/>
      <c r="B10" s="165" t="s">
        <v>9</v>
      </c>
      <c r="C10" s="83">
        <f>C6-(2.5*6.5)</f>
        <v>172.25</v>
      </c>
      <c r="D10" s="84" t="s">
        <v>9</v>
      </c>
      <c r="E10" s="109">
        <v>0</v>
      </c>
      <c r="F10" s="84" t="s">
        <v>9</v>
      </c>
      <c r="G10" s="109">
        <v>0</v>
      </c>
      <c r="H10" s="84" t="s">
        <v>9</v>
      </c>
      <c r="I10" s="109">
        <v>0</v>
      </c>
      <c r="J10" s="84" t="s">
        <v>9</v>
      </c>
      <c r="K10" s="109">
        <v>0</v>
      </c>
      <c r="L10" s="69" t="s">
        <v>9</v>
      </c>
      <c r="M10" s="70"/>
      <c r="N10" s="69" t="s">
        <v>9</v>
      </c>
      <c r="O10" s="70"/>
      <c r="P10" s="68" t="s">
        <v>9</v>
      </c>
      <c r="Q10" s="105">
        <v>0</v>
      </c>
    </row>
    <row r="11" spans="1:17" ht="50.1" customHeight="1" x14ac:dyDescent="0.25">
      <c r="A11" s="189"/>
      <c r="B11" s="165" t="s">
        <v>10</v>
      </c>
      <c r="C11" s="109">
        <v>0</v>
      </c>
      <c r="D11" s="84" t="s">
        <v>10</v>
      </c>
      <c r="E11" s="109">
        <v>0</v>
      </c>
      <c r="F11" s="84" t="s">
        <v>10</v>
      </c>
      <c r="G11" s="109">
        <v>0</v>
      </c>
      <c r="H11" s="84" t="s">
        <v>10</v>
      </c>
      <c r="I11" s="83">
        <f>24*6.2+15*4+13*2</f>
        <v>234.8</v>
      </c>
      <c r="J11" s="84" t="s">
        <v>10</v>
      </c>
      <c r="K11" s="109">
        <v>0</v>
      </c>
      <c r="L11" s="69" t="s">
        <v>10</v>
      </c>
      <c r="M11" s="70"/>
      <c r="N11" s="69" t="s">
        <v>10</v>
      </c>
      <c r="O11" s="70"/>
      <c r="P11" s="68" t="s">
        <v>10</v>
      </c>
      <c r="Q11" s="105">
        <v>0</v>
      </c>
    </row>
    <row r="12" spans="1:17" ht="50.1" customHeight="1" thickBot="1" x14ac:dyDescent="0.3">
      <c r="A12" s="189"/>
      <c r="B12" s="168" t="s">
        <v>11</v>
      </c>
      <c r="C12" s="110">
        <v>0</v>
      </c>
      <c r="D12" s="85" t="s">
        <v>11</v>
      </c>
      <c r="E12" s="110">
        <v>0</v>
      </c>
      <c r="F12" s="85" t="s">
        <v>11</v>
      </c>
      <c r="G12" s="110">
        <v>0</v>
      </c>
      <c r="H12" s="85" t="s">
        <v>11</v>
      </c>
      <c r="I12" s="110">
        <f>24.88*6.2</f>
        <v>154.256</v>
      </c>
      <c r="J12" s="85" t="s">
        <v>11</v>
      </c>
      <c r="K12" s="110">
        <v>0</v>
      </c>
      <c r="L12" s="74" t="s">
        <v>11</v>
      </c>
      <c r="M12" s="75"/>
      <c r="N12" s="74" t="s">
        <v>11</v>
      </c>
      <c r="O12" s="75"/>
      <c r="P12" s="72" t="s">
        <v>11</v>
      </c>
      <c r="Q12" s="106">
        <f>2.16*2*2</f>
        <v>8.64</v>
      </c>
    </row>
    <row r="13" spans="1:17" ht="69.95" customHeight="1" thickBot="1" x14ac:dyDescent="0.35">
      <c r="A13" s="161" t="s">
        <v>31</v>
      </c>
      <c r="B13" s="169"/>
      <c r="C13" s="86">
        <f>29*8.5</f>
        <v>246.5</v>
      </c>
      <c r="D13" s="87"/>
      <c r="E13" s="86">
        <f>8.5*31.5</f>
        <v>267.75</v>
      </c>
      <c r="F13" s="88"/>
      <c r="G13" s="116">
        <f>8*31.5</f>
        <v>252</v>
      </c>
      <c r="H13" s="89"/>
      <c r="I13" s="86">
        <f>53*25</f>
        <v>1325</v>
      </c>
      <c r="J13" s="89"/>
      <c r="K13" s="86">
        <v>0</v>
      </c>
      <c r="L13" s="91"/>
      <c r="M13" s="92"/>
      <c r="N13" s="91"/>
      <c r="O13" s="92"/>
      <c r="P13" s="93"/>
      <c r="Q13" s="107">
        <f>8*17.2</f>
        <v>137.6</v>
      </c>
    </row>
    <row r="14" spans="1:17" ht="69.95" customHeight="1" thickBot="1" x14ac:dyDescent="0.35">
      <c r="A14" s="173" t="s">
        <v>13</v>
      </c>
      <c r="B14" s="170"/>
      <c r="C14" s="150">
        <v>0</v>
      </c>
      <c r="D14" s="151"/>
      <c r="E14" s="150">
        <v>0</v>
      </c>
      <c r="F14" s="152"/>
      <c r="G14" s="150">
        <v>0</v>
      </c>
      <c r="H14" s="152"/>
      <c r="I14" s="150">
        <v>0</v>
      </c>
      <c r="J14" s="152"/>
      <c r="K14" s="150">
        <v>0</v>
      </c>
      <c r="L14" s="153"/>
      <c r="M14" s="154"/>
      <c r="N14" s="153"/>
      <c r="O14" s="154"/>
      <c r="P14" s="155"/>
      <c r="Q14" s="156">
        <v>0</v>
      </c>
    </row>
    <row r="15" spans="1:17" ht="69.95" customHeight="1" thickBot="1" x14ac:dyDescent="0.35">
      <c r="A15" s="174" t="s">
        <v>71</v>
      </c>
      <c r="B15" s="169"/>
      <c r="C15" s="90">
        <f>29*8.5</f>
        <v>246.5</v>
      </c>
      <c r="D15" s="95"/>
      <c r="E15" s="86">
        <f>8.5*31.5</f>
        <v>267.75</v>
      </c>
      <c r="F15" s="89"/>
      <c r="G15" s="90">
        <f>8*31.5</f>
        <v>252</v>
      </c>
      <c r="H15" s="89"/>
      <c r="I15" s="90">
        <f>1325-(12.5*10+9.26*25+25*16.66)</f>
        <v>552</v>
      </c>
      <c r="J15" s="89"/>
      <c r="K15" s="90">
        <v>0</v>
      </c>
      <c r="L15" s="91"/>
      <c r="M15" s="92"/>
      <c r="N15" s="91"/>
      <c r="O15" s="92"/>
      <c r="P15" s="93"/>
      <c r="Q15" s="121">
        <f>17.2*8+9.26*25+2.23*(25+9.26+9.26)</f>
        <v>466.14960000000002</v>
      </c>
    </row>
    <row r="16" spans="1:17" ht="69.95" customHeight="1" thickBot="1" x14ac:dyDescent="0.35">
      <c r="A16" s="175" t="s">
        <v>70</v>
      </c>
      <c r="B16" s="171"/>
      <c r="C16" s="103">
        <f>6.2*((C19/8.51)*0.5+8.51*0.5+8.51) + 6.2*(3.885+5.165)</f>
        <v>225.04735957696826</v>
      </c>
      <c r="D16" s="117"/>
      <c r="E16" s="103">
        <f>(31.5*0.5+8.5)*3.25</f>
        <v>78.8125</v>
      </c>
      <c r="F16" s="118"/>
      <c r="G16" s="103">
        <f>3.25*(31.5+8+8+(7*8)+(2*8))</f>
        <v>388.375</v>
      </c>
      <c r="H16" s="118"/>
      <c r="I16" s="103">
        <f>6.2*(25*0.5+43*0.5+14)</f>
        <v>297.60000000000002</v>
      </c>
      <c r="J16" s="118"/>
      <c r="K16" s="103">
        <f>(21.2/2)*4*3.25</f>
        <v>137.79999999999998</v>
      </c>
      <c r="L16" s="91"/>
      <c r="M16" s="92"/>
      <c r="N16" s="91"/>
      <c r="O16" s="92"/>
      <c r="P16" s="119"/>
      <c r="Q16" s="115">
        <f>0.5*16.66*2.23+(25-16.66)*2.23+17.2*6.25+8*6.25*2</f>
        <v>244.67410000000001</v>
      </c>
    </row>
    <row r="17" spans="1:18" ht="69.95" customHeight="1" thickBot="1" x14ac:dyDescent="0.35">
      <c r="A17" s="175" t="s">
        <v>68</v>
      </c>
      <c r="B17" s="171"/>
      <c r="C17" s="103">
        <v>0</v>
      </c>
      <c r="D17" s="117"/>
      <c r="E17" s="103">
        <v>0</v>
      </c>
      <c r="F17" s="118"/>
      <c r="G17" s="114">
        <f>8*31.5</f>
        <v>252</v>
      </c>
      <c r="H17" s="118"/>
      <c r="I17" s="103">
        <v>0</v>
      </c>
      <c r="J17" s="118"/>
      <c r="K17" s="103">
        <f>11.79+9.41</f>
        <v>21.2</v>
      </c>
      <c r="L17" s="91"/>
      <c r="M17" s="92"/>
      <c r="N17" s="91"/>
      <c r="O17" s="100"/>
      <c r="P17" s="119"/>
      <c r="Q17" s="120">
        <f>25*9.26</f>
        <v>231.5</v>
      </c>
    </row>
    <row r="18" spans="1:18" ht="69.95" customHeight="1" thickBot="1" x14ac:dyDescent="0.35">
      <c r="A18" s="174" t="s">
        <v>69</v>
      </c>
      <c r="B18" s="172"/>
      <c r="C18" s="96">
        <v>0</v>
      </c>
      <c r="D18" s="97"/>
      <c r="E18" s="103">
        <v>0</v>
      </c>
      <c r="F18" s="98"/>
      <c r="G18" s="96">
        <v>0</v>
      </c>
      <c r="H18" s="98"/>
      <c r="I18" s="114">
        <f>9.26*25</f>
        <v>231.5</v>
      </c>
      <c r="J18" s="98"/>
      <c r="K18" s="103">
        <f>11.79+9.41</f>
        <v>21.2</v>
      </c>
      <c r="L18" s="99"/>
      <c r="M18" s="100"/>
      <c r="N18" s="99"/>
      <c r="O18" s="100"/>
      <c r="P18" s="101"/>
      <c r="Q18" s="102">
        <v>0</v>
      </c>
      <c r="R18" s="138"/>
    </row>
    <row r="19" spans="1:18" ht="69.95" customHeight="1" thickBot="1" x14ac:dyDescent="0.35">
      <c r="A19" s="174" t="s">
        <v>34</v>
      </c>
      <c r="B19" s="169"/>
      <c r="C19" s="90">
        <f>29*8.5</f>
        <v>246.5</v>
      </c>
      <c r="D19" s="95"/>
      <c r="E19" s="86">
        <f>8.5*31.5</f>
        <v>267.75</v>
      </c>
      <c r="F19" s="89"/>
      <c r="G19" s="90">
        <f>8*31.5</f>
        <v>252</v>
      </c>
      <c r="H19" s="89"/>
      <c r="I19" s="86">
        <f>53*25</f>
        <v>1325</v>
      </c>
      <c r="J19" s="89"/>
      <c r="K19" s="86">
        <f>11.79+9.41</f>
        <v>21.2</v>
      </c>
      <c r="L19" s="91"/>
      <c r="M19" s="92"/>
      <c r="N19" s="91"/>
      <c r="O19" s="92"/>
      <c r="P19" s="93"/>
      <c r="Q19" s="94">
        <f>8*17.2+9.26*25</f>
        <v>369.1</v>
      </c>
    </row>
    <row r="20" spans="1:18" ht="69.95" customHeight="1" x14ac:dyDescent="0.3">
      <c r="A20" s="174" t="s">
        <v>14</v>
      </c>
      <c r="B20" s="172"/>
      <c r="C20" s="103">
        <f>C19*6.2</f>
        <v>1528.3</v>
      </c>
      <c r="D20" s="97"/>
      <c r="E20" s="103">
        <f>E19*3.6</f>
        <v>963.9</v>
      </c>
      <c r="F20" s="98"/>
      <c r="G20" s="103">
        <f>G19*3.25</f>
        <v>819</v>
      </c>
      <c r="H20" s="98"/>
      <c r="I20" s="103">
        <f>I19*6.2</f>
        <v>8215</v>
      </c>
      <c r="J20" s="98"/>
      <c r="K20" s="103">
        <f>K19*3.25</f>
        <v>68.899999999999991</v>
      </c>
      <c r="L20" s="99"/>
      <c r="M20" s="100"/>
      <c r="N20" s="99"/>
      <c r="O20" s="100"/>
      <c r="P20" s="101"/>
      <c r="Q20" s="102">
        <f>25*9.26*2.23+17.2*9*4.75</f>
        <v>1251.5450000000001</v>
      </c>
      <c r="R20" s="138"/>
    </row>
    <row r="21" spans="1:18" ht="58.9" customHeight="1" x14ac:dyDescent="0.3">
      <c r="A21" s="134"/>
      <c r="B21" s="134"/>
      <c r="C21" s="24"/>
      <c r="D21" s="134"/>
      <c r="E21" s="24"/>
      <c r="F21" s="25"/>
      <c r="G21" s="24"/>
      <c r="H21" s="25"/>
      <c r="I21" s="19"/>
      <c r="J21" s="25"/>
      <c r="K21" s="19"/>
      <c r="L21" s="20"/>
      <c r="M21" s="20"/>
      <c r="N21" s="20"/>
      <c r="O21" s="20"/>
      <c r="P21" s="21"/>
      <c r="Q21" s="19"/>
      <c r="R21" s="138"/>
    </row>
    <row r="22" spans="1:18" ht="54.6" customHeight="1" x14ac:dyDescent="0.25">
      <c r="A22" s="136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24"/>
      <c r="R22" s="138"/>
    </row>
    <row r="23" spans="1:18" ht="57.6" customHeight="1" x14ac:dyDescent="0.25">
      <c r="A23" s="26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24"/>
      <c r="R23" s="138"/>
    </row>
    <row r="24" spans="1:18" ht="57.6" customHeight="1" x14ac:dyDescent="0.25">
      <c r="A24" s="26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24"/>
    </row>
    <row r="25" spans="1:18" ht="53.45" customHeight="1" x14ac:dyDescent="0.25">
      <c r="A25" s="26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24"/>
    </row>
    <row r="26" spans="1:18" ht="43.9" customHeight="1" x14ac:dyDescent="0.25"/>
    <row r="27" spans="1:18" ht="43.9" customHeight="1" x14ac:dyDescent="0.25">
      <c r="R27" s="192"/>
    </row>
    <row r="28" spans="1:18" ht="46.9" customHeight="1" x14ac:dyDescent="0.25">
      <c r="R28" s="192"/>
    </row>
    <row r="29" spans="1:18" ht="44.45" customHeight="1" x14ac:dyDescent="0.25"/>
    <row r="30" spans="1:18" ht="46.9" customHeight="1" x14ac:dyDescent="0.25"/>
  </sheetData>
  <mergeCells count="20">
    <mergeCell ref="R27:R28"/>
    <mergeCell ref="H4:I4"/>
    <mergeCell ref="D4:E4"/>
    <mergeCell ref="F4:G4"/>
    <mergeCell ref="J4:K4"/>
    <mergeCell ref="L4:M4"/>
    <mergeCell ref="A5:A8"/>
    <mergeCell ref="A9:A12"/>
    <mergeCell ref="B3:C3"/>
    <mergeCell ref="D3:E3"/>
    <mergeCell ref="F3:G3"/>
    <mergeCell ref="B4:C4"/>
    <mergeCell ref="A1:Q1"/>
    <mergeCell ref="N4:O4"/>
    <mergeCell ref="P4:Q4"/>
    <mergeCell ref="N3:O3"/>
    <mergeCell ref="P3:Q3"/>
    <mergeCell ref="H3:I3"/>
    <mergeCell ref="J3:K3"/>
    <mergeCell ref="L3:M3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U47"/>
  <sheetViews>
    <sheetView topLeftCell="C2" zoomScale="70" zoomScaleNormal="70" workbookViewId="0">
      <selection activeCell="D50" sqref="D50"/>
    </sheetView>
  </sheetViews>
  <sheetFormatPr baseColWidth="10" defaultColWidth="9.140625" defaultRowHeight="15" x14ac:dyDescent="0.25"/>
  <cols>
    <col min="1" max="1" width="36.42578125" style="1" customWidth="1"/>
    <col min="2" max="3" width="16.85546875" style="1" customWidth="1"/>
    <col min="4" max="4" width="33.140625" style="1" customWidth="1"/>
    <col min="5" max="5" width="12.7109375" style="29" customWidth="1"/>
    <col min="6" max="6" width="22.5703125" style="145" customWidth="1"/>
    <col min="7" max="7" width="46.85546875" style="1" customWidth="1"/>
    <col min="8" max="9" width="27.140625" style="37" customWidth="1"/>
    <col min="10" max="10" width="16.85546875" style="1" customWidth="1"/>
    <col min="11" max="11" width="0" style="1" hidden="1" customWidth="1"/>
    <col min="12" max="12" width="8.42578125" style="1" hidden="1" customWidth="1"/>
    <col min="13" max="14" width="0" style="1" hidden="1" customWidth="1"/>
    <col min="15" max="16384" width="9.140625" style="1"/>
  </cols>
  <sheetData>
    <row r="1" spans="1:21" x14ac:dyDescent="0.25">
      <c r="A1" s="200" t="s">
        <v>30</v>
      </c>
      <c r="B1" s="200"/>
      <c r="C1" s="200"/>
      <c r="D1" s="200"/>
      <c r="E1" s="30"/>
      <c r="F1" s="144"/>
      <c r="G1" s="7"/>
      <c r="H1" s="38"/>
      <c r="I1" s="38"/>
      <c r="J1" s="7"/>
      <c r="U1" t="s">
        <v>56</v>
      </c>
    </row>
    <row r="2" spans="1:21" s="16" customFormat="1" ht="44.25" customHeight="1" x14ac:dyDescent="0.25">
      <c r="A2" s="14" t="s">
        <v>15</v>
      </c>
      <c r="B2" s="14" t="s">
        <v>32</v>
      </c>
      <c r="C2" s="14" t="s">
        <v>66</v>
      </c>
      <c r="D2" s="14" t="s">
        <v>16</v>
      </c>
      <c r="E2" s="15" t="s">
        <v>17</v>
      </c>
      <c r="F2" s="15" t="s">
        <v>88</v>
      </c>
      <c r="G2" s="14" t="s">
        <v>72</v>
      </c>
      <c r="H2" s="14" t="s">
        <v>73</v>
      </c>
      <c r="I2" s="14" t="s">
        <v>74</v>
      </c>
      <c r="J2" s="14" t="s">
        <v>75</v>
      </c>
      <c r="K2" s="127" t="s">
        <v>18</v>
      </c>
      <c r="L2" s="127" t="s">
        <v>19</v>
      </c>
      <c r="M2" s="127" t="s">
        <v>20</v>
      </c>
      <c r="N2" s="127" t="s">
        <v>21</v>
      </c>
    </row>
    <row r="3" spans="1:21" ht="18" thickBot="1" x14ac:dyDescent="0.3">
      <c r="A3" s="2"/>
      <c r="B3" s="3"/>
      <c r="C3" s="3"/>
      <c r="D3" s="3" t="s">
        <v>55</v>
      </c>
      <c r="E3" s="4" t="s">
        <v>102</v>
      </c>
      <c r="F3" s="4"/>
      <c r="G3" s="2"/>
      <c r="H3" s="4" t="s">
        <v>26</v>
      </c>
      <c r="I3" s="4" t="s">
        <v>60</v>
      </c>
      <c r="J3" s="4" t="s">
        <v>61</v>
      </c>
      <c r="K3" s="2"/>
      <c r="L3" s="2"/>
      <c r="M3" s="2"/>
      <c r="N3" s="2"/>
      <c r="O3" s="158" t="s">
        <v>103</v>
      </c>
    </row>
    <row r="4" spans="1:21" ht="15" customHeight="1" x14ac:dyDescent="0.25">
      <c r="A4" s="201" t="s">
        <v>51</v>
      </c>
      <c r="B4" s="32"/>
      <c r="C4" s="32"/>
      <c r="D4" s="5">
        <v>0</v>
      </c>
      <c r="E4" s="146">
        <v>25</v>
      </c>
      <c r="F4" s="146" t="s">
        <v>89</v>
      </c>
      <c r="G4" t="s">
        <v>56</v>
      </c>
      <c r="H4" s="44">
        <v>1.9375</v>
      </c>
      <c r="I4" s="44">
        <v>2104.1999999999998</v>
      </c>
      <c r="J4" s="44">
        <v>0.77584580000000003</v>
      </c>
      <c r="K4" s="199" t="s">
        <v>22</v>
      </c>
      <c r="L4" s="199" t="s">
        <v>23</v>
      </c>
      <c r="M4" s="199" t="s">
        <v>22</v>
      </c>
      <c r="N4" s="199" t="s">
        <v>24</v>
      </c>
      <c r="O4" s="158"/>
      <c r="P4" s="158"/>
      <c r="Q4" s="158"/>
    </row>
    <row r="5" spans="1:21" x14ac:dyDescent="0.25">
      <c r="A5" s="199"/>
      <c r="B5" s="32"/>
      <c r="C5" s="32"/>
      <c r="D5" s="5">
        <v>1</v>
      </c>
      <c r="E5" s="146">
        <v>16</v>
      </c>
      <c r="F5" s="146" t="s">
        <v>90</v>
      </c>
      <c r="G5" t="s">
        <v>57</v>
      </c>
      <c r="H5" s="43">
        <v>0.04</v>
      </c>
      <c r="I5" s="44">
        <v>31</v>
      </c>
      <c r="J5" s="44">
        <v>1.45</v>
      </c>
      <c r="K5" s="199"/>
      <c r="L5" s="199"/>
      <c r="M5" s="199"/>
      <c r="N5" s="199"/>
      <c r="O5" s="158">
        <v>0.23199375648139239</v>
      </c>
      <c r="P5" s="158"/>
      <c r="Q5" s="158"/>
    </row>
    <row r="6" spans="1:21" x14ac:dyDescent="0.25">
      <c r="A6" s="199"/>
      <c r="B6" s="32"/>
      <c r="C6" s="32"/>
      <c r="D6" s="5">
        <v>2</v>
      </c>
      <c r="E6" s="146">
        <v>0.5</v>
      </c>
      <c r="F6" s="146" t="s">
        <v>91</v>
      </c>
      <c r="G6" t="s">
        <v>58</v>
      </c>
      <c r="H6" s="44">
        <v>0.7</v>
      </c>
      <c r="I6" s="44">
        <v>1645</v>
      </c>
      <c r="J6" s="44">
        <v>10</v>
      </c>
      <c r="K6" s="199"/>
      <c r="L6" s="199"/>
      <c r="M6" s="199"/>
      <c r="N6" s="199"/>
      <c r="O6" s="158"/>
      <c r="P6" s="158"/>
      <c r="Q6" s="158"/>
    </row>
    <row r="7" spans="1:21" x14ac:dyDescent="0.25">
      <c r="A7" s="199"/>
      <c r="B7" s="32"/>
      <c r="C7" s="32"/>
      <c r="D7" s="5">
        <v>3</v>
      </c>
      <c r="E7" s="146">
        <v>0.3</v>
      </c>
      <c r="F7" s="146" t="s">
        <v>91</v>
      </c>
      <c r="G7" t="s">
        <v>59</v>
      </c>
      <c r="H7" s="43">
        <v>0.7</v>
      </c>
      <c r="I7" s="44">
        <v>1690</v>
      </c>
      <c r="J7" s="44">
        <v>1</v>
      </c>
      <c r="K7" s="199"/>
      <c r="L7" s="199"/>
      <c r="M7" s="199"/>
      <c r="N7" s="199"/>
      <c r="O7" s="158"/>
      <c r="P7" s="158"/>
      <c r="Q7" s="158"/>
    </row>
    <row r="8" spans="1:21" x14ac:dyDescent="0.25">
      <c r="A8" s="199"/>
      <c r="B8" s="32"/>
      <c r="C8" s="32"/>
      <c r="D8" s="5">
        <v>4</v>
      </c>
      <c r="K8" s="199"/>
      <c r="L8" s="199"/>
      <c r="M8" s="199"/>
      <c r="N8" s="199"/>
      <c r="O8" s="158"/>
      <c r="P8" s="158"/>
      <c r="Q8" s="158"/>
    </row>
    <row r="9" spans="1:21" x14ac:dyDescent="0.25">
      <c r="A9" s="197"/>
      <c r="B9" s="31"/>
      <c r="C9" s="31"/>
      <c r="D9" s="6">
        <v>5</v>
      </c>
      <c r="I9" s="38"/>
      <c r="J9" s="38"/>
      <c r="K9" s="197"/>
      <c r="L9" s="197"/>
      <c r="M9" s="197"/>
      <c r="N9" s="197"/>
      <c r="O9" s="158"/>
      <c r="P9" s="158"/>
      <c r="Q9" s="158"/>
    </row>
    <row r="10" spans="1:21" ht="16.5" customHeight="1" x14ac:dyDescent="0.25">
      <c r="A10" s="195" t="s">
        <v>52</v>
      </c>
      <c r="B10" s="27"/>
      <c r="C10" s="35"/>
      <c r="D10" s="8">
        <v>0</v>
      </c>
      <c r="E10" s="45">
        <v>12.5</v>
      </c>
      <c r="F10" s="45"/>
      <c r="G10" s="13" t="s">
        <v>25</v>
      </c>
      <c r="H10" s="35"/>
      <c r="I10" s="35"/>
      <c r="J10" s="5"/>
      <c r="K10" s="195" t="s">
        <v>22</v>
      </c>
      <c r="L10" s="195" t="s">
        <v>23</v>
      </c>
      <c r="M10" s="195" t="s">
        <v>22</v>
      </c>
      <c r="N10" s="195" t="s">
        <v>24</v>
      </c>
      <c r="O10" s="198"/>
      <c r="P10" s="198"/>
      <c r="Q10" s="198"/>
    </row>
    <row r="11" spans="1:21" x14ac:dyDescent="0.25">
      <c r="A11" s="196"/>
      <c r="B11" s="28"/>
      <c r="C11" s="36"/>
      <c r="D11" s="11">
        <v>1</v>
      </c>
      <c r="E11" s="28">
        <v>7</v>
      </c>
      <c r="F11" s="143"/>
      <c r="G11" t="s">
        <v>28</v>
      </c>
      <c r="H11" s="36"/>
      <c r="I11" s="36"/>
      <c r="J11" s="5"/>
      <c r="K11" s="196"/>
      <c r="L11" s="196"/>
      <c r="M11" s="196"/>
      <c r="N11" s="196"/>
      <c r="O11" s="198"/>
      <c r="P11" s="198"/>
      <c r="Q11" s="198"/>
    </row>
    <row r="12" spans="1:21" x14ac:dyDescent="0.25">
      <c r="A12" s="196"/>
      <c r="B12" s="28"/>
      <c r="C12" s="36"/>
      <c r="D12" s="5">
        <v>2</v>
      </c>
      <c r="E12" s="29">
        <v>12.5</v>
      </c>
      <c r="G12" t="s">
        <v>25</v>
      </c>
      <c r="J12" s="5"/>
      <c r="K12" s="199"/>
      <c r="L12" s="199"/>
      <c r="M12" s="199"/>
      <c r="N12" s="199"/>
      <c r="O12" s="198"/>
      <c r="P12" s="198"/>
      <c r="Q12" s="198"/>
    </row>
    <row r="13" spans="1:21" x14ac:dyDescent="0.25">
      <c r="A13" s="196"/>
      <c r="B13" s="28"/>
      <c r="C13" s="36"/>
      <c r="D13" s="5">
        <v>3</v>
      </c>
      <c r="E13" s="28"/>
      <c r="F13" s="143"/>
      <c r="G13"/>
      <c r="H13" s="36"/>
      <c r="I13" s="36"/>
      <c r="J13" s="5"/>
      <c r="K13" s="199"/>
      <c r="L13" s="199"/>
      <c r="M13" s="199"/>
      <c r="N13" s="199"/>
      <c r="O13" s="198"/>
      <c r="P13" s="198"/>
      <c r="Q13" s="198"/>
    </row>
    <row r="14" spans="1:21" x14ac:dyDescent="0.25">
      <c r="A14" s="196"/>
      <c r="B14" s="36"/>
      <c r="C14" s="36"/>
      <c r="D14" s="5">
        <v>4</v>
      </c>
      <c r="E14" s="36"/>
      <c r="F14" s="143"/>
      <c r="G14"/>
      <c r="H14" s="36"/>
      <c r="I14" s="36"/>
      <c r="J14" s="5"/>
      <c r="K14" s="199"/>
      <c r="L14" s="199"/>
      <c r="M14" s="199"/>
      <c r="N14" s="199"/>
      <c r="O14" s="198"/>
      <c r="P14" s="198"/>
      <c r="Q14" s="198"/>
    </row>
    <row r="15" spans="1:21" x14ac:dyDescent="0.25">
      <c r="A15" s="197"/>
      <c r="B15" s="30"/>
      <c r="C15" s="38"/>
      <c r="D15" s="6">
        <v>5</v>
      </c>
      <c r="E15" s="30"/>
      <c r="F15" s="144"/>
      <c r="G15" s="12"/>
      <c r="H15" s="36"/>
      <c r="I15" s="38"/>
      <c r="J15" s="5"/>
      <c r="K15" s="197"/>
      <c r="L15" s="197"/>
      <c r="M15" s="197"/>
      <c r="N15" s="197"/>
      <c r="O15" s="198"/>
      <c r="P15" s="198"/>
      <c r="Q15" s="198"/>
    </row>
    <row r="16" spans="1:21" x14ac:dyDescent="0.25">
      <c r="A16" s="195" t="s">
        <v>67</v>
      </c>
      <c r="B16" s="9"/>
      <c r="C16" s="9"/>
      <c r="D16" s="8">
        <v>0</v>
      </c>
      <c r="E16" s="147">
        <f>0.88/100</f>
        <v>8.8000000000000005E-3</v>
      </c>
      <c r="F16" s="46" t="s">
        <v>92</v>
      </c>
      <c r="G16" t="s">
        <v>63</v>
      </c>
      <c r="H16" s="48">
        <v>48</v>
      </c>
      <c r="I16" s="44">
        <v>7800</v>
      </c>
      <c r="J16" s="35">
        <v>0.47699999999999998</v>
      </c>
      <c r="K16" s="195" t="s">
        <v>22</v>
      </c>
      <c r="L16" s="195" t="s">
        <v>23</v>
      </c>
      <c r="M16" s="195" t="s">
        <v>22</v>
      </c>
      <c r="N16" s="195" t="s">
        <v>24</v>
      </c>
      <c r="O16" s="158"/>
      <c r="P16" s="158"/>
      <c r="Q16" s="158"/>
    </row>
    <row r="17" spans="1:17" x14ac:dyDescent="0.25">
      <c r="A17" s="196"/>
      <c r="B17" s="10"/>
      <c r="C17" s="10"/>
      <c r="D17" s="11">
        <v>1</v>
      </c>
      <c r="E17" s="148">
        <f>0.5/100</f>
        <v>5.0000000000000001E-3</v>
      </c>
      <c r="F17" t="s">
        <v>93</v>
      </c>
      <c r="G17" t="s">
        <v>64</v>
      </c>
      <c r="H17" s="46">
        <v>5</v>
      </c>
      <c r="I17" s="44">
        <v>1200</v>
      </c>
      <c r="J17" s="36">
        <v>1</v>
      </c>
      <c r="K17" s="196"/>
      <c r="L17" s="196"/>
      <c r="M17" s="196"/>
      <c r="N17" s="196"/>
      <c r="O17" s="158">
        <v>0.15488821680515028</v>
      </c>
      <c r="P17" s="158"/>
      <c r="Q17" s="158"/>
    </row>
    <row r="18" spans="1:17" x14ac:dyDescent="0.25">
      <c r="A18" s="196"/>
      <c r="B18" s="10"/>
      <c r="C18" s="10"/>
      <c r="D18" s="11">
        <v>2</v>
      </c>
      <c r="E18" s="149">
        <f>25/100</f>
        <v>0.25</v>
      </c>
      <c r="F18" s="49" t="s">
        <v>90</v>
      </c>
      <c r="G18" s="54" t="s">
        <v>57</v>
      </c>
      <c r="H18" s="49">
        <v>0.04</v>
      </c>
      <c r="I18" s="51">
        <v>31</v>
      </c>
      <c r="J18" s="36">
        <v>1.45</v>
      </c>
      <c r="K18" s="196"/>
      <c r="L18" s="196"/>
      <c r="M18" s="196"/>
      <c r="N18" s="196"/>
      <c r="O18" s="158"/>
      <c r="P18" s="158"/>
      <c r="Q18" s="158"/>
    </row>
    <row r="19" spans="1:17" x14ac:dyDescent="0.25">
      <c r="A19" s="196"/>
      <c r="B19" s="10"/>
      <c r="C19" s="10"/>
      <c r="D19" s="11">
        <v>3</v>
      </c>
      <c r="E19" s="148">
        <f>0.2/100</f>
        <v>2E-3</v>
      </c>
      <c r="F19" s="46" t="s">
        <v>90</v>
      </c>
      <c r="G19" s="54" t="s">
        <v>57</v>
      </c>
      <c r="H19" s="46">
        <v>0.04</v>
      </c>
      <c r="I19" s="51">
        <v>31</v>
      </c>
      <c r="J19" s="36">
        <v>1.45</v>
      </c>
      <c r="K19" s="196"/>
      <c r="L19" s="196"/>
      <c r="M19" s="196"/>
      <c r="N19" s="196"/>
      <c r="O19" s="158"/>
      <c r="P19" s="158"/>
      <c r="Q19" s="158"/>
    </row>
    <row r="20" spans="1:17" x14ac:dyDescent="0.25">
      <c r="A20" s="196"/>
      <c r="B20" s="10"/>
      <c r="C20" s="10"/>
      <c r="D20" s="11">
        <v>4</v>
      </c>
      <c r="E20" s="148">
        <f>0.4/100</f>
        <v>4.0000000000000001E-3</v>
      </c>
      <c r="F20" t="s">
        <v>93</v>
      </c>
      <c r="G20" t="s">
        <v>64</v>
      </c>
      <c r="H20" s="46">
        <v>5</v>
      </c>
      <c r="I20" s="44">
        <v>1200</v>
      </c>
      <c r="J20" s="36">
        <v>1</v>
      </c>
      <c r="K20" s="196"/>
      <c r="L20" s="196"/>
      <c r="M20" s="196"/>
      <c r="N20" s="196"/>
      <c r="O20" s="158"/>
      <c r="P20" s="158"/>
      <c r="Q20" s="158"/>
    </row>
    <row r="21" spans="1:17" x14ac:dyDescent="0.25">
      <c r="A21" s="196"/>
      <c r="B21" s="10"/>
      <c r="C21" s="10"/>
      <c r="D21" s="11">
        <v>5</v>
      </c>
      <c r="E21" s="148">
        <f>0.5/100</f>
        <v>5.0000000000000001E-3</v>
      </c>
      <c r="F21" s="46"/>
      <c r="G21" s="55" t="s">
        <v>29</v>
      </c>
      <c r="H21" s="50">
        <v>0.35</v>
      </c>
      <c r="I21" s="52">
        <v>900</v>
      </c>
      <c r="J21" s="38">
        <v>2.2999999999999998</v>
      </c>
      <c r="K21" s="199"/>
      <c r="L21" s="199"/>
      <c r="M21" s="199"/>
      <c r="N21" s="199"/>
      <c r="O21" s="158"/>
      <c r="P21" s="158"/>
      <c r="Q21" s="158"/>
    </row>
    <row r="22" spans="1:17" x14ac:dyDescent="0.25">
      <c r="A22" s="195" t="s">
        <v>53</v>
      </c>
      <c r="B22" s="27"/>
      <c r="C22" s="35"/>
      <c r="D22" s="8">
        <v>0</v>
      </c>
      <c r="E22" s="27">
        <v>5</v>
      </c>
      <c r="F22" s="142" t="s">
        <v>95</v>
      </c>
      <c r="G22" s="9" t="s">
        <v>27</v>
      </c>
      <c r="H22" s="35">
        <v>1.4</v>
      </c>
      <c r="I22" s="35">
        <v>250</v>
      </c>
      <c r="J22" s="47">
        <v>2</v>
      </c>
      <c r="K22" s="195" t="s">
        <v>22</v>
      </c>
      <c r="L22" s="195" t="s">
        <v>23</v>
      </c>
      <c r="M22" s="195" t="s">
        <v>22</v>
      </c>
      <c r="N22" s="195" t="s">
        <v>24</v>
      </c>
      <c r="O22" s="158">
        <v>0.35273688165087808</v>
      </c>
      <c r="P22" s="158"/>
      <c r="Q22" s="158"/>
    </row>
    <row r="23" spans="1:17" x14ac:dyDescent="0.25">
      <c r="A23" s="196"/>
      <c r="B23" s="28"/>
      <c r="C23" s="36"/>
      <c r="D23" s="11">
        <v>1</v>
      </c>
      <c r="E23" s="28">
        <f>0.2</f>
        <v>0.2</v>
      </c>
      <c r="F23" t="s">
        <v>94</v>
      </c>
      <c r="G23" t="s">
        <v>29</v>
      </c>
      <c r="H23" s="36">
        <v>0.35</v>
      </c>
      <c r="I23" s="36">
        <v>900</v>
      </c>
      <c r="J23" s="47">
        <v>2.2999999999999998</v>
      </c>
      <c r="K23" s="196"/>
      <c r="L23" s="196"/>
      <c r="M23" s="196"/>
      <c r="N23" s="196"/>
      <c r="O23" s="158"/>
      <c r="P23" s="158"/>
      <c r="Q23" s="158"/>
    </row>
    <row r="24" spans="1:17" x14ac:dyDescent="0.25">
      <c r="A24" s="196"/>
      <c r="B24" s="36"/>
      <c r="C24" s="36"/>
      <c r="D24" s="11">
        <v>2</v>
      </c>
      <c r="E24" s="36">
        <v>5</v>
      </c>
      <c r="F24" s="143" t="s">
        <v>95</v>
      </c>
      <c r="G24" t="s">
        <v>27</v>
      </c>
      <c r="H24" s="36">
        <v>1.4</v>
      </c>
      <c r="I24" s="36">
        <v>250</v>
      </c>
      <c r="J24" s="47">
        <v>2</v>
      </c>
      <c r="K24" s="196"/>
      <c r="L24" s="196"/>
      <c r="M24" s="196"/>
      <c r="N24" s="196"/>
    </row>
    <row r="25" spans="1:17" x14ac:dyDescent="0.25">
      <c r="A25" s="196"/>
      <c r="B25" s="36"/>
      <c r="C25" s="36"/>
      <c r="D25" s="11">
        <v>3</v>
      </c>
      <c r="E25" s="36">
        <v>20</v>
      </c>
      <c r="F25" s="143" t="s">
        <v>89</v>
      </c>
      <c r="G25" t="s">
        <v>56</v>
      </c>
      <c r="H25" s="36">
        <v>1.94</v>
      </c>
      <c r="I25" s="36">
        <v>2104.1999999999998</v>
      </c>
      <c r="J25" s="47">
        <v>0.77584580000000003</v>
      </c>
      <c r="K25" s="196"/>
      <c r="L25" s="196"/>
      <c r="M25" s="196"/>
      <c r="N25" s="196"/>
    </row>
    <row r="26" spans="1:17" x14ac:dyDescent="0.25">
      <c r="A26" s="196"/>
      <c r="B26" s="36"/>
      <c r="C26" s="36"/>
      <c r="D26" s="11">
        <v>4</v>
      </c>
      <c r="E26" s="36">
        <v>0.2</v>
      </c>
      <c r="F26" t="s">
        <v>94</v>
      </c>
      <c r="G26" t="s">
        <v>29</v>
      </c>
      <c r="H26" s="36">
        <v>0.35</v>
      </c>
      <c r="I26" s="36">
        <v>900</v>
      </c>
      <c r="J26" s="37">
        <v>2.2999999999999998</v>
      </c>
      <c r="K26" s="196"/>
      <c r="L26" s="196"/>
      <c r="M26" s="196"/>
      <c r="N26" s="196"/>
    </row>
    <row r="27" spans="1:17" x14ac:dyDescent="0.25">
      <c r="A27" s="197"/>
      <c r="B27" s="30"/>
      <c r="C27" s="38"/>
      <c r="D27" s="6">
        <v>5</v>
      </c>
      <c r="E27" s="30">
        <v>10</v>
      </c>
      <c r="F27" t="s">
        <v>96</v>
      </c>
      <c r="G27" s="7" t="s">
        <v>62</v>
      </c>
      <c r="H27" s="38">
        <v>4.1000000000000002E-2</v>
      </c>
      <c r="I27" s="38">
        <v>30</v>
      </c>
      <c r="J27" s="38">
        <v>1.38</v>
      </c>
      <c r="K27" s="197"/>
      <c r="L27" s="197"/>
      <c r="M27" s="197"/>
      <c r="N27" s="197"/>
    </row>
    <row r="28" spans="1:17" x14ac:dyDescent="0.25">
      <c r="A28" s="195" t="s">
        <v>77</v>
      </c>
      <c r="B28" s="58"/>
      <c r="C28" s="58"/>
      <c r="D28" s="8">
        <v>0</v>
      </c>
      <c r="E28" s="58"/>
      <c r="F28" s="142"/>
      <c r="G28" s="9"/>
      <c r="H28" s="58"/>
      <c r="I28" s="58"/>
      <c r="J28" s="47"/>
      <c r="K28" s="195"/>
      <c r="L28" s="195"/>
      <c r="M28" s="195"/>
      <c r="N28" s="195"/>
    </row>
    <row r="29" spans="1:17" x14ac:dyDescent="0.25">
      <c r="A29" s="196"/>
      <c r="B29" s="59"/>
      <c r="C29" s="59"/>
      <c r="D29" s="11">
        <v>1</v>
      </c>
      <c r="E29" s="59"/>
      <c r="F29" s="143"/>
      <c r="G29"/>
      <c r="H29" s="59"/>
      <c r="I29" s="59"/>
      <c r="J29" s="47"/>
      <c r="K29" s="196"/>
      <c r="L29" s="196"/>
      <c r="M29" s="196"/>
      <c r="N29" s="196"/>
    </row>
    <row r="30" spans="1:17" x14ac:dyDescent="0.25">
      <c r="A30" s="196"/>
      <c r="B30" s="59"/>
      <c r="C30" s="59"/>
      <c r="D30" s="11">
        <v>2</v>
      </c>
      <c r="E30" s="59"/>
      <c r="F30" s="143"/>
      <c r="G30"/>
      <c r="H30" s="59"/>
      <c r="I30" s="59"/>
      <c r="J30" s="47"/>
      <c r="K30" s="196"/>
      <c r="L30" s="196"/>
      <c r="M30" s="196"/>
      <c r="N30" s="196"/>
    </row>
    <row r="31" spans="1:17" x14ac:dyDescent="0.25">
      <c r="A31" s="196"/>
      <c r="B31" s="59"/>
      <c r="C31" s="59"/>
      <c r="D31" s="11">
        <v>3</v>
      </c>
      <c r="E31" s="59"/>
      <c r="F31" s="143"/>
      <c r="G31"/>
      <c r="H31" s="59"/>
      <c r="I31" s="59"/>
      <c r="J31" s="47"/>
      <c r="K31" s="196"/>
      <c r="L31" s="196"/>
      <c r="M31" s="196"/>
      <c r="N31" s="196"/>
    </row>
    <row r="32" spans="1:17" x14ac:dyDescent="0.25">
      <c r="A32" s="196"/>
      <c r="B32" s="59"/>
      <c r="C32" s="59"/>
      <c r="D32" s="11">
        <v>4</v>
      </c>
      <c r="E32" s="59"/>
      <c r="F32" s="143"/>
      <c r="G32"/>
      <c r="H32" s="59"/>
      <c r="I32" s="59"/>
      <c r="J32" s="60"/>
      <c r="K32" s="196"/>
      <c r="L32" s="196"/>
      <c r="M32" s="196"/>
      <c r="N32" s="196"/>
    </row>
    <row r="33" spans="1:14" x14ac:dyDescent="0.25">
      <c r="A33" s="197"/>
      <c r="B33" s="61"/>
      <c r="C33" s="61"/>
      <c r="D33" s="6">
        <v>5</v>
      </c>
      <c r="E33" s="61"/>
      <c r="F33" s="144"/>
      <c r="G33" s="7"/>
      <c r="H33" s="61"/>
      <c r="I33" s="61"/>
      <c r="J33" s="61"/>
      <c r="K33" s="197"/>
      <c r="L33" s="197"/>
      <c r="M33" s="197"/>
      <c r="N33" s="197"/>
    </row>
    <row r="34" spans="1:14" x14ac:dyDescent="0.25">
      <c r="A34" s="195" t="s">
        <v>76</v>
      </c>
      <c r="B34" s="58"/>
      <c r="C34" s="58"/>
      <c r="D34" s="8">
        <v>0</v>
      </c>
      <c r="E34" s="58"/>
      <c r="F34" s="142"/>
      <c r="G34" s="9"/>
      <c r="H34" s="58"/>
      <c r="I34" s="58"/>
      <c r="J34" s="47"/>
      <c r="K34" s="195"/>
      <c r="L34" s="195"/>
      <c r="M34" s="195"/>
      <c r="N34" s="195"/>
    </row>
    <row r="35" spans="1:14" x14ac:dyDescent="0.25">
      <c r="A35" s="196"/>
      <c r="B35" s="59"/>
      <c r="C35" s="59"/>
      <c r="D35" s="11">
        <v>1</v>
      </c>
      <c r="E35" s="59"/>
      <c r="F35" s="143"/>
      <c r="G35"/>
      <c r="H35" s="59"/>
      <c r="I35" s="59"/>
      <c r="J35" s="47"/>
      <c r="K35" s="196"/>
      <c r="L35" s="196"/>
      <c r="M35" s="196"/>
      <c r="N35" s="196"/>
    </row>
    <row r="36" spans="1:14" x14ac:dyDescent="0.25">
      <c r="A36" s="196"/>
      <c r="B36" s="59"/>
      <c r="C36" s="59"/>
      <c r="D36" s="11">
        <v>2</v>
      </c>
      <c r="E36" s="59"/>
      <c r="F36" s="143"/>
      <c r="G36"/>
      <c r="H36" s="59"/>
      <c r="I36" s="59"/>
      <c r="J36" s="47"/>
      <c r="K36" s="196"/>
      <c r="L36" s="196"/>
      <c r="M36" s="196"/>
      <c r="N36" s="196"/>
    </row>
    <row r="37" spans="1:14" x14ac:dyDescent="0.25">
      <c r="A37" s="196"/>
      <c r="B37" s="59"/>
      <c r="C37" s="59"/>
      <c r="D37" s="11">
        <v>3</v>
      </c>
      <c r="E37" s="59"/>
      <c r="F37" s="143"/>
      <c r="G37"/>
      <c r="H37" s="59"/>
      <c r="I37" s="59"/>
      <c r="J37" s="47"/>
      <c r="K37" s="196"/>
      <c r="L37" s="196"/>
      <c r="M37" s="196"/>
      <c r="N37" s="196"/>
    </row>
    <row r="38" spans="1:14" x14ac:dyDescent="0.25">
      <c r="A38" s="196"/>
      <c r="B38" s="59"/>
      <c r="C38" s="59"/>
      <c r="D38" s="11">
        <v>4</v>
      </c>
      <c r="E38" s="59"/>
      <c r="F38" s="143"/>
      <c r="G38"/>
      <c r="H38" s="59"/>
      <c r="I38" s="59"/>
      <c r="J38" s="60"/>
      <c r="K38" s="196"/>
      <c r="L38" s="196"/>
      <c r="M38" s="196"/>
      <c r="N38" s="196"/>
    </row>
    <row r="39" spans="1:14" x14ac:dyDescent="0.25">
      <c r="A39" s="197"/>
      <c r="B39" s="61"/>
      <c r="C39" s="61"/>
      <c r="D39" s="6">
        <v>5</v>
      </c>
      <c r="E39" s="61"/>
      <c r="F39" s="144"/>
      <c r="G39" s="7"/>
      <c r="H39" s="61"/>
      <c r="I39" s="61"/>
      <c r="J39" s="61"/>
      <c r="K39" s="197"/>
      <c r="L39" s="197"/>
      <c r="M39" s="197"/>
      <c r="N39" s="197"/>
    </row>
    <row r="40" spans="1:14" x14ac:dyDescent="0.25">
      <c r="A40" s="35" t="s">
        <v>84</v>
      </c>
      <c r="B40" s="41">
        <v>0.5</v>
      </c>
      <c r="C40" s="42">
        <v>7.0000000000000007E-2</v>
      </c>
      <c r="D40" s="42">
        <v>0</v>
      </c>
      <c r="E40" s="53">
        <v>2.4</v>
      </c>
      <c r="F40" s="53"/>
      <c r="G40" s="57" t="s">
        <v>65</v>
      </c>
      <c r="H40" s="56">
        <v>2.2200000000000001E-2</v>
      </c>
      <c r="I40" s="53">
        <v>0</v>
      </c>
      <c r="J40" s="126">
        <v>0</v>
      </c>
      <c r="K40" s="41" t="s">
        <v>22</v>
      </c>
      <c r="L40" s="41" t="s">
        <v>23</v>
      </c>
      <c r="M40" s="41" t="s">
        <v>22</v>
      </c>
      <c r="N40" s="53" t="s">
        <v>24</v>
      </c>
    </row>
    <row r="41" spans="1:14" x14ac:dyDescent="0.25">
      <c r="A41" s="132" t="s">
        <v>54</v>
      </c>
      <c r="B41" s="53"/>
      <c r="C41" s="53"/>
      <c r="D41" s="126">
        <v>0</v>
      </c>
      <c r="I41" s="53"/>
      <c r="J41" s="57"/>
      <c r="K41" s="53"/>
      <c r="L41" s="53"/>
      <c r="M41" s="53"/>
      <c r="N41" s="53"/>
    </row>
    <row r="42" spans="1:14" x14ac:dyDescent="0.25">
      <c r="A42" s="195" t="s">
        <v>83</v>
      </c>
      <c r="B42" s="128"/>
      <c r="C42" s="128"/>
      <c r="D42" s="8">
        <v>0</v>
      </c>
      <c r="E42" s="128"/>
      <c r="F42" s="142"/>
      <c r="G42" s="9"/>
      <c r="H42" s="128"/>
      <c r="I42" s="128"/>
      <c r="J42" s="47"/>
      <c r="K42" s="195"/>
      <c r="L42" s="195"/>
      <c r="M42" s="195"/>
      <c r="N42" s="195"/>
    </row>
    <row r="43" spans="1:14" x14ac:dyDescent="0.25">
      <c r="A43" s="196"/>
      <c r="B43" s="129"/>
      <c r="C43" s="129"/>
      <c r="D43" s="11">
        <v>1</v>
      </c>
      <c r="E43" s="129"/>
      <c r="F43" s="143"/>
      <c r="G43"/>
      <c r="H43" s="129"/>
      <c r="I43" s="129"/>
      <c r="J43" s="47"/>
      <c r="K43" s="196"/>
      <c r="L43" s="196"/>
      <c r="M43" s="196"/>
      <c r="N43" s="196"/>
    </row>
    <row r="44" spans="1:14" x14ac:dyDescent="0.25">
      <c r="A44" s="196"/>
      <c r="B44" s="129"/>
      <c r="C44" s="129"/>
      <c r="D44" s="11">
        <v>2</v>
      </c>
      <c r="E44" s="129"/>
      <c r="F44" s="143"/>
      <c r="G44"/>
      <c r="H44" s="129"/>
      <c r="I44" s="129"/>
      <c r="J44" s="47"/>
      <c r="K44" s="196"/>
      <c r="L44" s="196"/>
      <c r="M44" s="196"/>
      <c r="N44" s="196"/>
    </row>
    <row r="45" spans="1:14" x14ac:dyDescent="0.25">
      <c r="A45" s="196"/>
      <c r="B45" s="129"/>
      <c r="C45" s="129"/>
      <c r="D45" s="11">
        <v>3</v>
      </c>
      <c r="E45" s="129"/>
      <c r="F45" s="143"/>
      <c r="G45"/>
      <c r="H45" s="129"/>
      <c r="I45" s="129"/>
      <c r="J45" s="47"/>
      <c r="K45" s="196"/>
      <c r="L45" s="196"/>
      <c r="M45" s="196"/>
      <c r="N45" s="196"/>
    </row>
    <row r="46" spans="1:14" x14ac:dyDescent="0.25">
      <c r="A46" s="196"/>
      <c r="B46" s="129"/>
      <c r="C46" s="129"/>
      <c r="D46" s="11">
        <v>4</v>
      </c>
      <c r="E46" s="129"/>
      <c r="F46" s="143"/>
      <c r="G46"/>
      <c r="H46" s="129"/>
      <c r="I46" s="129"/>
      <c r="J46" s="131"/>
      <c r="K46" s="196"/>
      <c r="L46" s="196"/>
      <c r="M46" s="196"/>
      <c r="N46" s="196"/>
    </row>
    <row r="47" spans="1:14" x14ac:dyDescent="0.25">
      <c r="A47" s="197"/>
      <c r="B47" s="130"/>
      <c r="C47" s="130"/>
      <c r="D47" s="6">
        <v>5</v>
      </c>
      <c r="E47" s="130"/>
      <c r="F47" s="144"/>
      <c r="G47" s="7"/>
      <c r="H47" s="130"/>
      <c r="I47" s="130"/>
      <c r="J47" s="130"/>
      <c r="K47" s="197"/>
      <c r="L47" s="197"/>
      <c r="M47" s="197"/>
      <c r="N47" s="197"/>
    </row>
  </sheetData>
  <mergeCells count="37">
    <mergeCell ref="M4:M9"/>
    <mergeCell ref="N4:N9"/>
    <mergeCell ref="K10:K15"/>
    <mergeCell ref="L10:L15"/>
    <mergeCell ref="A1:D1"/>
    <mergeCell ref="A4:A9"/>
    <mergeCell ref="L16:L21"/>
    <mergeCell ref="A10:A15"/>
    <mergeCell ref="A16:A21"/>
    <mergeCell ref="K16:K21"/>
    <mergeCell ref="K4:K9"/>
    <mergeCell ref="L4:L9"/>
    <mergeCell ref="A28:A33"/>
    <mergeCell ref="K28:K33"/>
    <mergeCell ref="L28:L33"/>
    <mergeCell ref="M28:M33"/>
    <mergeCell ref="A22:A27"/>
    <mergeCell ref="K22:K27"/>
    <mergeCell ref="L22:L27"/>
    <mergeCell ref="M22:M27"/>
    <mergeCell ref="N28:N33"/>
    <mergeCell ref="O10:Q15"/>
    <mergeCell ref="N10:N15"/>
    <mergeCell ref="M16:M21"/>
    <mergeCell ref="N16:N21"/>
    <mergeCell ref="M10:M15"/>
    <mergeCell ref="N22:N27"/>
    <mergeCell ref="A42:A47"/>
    <mergeCell ref="K42:K47"/>
    <mergeCell ref="L42:L47"/>
    <mergeCell ref="M42:M47"/>
    <mergeCell ref="N42:N47"/>
    <mergeCell ref="A34:A39"/>
    <mergeCell ref="K34:K39"/>
    <mergeCell ref="L34:L39"/>
    <mergeCell ref="M34:M39"/>
    <mergeCell ref="N34:N39"/>
  </mergeCells>
  <pageMargins left="0.75" right="0.75" top="0.75" bottom="0.5" header="0.5" footer="0.75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19C2-BB56-4C22-A2CE-97A3E74CAFDF}">
  <sheetPr>
    <pageSetUpPr fitToPage="1"/>
  </sheetPr>
  <dimension ref="A1:Q31"/>
  <sheetViews>
    <sheetView zoomScale="83" zoomScaleNormal="85" workbookViewId="0">
      <selection activeCell="C24" sqref="C24"/>
    </sheetView>
  </sheetViews>
  <sheetFormatPr baseColWidth="10" defaultColWidth="11.42578125" defaultRowHeight="15" x14ac:dyDescent="0.25"/>
  <cols>
    <col min="1" max="1" width="25.7109375" style="18" customWidth="1"/>
    <col min="2" max="2" width="10.7109375" style="18" customWidth="1"/>
    <col min="3" max="3" width="15.28515625" style="18" customWidth="1"/>
    <col min="4" max="12" width="26.28515625" style="18" customWidth="1"/>
    <col min="13" max="13" width="16.7109375" style="18" bestFit="1" customWidth="1"/>
    <col min="14" max="16384" width="11.42578125" style="18"/>
  </cols>
  <sheetData>
    <row r="1" spans="1:17" ht="17.25" x14ac:dyDescent="0.25">
      <c r="A1" s="176" t="s">
        <v>105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</row>
    <row r="3" spans="1:17" ht="42" customHeight="1" thickBot="1" x14ac:dyDescent="0.3">
      <c r="A3" s="202" t="s">
        <v>107</v>
      </c>
      <c r="B3" s="189"/>
      <c r="C3" s="140" t="s">
        <v>41</v>
      </c>
      <c r="D3" s="141" t="s">
        <v>40</v>
      </c>
      <c r="E3" s="141" t="s">
        <v>39</v>
      </c>
      <c r="F3" s="141" t="s">
        <v>38</v>
      </c>
      <c r="G3" s="141" t="s">
        <v>37</v>
      </c>
      <c r="H3" s="141" t="s">
        <v>36</v>
      </c>
      <c r="I3" s="141" t="s">
        <v>47</v>
      </c>
      <c r="J3" s="141" t="s">
        <v>48</v>
      </c>
      <c r="K3" s="141" t="s">
        <v>49</v>
      </c>
      <c r="L3" s="141" t="s">
        <v>50</v>
      </c>
    </row>
    <row r="4" spans="1:17" ht="50.1" customHeight="1" thickBot="1" x14ac:dyDescent="0.3">
      <c r="A4" s="160" t="s">
        <v>153</v>
      </c>
      <c r="B4" s="161"/>
      <c r="C4" s="34" t="s">
        <v>35</v>
      </c>
      <c r="D4" s="139" t="s">
        <v>137</v>
      </c>
      <c r="E4" s="139" t="s">
        <v>138</v>
      </c>
      <c r="F4" s="139" t="s">
        <v>139</v>
      </c>
      <c r="G4" s="139" t="s">
        <v>140</v>
      </c>
      <c r="H4" s="139" t="s">
        <v>141</v>
      </c>
      <c r="I4" s="139" t="s">
        <v>142</v>
      </c>
      <c r="J4" s="139" t="s">
        <v>143</v>
      </c>
      <c r="K4" s="139" t="s">
        <v>144</v>
      </c>
      <c r="L4" s="139" t="s">
        <v>145</v>
      </c>
    </row>
    <row r="5" spans="1:17" ht="50.1" customHeight="1" thickTop="1" x14ac:dyDescent="0.25">
      <c r="A5" s="160" t="s">
        <v>42</v>
      </c>
      <c r="B5" s="162" t="s">
        <v>43</v>
      </c>
      <c r="C5" s="124">
        <f t="shared" ref="C5:C12" si="0">SUM(D5:L5)</f>
        <v>541.5</v>
      </c>
      <c r="D5" s="122">
        <f>25*16.66</f>
        <v>416.5</v>
      </c>
      <c r="E5" s="39">
        <v>0</v>
      </c>
      <c r="F5" s="39">
        <v>0</v>
      </c>
      <c r="G5" s="123">
        <f>12.5*10</f>
        <v>125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</row>
    <row r="6" spans="1:17" ht="69.95" customHeight="1" x14ac:dyDescent="0.25">
      <c r="A6" s="160" t="s">
        <v>121</v>
      </c>
      <c r="B6" s="162" t="s">
        <v>80</v>
      </c>
      <c r="C6" s="124"/>
      <c r="D6" s="40">
        <f t="shared" ref="D6:L6" si="1">IF(D5&gt;0,D7/D5,0)</f>
        <v>2.2000000000000002</v>
      </c>
      <c r="E6" s="40">
        <f t="shared" si="1"/>
        <v>0</v>
      </c>
      <c r="F6" s="40">
        <f t="shared" si="1"/>
        <v>0</v>
      </c>
      <c r="G6" s="40">
        <f t="shared" si="1"/>
        <v>0.67500000000000004</v>
      </c>
      <c r="H6" s="40">
        <f t="shared" si="1"/>
        <v>0</v>
      </c>
      <c r="I6" s="40">
        <f t="shared" si="1"/>
        <v>0</v>
      </c>
      <c r="J6" s="40">
        <f t="shared" si="1"/>
        <v>0</v>
      </c>
      <c r="K6" s="40">
        <f t="shared" si="1"/>
        <v>0</v>
      </c>
      <c r="L6" s="40">
        <f t="shared" si="1"/>
        <v>0</v>
      </c>
      <c r="M6" s="133" t="s">
        <v>85</v>
      </c>
    </row>
    <row r="7" spans="1:17" ht="50.1" customHeight="1" x14ac:dyDescent="0.25">
      <c r="A7" s="160" t="s">
        <v>44</v>
      </c>
      <c r="B7" s="162" t="s">
        <v>45</v>
      </c>
      <c r="C7" s="124">
        <f>SUM(D7:L7)</f>
        <v>1000.6750000000001</v>
      </c>
      <c r="D7" s="123">
        <f>D5*2.2</f>
        <v>916.30000000000007</v>
      </c>
      <c r="E7" s="40">
        <v>0</v>
      </c>
      <c r="F7" s="40">
        <v>0</v>
      </c>
      <c r="G7" s="123">
        <f>(10*12.5*1.35)/2</f>
        <v>84.375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33"/>
    </row>
    <row r="8" spans="1:17" ht="50.1" customHeight="1" x14ac:dyDescent="0.25">
      <c r="A8" s="160" t="s">
        <v>120</v>
      </c>
      <c r="B8" s="162" t="s">
        <v>80</v>
      </c>
      <c r="C8" s="124"/>
      <c r="D8" s="40">
        <f>2*25+2*16.66</f>
        <v>83.32</v>
      </c>
      <c r="E8" s="40">
        <v>0</v>
      </c>
      <c r="F8" s="40">
        <v>0</v>
      </c>
      <c r="G8" s="40">
        <f>2*12.5+2*10</f>
        <v>45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33"/>
    </row>
    <row r="9" spans="1:17" ht="50.1" customHeight="1" x14ac:dyDescent="0.25">
      <c r="A9" s="159" t="s">
        <v>108</v>
      </c>
      <c r="B9" s="162" t="s">
        <v>43</v>
      </c>
      <c r="C9" s="124">
        <f t="shared" si="0"/>
        <v>716.32891940711272</v>
      </c>
      <c r="D9" s="123">
        <f>D5+2.2*25*2+16.66*2</f>
        <v>559.82000000000005</v>
      </c>
      <c r="E9" s="40">
        <v>0</v>
      </c>
      <c r="F9" s="40">
        <v>0</v>
      </c>
      <c r="G9" s="123">
        <f>1.35*12.5+SQRT(1.35^2+10^2)*12.5+1.35*10</f>
        <v>156.5089194071127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113"/>
    </row>
    <row r="10" spans="1:17" ht="50.1" customHeight="1" x14ac:dyDescent="0.25">
      <c r="A10" s="159" t="s">
        <v>109</v>
      </c>
      <c r="B10" s="162" t="s">
        <v>43</v>
      </c>
      <c r="C10" s="124">
        <f t="shared" si="0"/>
        <v>0</v>
      </c>
      <c r="D10" s="125">
        <v>0</v>
      </c>
      <c r="E10" s="40">
        <v>0</v>
      </c>
      <c r="F10" s="40">
        <v>0</v>
      </c>
      <c r="G10" s="123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</row>
    <row r="11" spans="1:17" ht="50.1" customHeight="1" x14ac:dyDescent="0.25">
      <c r="A11" s="159" t="s">
        <v>110</v>
      </c>
      <c r="B11" s="162" t="s">
        <v>43</v>
      </c>
      <c r="C11" s="124">
        <f t="shared" si="0"/>
        <v>299.82891940711272</v>
      </c>
      <c r="D11" s="123">
        <f>D10+2.2*25*2+16.66*2</f>
        <v>143.32000000000002</v>
      </c>
      <c r="E11" s="40">
        <v>0</v>
      </c>
      <c r="F11" s="40">
        <v>0</v>
      </c>
      <c r="G11" s="123">
        <f>1.35*12.5+SQRT(1.35^2+10^2)*12.5+1.35*10</f>
        <v>156.5089194071127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</row>
    <row r="12" spans="1:17" ht="50.1" customHeight="1" x14ac:dyDescent="0.25">
      <c r="A12" s="159" t="s">
        <v>111</v>
      </c>
      <c r="B12" s="162" t="s">
        <v>43</v>
      </c>
      <c r="C12" s="124">
        <f t="shared" si="0"/>
        <v>21.658000000000001</v>
      </c>
      <c r="D12" s="125">
        <f>0.5*16.66*2.6</f>
        <v>21.658000000000001</v>
      </c>
      <c r="E12" s="40">
        <v>0</v>
      </c>
      <c r="F12" s="40">
        <v>0</v>
      </c>
      <c r="G12" s="123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157" t="s">
        <v>97</v>
      </c>
    </row>
    <row r="13" spans="1:17" ht="50.1" customHeight="1" x14ac:dyDescent="0.25">
      <c r="A13" s="160" t="s">
        <v>46</v>
      </c>
      <c r="B13" s="162" t="s">
        <v>78</v>
      </c>
      <c r="C13" s="124"/>
      <c r="D13" s="40">
        <v>303.14999999999998</v>
      </c>
      <c r="E13" s="40">
        <v>0</v>
      </c>
      <c r="F13" s="40">
        <v>0</v>
      </c>
      <c r="G13" s="40">
        <v>303.14999999999998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33"/>
    </row>
    <row r="14" spans="1:17" ht="69.95" customHeight="1" x14ac:dyDescent="0.25">
      <c r="A14" s="160" t="s">
        <v>122</v>
      </c>
      <c r="B14" s="163" t="s">
        <v>155</v>
      </c>
      <c r="C14" s="124"/>
      <c r="D14" s="137">
        <v>2</v>
      </c>
      <c r="E14" s="137">
        <v>0</v>
      </c>
      <c r="F14" s="137">
        <v>0</v>
      </c>
      <c r="G14" s="137">
        <v>2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</row>
    <row r="15" spans="1:17" ht="69.95" customHeight="1" x14ac:dyDescent="0.25">
      <c r="A15" s="160" t="s">
        <v>123</v>
      </c>
      <c r="B15" s="163" t="s">
        <v>81</v>
      </c>
      <c r="C15" s="124"/>
      <c r="D15" s="40" t="s">
        <v>147</v>
      </c>
      <c r="E15" s="40" t="s">
        <v>148</v>
      </c>
      <c r="F15" s="40" t="s">
        <v>148</v>
      </c>
      <c r="G15" s="40" t="s">
        <v>147</v>
      </c>
      <c r="H15" s="40" t="s">
        <v>148</v>
      </c>
      <c r="I15" s="40" t="s">
        <v>148</v>
      </c>
      <c r="J15" s="40" t="s">
        <v>148</v>
      </c>
      <c r="K15" s="40" t="s">
        <v>148</v>
      </c>
      <c r="L15" s="40" t="s">
        <v>148</v>
      </c>
    </row>
    <row r="16" spans="1:17" ht="69.95" customHeight="1" x14ac:dyDescent="0.25">
      <c r="A16" s="160" t="s">
        <v>157</v>
      </c>
      <c r="B16" s="162" t="s">
        <v>81</v>
      </c>
      <c r="C16" s="124"/>
      <c r="D16" s="40" t="s">
        <v>149</v>
      </c>
      <c r="E16" s="40" t="s">
        <v>150</v>
      </c>
      <c r="F16" s="40" t="s">
        <v>150</v>
      </c>
      <c r="G16" s="40" t="s">
        <v>149</v>
      </c>
      <c r="H16" s="40" t="s">
        <v>150</v>
      </c>
      <c r="I16" s="40" t="s">
        <v>150</v>
      </c>
      <c r="J16" s="40" t="s">
        <v>150</v>
      </c>
      <c r="K16" s="40" t="s">
        <v>150</v>
      </c>
      <c r="L16" s="40" t="s">
        <v>150</v>
      </c>
    </row>
    <row r="17" spans="1:14" ht="69.95" customHeight="1" x14ac:dyDescent="0.25">
      <c r="A17" s="160" t="s">
        <v>124</v>
      </c>
      <c r="B17" s="162" t="s">
        <v>81</v>
      </c>
      <c r="C17" s="124"/>
      <c r="D17" s="40" t="s">
        <v>151</v>
      </c>
      <c r="E17" s="40" t="s">
        <v>151</v>
      </c>
      <c r="F17" s="40" t="s">
        <v>151</v>
      </c>
      <c r="G17" s="40" t="s">
        <v>151</v>
      </c>
      <c r="H17" s="40" t="s">
        <v>151</v>
      </c>
      <c r="I17" s="40" t="s">
        <v>151</v>
      </c>
      <c r="J17" s="40" t="s">
        <v>151</v>
      </c>
      <c r="K17" s="40" t="s">
        <v>151</v>
      </c>
      <c r="L17" s="40" t="s">
        <v>151</v>
      </c>
    </row>
    <row r="18" spans="1:14" ht="69.95" customHeight="1" x14ac:dyDescent="0.25">
      <c r="A18" s="160" t="s">
        <v>125</v>
      </c>
      <c r="B18" s="162" t="s">
        <v>100</v>
      </c>
      <c r="C18" s="124"/>
      <c r="D18" s="40" t="s">
        <v>86</v>
      </c>
      <c r="E18" s="40" t="s">
        <v>86</v>
      </c>
      <c r="F18" s="40" t="s">
        <v>86</v>
      </c>
      <c r="G18" s="40" t="s">
        <v>86</v>
      </c>
      <c r="H18" s="40" t="s">
        <v>86</v>
      </c>
      <c r="I18" s="40" t="s">
        <v>86</v>
      </c>
      <c r="J18" s="40" t="s">
        <v>86</v>
      </c>
      <c r="K18" s="40" t="s">
        <v>86</v>
      </c>
      <c r="L18" s="40" t="s">
        <v>86</v>
      </c>
    </row>
    <row r="19" spans="1:14" ht="69.95" customHeight="1" x14ac:dyDescent="0.25">
      <c r="A19" s="160" t="s">
        <v>126</v>
      </c>
      <c r="B19" s="162"/>
      <c r="C19" s="124"/>
      <c r="D19" s="123">
        <v>0.8</v>
      </c>
      <c r="E19" s="123">
        <v>0.8</v>
      </c>
      <c r="F19" s="123">
        <v>0.8</v>
      </c>
      <c r="G19" s="123">
        <v>0.8</v>
      </c>
      <c r="H19" s="123">
        <v>0.8</v>
      </c>
      <c r="I19" s="123">
        <v>0.8</v>
      </c>
      <c r="J19" s="123">
        <v>0.8</v>
      </c>
      <c r="K19" s="123">
        <v>0.8</v>
      </c>
      <c r="L19" s="123">
        <v>0.8</v>
      </c>
      <c r="N19" s="138"/>
    </row>
    <row r="20" spans="1:14" ht="69.95" customHeight="1" x14ac:dyDescent="0.25">
      <c r="A20" s="160" t="s">
        <v>127</v>
      </c>
      <c r="B20" s="162" t="s">
        <v>79</v>
      </c>
      <c r="C20" s="124"/>
      <c r="D20" s="40" t="s">
        <v>86</v>
      </c>
      <c r="E20" s="40" t="s">
        <v>87</v>
      </c>
      <c r="F20" s="40" t="s">
        <v>87</v>
      </c>
      <c r="G20" s="40" t="s">
        <v>86</v>
      </c>
      <c r="H20" s="40" t="s">
        <v>87</v>
      </c>
      <c r="I20" s="40" t="s">
        <v>87</v>
      </c>
      <c r="J20" s="40" t="s">
        <v>87</v>
      </c>
      <c r="K20" s="40" t="s">
        <v>87</v>
      </c>
      <c r="L20" s="40" t="s">
        <v>87</v>
      </c>
      <c r="N20" s="138"/>
    </row>
    <row r="21" spans="1:14" ht="58.9" customHeight="1" x14ac:dyDescent="0.25">
      <c r="A21" s="160" t="s">
        <v>128</v>
      </c>
      <c r="B21" s="162" t="s">
        <v>82</v>
      </c>
      <c r="C21" s="124"/>
      <c r="D21" s="123">
        <v>0.8</v>
      </c>
      <c r="E21" s="123">
        <v>0</v>
      </c>
      <c r="F21" s="123">
        <v>0</v>
      </c>
      <c r="G21" s="123">
        <v>0.8</v>
      </c>
      <c r="H21" s="123">
        <v>0</v>
      </c>
      <c r="I21" s="123">
        <v>0</v>
      </c>
      <c r="J21" s="123">
        <v>0</v>
      </c>
      <c r="K21" s="123">
        <v>0</v>
      </c>
      <c r="L21" s="123">
        <v>0</v>
      </c>
      <c r="N21" s="138"/>
    </row>
    <row r="22" spans="1:14" ht="57.6" customHeight="1" x14ac:dyDescent="0.25">
      <c r="A22" s="160" t="s">
        <v>130</v>
      </c>
      <c r="B22" s="162" t="s">
        <v>79</v>
      </c>
      <c r="C22" s="124"/>
      <c r="D22" s="40" t="s">
        <v>87</v>
      </c>
      <c r="E22" s="40" t="s">
        <v>87</v>
      </c>
      <c r="F22" s="40" t="s">
        <v>87</v>
      </c>
      <c r="G22" s="40" t="s">
        <v>87</v>
      </c>
      <c r="H22" s="40" t="s">
        <v>87</v>
      </c>
      <c r="I22" s="40" t="s">
        <v>87</v>
      </c>
      <c r="J22" s="40" t="s">
        <v>87</v>
      </c>
      <c r="K22" s="40" t="s">
        <v>87</v>
      </c>
      <c r="L22" s="40" t="s">
        <v>87</v>
      </c>
      <c r="N22" s="138"/>
    </row>
    <row r="23" spans="1:14" ht="54.6" customHeight="1" x14ac:dyDescent="0.25">
      <c r="A23" s="160" t="s">
        <v>129</v>
      </c>
      <c r="B23" s="162" t="s">
        <v>82</v>
      </c>
      <c r="C23" s="124"/>
      <c r="D23" s="123">
        <v>30</v>
      </c>
      <c r="E23" s="123">
        <v>0</v>
      </c>
      <c r="F23" s="123">
        <v>0</v>
      </c>
      <c r="G23" s="123">
        <v>0</v>
      </c>
      <c r="H23" s="123">
        <v>0</v>
      </c>
      <c r="I23" s="123">
        <v>0</v>
      </c>
      <c r="J23" s="123">
        <v>0</v>
      </c>
      <c r="K23" s="123">
        <v>0</v>
      </c>
      <c r="L23" s="123">
        <v>0</v>
      </c>
      <c r="N23" s="138"/>
    </row>
    <row r="24" spans="1:14" ht="57.6" customHeight="1" x14ac:dyDescent="0.25">
      <c r="A24" s="160" t="s">
        <v>158</v>
      </c>
      <c r="B24" s="163" t="s">
        <v>156</v>
      </c>
      <c r="C24" s="124"/>
      <c r="D24" s="137">
        <v>30</v>
      </c>
      <c r="E24" s="137">
        <v>0</v>
      </c>
      <c r="F24" s="137">
        <v>0</v>
      </c>
      <c r="G24" s="137">
        <v>30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</row>
    <row r="25" spans="1:14" ht="53.45" customHeight="1" x14ac:dyDescent="0.25">
      <c r="A25" s="160" t="s">
        <v>131</v>
      </c>
      <c r="B25" s="162" t="s">
        <v>79</v>
      </c>
      <c r="C25" s="124"/>
      <c r="D25" s="40" t="s">
        <v>86</v>
      </c>
      <c r="E25" s="40" t="s">
        <v>87</v>
      </c>
      <c r="F25" s="40" t="s">
        <v>87</v>
      </c>
      <c r="G25" s="40" t="s">
        <v>87</v>
      </c>
      <c r="H25" s="40" t="s">
        <v>87</v>
      </c>
      <c r="I25" s="40" t="s">
        <v>87</v>
      </c>
      <c r="J25" s="40" t="s">
        <v>87</v>
      </c>
      <c r="K25" s="40" t="s">
        <v>87</v>
      </c>
      <c r="L25" s="40" t="s">
        <v>87</v>
      </c>
    </row>
    <row r="26" spans="1:14" ht="43.9" customHeight="1" x14ac:dyDescent="0.25">
      <c r="A26" s="160" t="s">
        <v>154</v>
      </c>
      <c r="B26" s="162" t="s">
        <v>79</v>
      </c>
      <c r="C26" s="124"/>
      <c r="D26" s="40" t="s">
        <v>87</v>
      </c>
      <c r="E26" s="40" t="s">
        <v>87</v>
      </c>
      <c r="F26" s="40" t="s">
        <v>87</v>
      </c>
      <c r="G26" s="40" t="s">
        <v>87</v>
      </c>
      <c r="H26" s="40" t="s">
        <v>87</v>
      </c>
      <c r="I26" s="40" t="s">
        <v>87</v>
      </c>
      <c r="J26" s="40" t="s">
        <v>87</v>
      </c>
      <c r="K26" s="40" t="s">
        <v>87</v>
      </c>
      <c r="L26" s="40" t="s">
        <v>87</v>
      </c>
    </row>
    <row r="27" spans="1:14" ht="43.9" customHeight="1" x14ac:dyDescent="0.25">
      <c r="A27" s="160" t="s">
        <v>132</v>
      </c>
      <c r="B27" s="162" t="s">
        <v>80</v>
      </c>
      <c r="C27" s="124"/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N27" s="192"/>
    </row>
    <row r="28" spans="1:14" ht="46.9" customHeight="1" x14ac:dyDescent="0.25">
      <c r="A28" s="160" t="s">
        <v>133</v>
      </c>
      <c r="B28" s="162" t="s">
        <v>80</v>
      </c>
      <c r="C28" s="124"/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N28" s="192"/>
    </row>
    <row r="29" spans="1:14" ht="44.45" customHeight="1" x14ac:dyDescent="0.25">
      <c r="A29" s="160" t="s">
        <v>134</v>
      </c>
      <c r="B29" s="162" t="s">
        <v>98</v>
      </c>
      <c r="C29" s="124"/>
      <c r="D29" s="40">
        <v>1800</v>
      </c>
      <c r="E29" s="40"/>
      <c r="F29" s="40"/>
      <c r="G29" s="40"/>
      <c r="H29" s="40"/>
      <c r="I29" s="40"/>
      <c r="J29" s="40"/>
      <c r="K29" s="40"/>
      <c r="L29" s="40"/>
    </row>
    <row r="30" spans="1:14" ht="46.9" customHeight="1" x14ac:dyDescent="0.25">
      <c r="A30" s="160" t="s">
        <v>135</v>
      </c>
      <c r="B30" s="162" t="s">
        <v>99</v>
      </c>
      <c r="C30" s="124"/>
      <c r="D30" s="40">
        <f>10/30*D29</f>
        <v>600</v>
      </c>
      <c r="E30" s="40"/>
      <c r="F30" s="40"/>
      <c r="G30" s="40"/>
      <c r="H30" s="40"/>
      <c r="I30" s="40"/>
      <c r="J30" s="40"/>
      <c r="K30" s="40"/>
      <c r="L30" s="40"/>
    </row>
    <row r="31" spans="1:14" ht="28.9" customHeight="1" x14ac:dyDescent="0.25">
      <c r="A31" s="160" t="s">
        <v>136</v>
      </c>
      <c r="B31" s="162" t="s">
        <v>101</v>
      </c>
      <c r="C31" s="124"/>
      <c r="D31" s="40" t="s">
        <v>146</v>
      </c>
      <c r="E31" s="40"/>
      <c r="F31" s="40"/>
      <c r="G31" s="40"/>
      <c r="H31" s="40"/>
      <c r="I31" s="40"/>
      <c r="J31" s="40"/>
      <c r="K31" s="40"/>
      <c r="L31" s="40"/>
    </row>
  </sheetData>
  <mergeCells count="3">
    <mergeCell ref="N27:N28"/>
    <mergeCell ref="A3:B3"/>
    <mergeCell ref="A1:Q1"/>
  </mergeCells>
  <dataValidations count="6">
    <dataValidation type="list" allowBlank="1" showInputMessage="1" showErrorMessage="1" sqref="E31:L31" xr:uid="{1FC741BF-6034-43DF-A5BD-8CE8F3AA0207}">
      <formula1>"Stahlbeton"</formula1>
    </dataValidation>
    <dataValidation type="list" allowBlank="1" showInputMessage="1" showErrorMessage="1" sqref="D20:L20 D22:L22 D25:L26 D18:L18" xr:uid="{74D43ED6-0CDA-4D50-83A1-A5DCADFAA3EB}">
      <formula1>"true, false"</formula1>
    </dataValidation>
    <dataValidation type="list" allowBlank="1" showInputMessage="1" showErrorMessage="1" sqref="D31" xr:uid="{8B0D90CA-9FD2-4430-81FB-6CA14A72A471}">
      <formula1>"Reinforced concrete"</formula1>
    </dataValidation>
    <dataValidation type="list" allowBlank="1" showInputMessage="1" showErrorMessage="1" sqref="D15:L15" xr:uid="{F6EAB73B-7C08-4040-BE8F-E3EE0C3BDC56}">
      <formula1>"Activated carbon filter with ozone, Closed quick filter, Closed sorption filter, Open quick filter, Open suction filter, Quantozone filter, Quartz gravel filter, Two-layer filter, Two-layer filter with ozone"</formula1>
    </dataValidation>
    <dataValidation type="list" allowBlank="1" showInputMessage="1" showErrorMessage="1" sqref="D16:L16" xr:uid="{C5A3411D-23EC-4671-9E50-C9B2C49EE738}">
      <formula1>"without ozone, with ozone, with ultrafiltration, with bromine"</formula1>
    </dataValidation>
    <dataValidation type="list" allowBlank="1" showInputMessage="1" showErrorMessage="1" sqref="D17:L17" xr:uid="{817679F8-1DE4-40CD-877A-BD413B69FD96}">
      <formula1>"Saltwater, Freshwater"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Envelope Surfaces</vt:lpstr>
      <vt:lpstr>Envelope Structure</vt:lpstr>
      <vt:lpstr>Pool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Benani Zoumba</cp:lastModifiedBy>
  <cp:lastPrinted>2020-05-27T07:16:42Z</cp:lastPrinted>
  <dcterms:created xsi:type="dcterms:W3CDTF">2020-05-27T06:42:45Z</dcterms:created>
  <dcterms:modified xsi:type="dcterms:W3CDTF">2021-10-11T14:23:21Z</dcterms:modified>
</cp:coreProperties>
</file>