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ython\TEASER\teaser\examples\"/>
    </mc:Choice>
  </mc:AlternateContent>
  <xr:revisionPtr revIDLastSave="0" documentId="13_ncr:1_{524F193F-AA4B-452F-B8C4-F8D3607FE9C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Zone Data" sheetId="5" r:id="rId1"/>
    <sheet name="Pool Data" sheetId="6" r:id="rId2"/>
    <sheet name="Envelope Structures" sheetId="4" r:id="rId3"/>
  </sheets>
  <externalReferences>
    <externalReference r:id="rId4"/>
  </externalReferences>
  <definedNames>
    <definedName name="Glass_A" localSheetId="2">[1]Dropdown!#REF!</definedName>
    <definedName name="Glass_A">[1]Dropdown!#REF!</definedName>
    <definedName name="GlassA" localSheetId="2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6" l="1" a="1"/>
  <c r="F20" i="6" l="1"/>
  <c r="G18" i="5" l="1"/>
  <c r="G15" i="5"/>
  <c r="G14" i="5"/>
  <c r="G13" i="5"/>
  <c r="G6" i="5"/>
  <c r="G10" i="5" s="1"/>
  <c r="D18" i="5"/>
  <c r="D17" i="5"/>
  <c r="D15" i="5"/>
  <c r="D14" i="5"/>
  <c r="D13" i="5"/>
  <c r="D12" i="5"/>
  <c r="D11" i="5"/>
  <c r="D9" i="5"/>
  <c r="D8" i="5"/>
  <c r="D7" i="5"/>
  <c r="D5" i="5"/>
  <c r="C17" i="4" l="1"/>
  <c r="C15" i="4"/>
  <c r="C19" i="4" l="1"/>
  <c r="C18" i="4"/>
  <c r="C16" i="4"/>
  <c r="C21" i="4" l="1"/>
  <c r="I18" i="5" l="1"/>
  <c r="H18" i="5"/>
  <c r="F18" i="5"/>
  <c r="E18" i="5"/>
  <c r="H17" i="5"/>
  <c r="I16" i="5"/>
  <c r="H16" i="5"/>
  <c r="F16" i="5"/>
  <c r="I15" i="5"/>
  <c r="H15" i="5"/>
  <c r="F15" i="5"/>
  <c r="E15" i="5"/>
  <c r="I14" i="5"/>
  <c r="F14" i="5"/>
  <c r="E14" i="5"/>
  <c r="I13" i="5"/>
  <c r="F13" i="5"/>
  <c r="E13" i="5"/>
  <c r="I12" i="5"/>
  <c r="I9" i="5"/>
  <c r="E9" i="5"/>
  <c r="I8" i="5"/>
  <c r="E6" i="5"/>
  <c r="I5" i="5"/>
  <c r="E5" i="5"/>
  <c r="A2" i="4" l="1"/>
  <c r="E20" i="6" a="1"/>
  <c r="E20" i="6" l="1"/>
  <c r="D6" i="6"/>
  <c r="D14" i="6" l="1"/>
  <c r="D12" i="6"/>
  <c r="D11" i="6"/>
  <c r="D15" i="6" l="1"/>
  <c r="D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<sst xmlns="http://schemas.openxmlformats.org/spreadsheetml/2006/main" count="174" uniqueCount="132">
  <si>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</si>
  <si>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</si>
  <si>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</si>
  <si>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</si>
  <si>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</si>
  <si>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</si>
  <si>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</si>
  <si>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</si>
  <si>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</si>
  <si>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</si>
  <si>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</si>
  <si>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</si>
  <si>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</si>
  <si>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</si>
  <si>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</si>
  <si>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</si>
  <si>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</si>
  <si>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</si>
  <si>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</si>
  <si>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</si>
  <si>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</si>
  <si>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SUM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</si>
  <si>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</si>
  <si>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</si>
  <si>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</si>
  <si>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</si>
  <si>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</si>
  <si>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</si>
  <si>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</si>
  <si>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</si>
  <si>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</si>
  <si>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</si>
  <si>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</si>
  <si>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</si>
  <si>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</si>
  <si>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</si>
  <si>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</si>
  <si>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</si>
  <si>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</si>
  <si>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</si>
  <si>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</si>
  <si>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</si>
  <si>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</si>
  <si>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</si>
  <si>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</si>
  <si>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</si>
  <si>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</si>
  <si>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</si>
  <si>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</si>
  <si>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</si>
  <si>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</si>
  <si>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</si>
  <si>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</si>
  <si>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</si>
  <si>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</si>
  <si>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</si>
  <si>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</si>
  <si>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</si>
  <si>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</si>
  <si>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</si>
  <si>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</si>
  <si>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</si>
  <si>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</si>
  <si>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</si>
  <si>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</si>
  <si>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</si>
  <si>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</si>
  <si>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</si>
  <si>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</si>
  <si>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</si>
  <si>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</si>
  <si>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</si>
  <si>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</si>
  <si>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</si>
  <si>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</si>
  <si>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</si>
  <si>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</si>
  <si>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</si>
  <si>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</si>
  <si>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</si>
  <si>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</si>
  <si>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</si>
  <si>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</si>
  <si>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</si>
  <si>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</si>
  <si>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</si>
  <si>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false</t>
  </si>
  <si>
    <t>Reinforced concrete</t>
  </si>
  <si>
    <t>XPS_30</t>
  </si>
  <si>
    <t>Beton</t>
  </si>
  <si>
    <t>Stahl</t>
  </si>
  <si>
    <t>[-]</t>
  </si>
  <si>
    <t>layer
(from inside
to outside)</t>
  </si>
  <si>
    <t>thermal 
conductivity</t>
  </si>
  <si>
    <t>heat
capacity</t>
  </si>
  <si>
    <t>material name</t>
  </si>
  <si>
    <t>material designation</t>
  </si>
  <si>
    <t>Average pool depth</t>
  </si>
  <si>
    <t>int</t>
  </si>
  <si>
    <t>Pressure loss heat exchanger</t>
  </si>
  <si>
    <t xml:space="preserve">true </t>
  </si>
  <si>
    <t>Dämmung</t>
  </si>
  <si>
    <t>Putz</t>
  </si>
  <si>
    <t>25f82c80-3a43-11e7-87af-2cd444b2e704</t>
  </si>
  <si>
    <t>2450d810-3a43-11e7-acc4-2cd444b2e704</t>
  </si>
  <si>
    <t>36734a3e-3a43-11e7-962d-2cd444b2e704</t>
  </si>
  <si>
    <t>bituminized_felt_2</t>
  </si>
  <si>
    <t>24ce8040-3a43-11e7-9beb-2cd444b2e704</t>
  </si>
  <si>
    <t>39c59c0c-3a43-11e7-ac33-2cd444b2e704</t>
  </si>
  <si>
    <t>Estricht</t>
  </si>
  <si>
    <t>polyethylene_foil_2</t>
  </si>
  <si>
    <t>Open suction filter</t>
  </si>
  <si>
    <t>Entrance</t>
  </si>
  <si>
    <t>Swimming_hall</t>
  </si>
  <si>
    <t>Changing_rooms</t>
  </si>
  <si>
    <t>Shower_and_sanitary_rooms</t>
  </si>
  <si>
    <t>Supervisory_room</t>
  </si>
  <si>
    <t>Technical room</t>
  </si>
  <si>
    <t xml:space="preserve">Zone name </t>
  </si>
  <si>
    <t>pool_type</t>
  </si>
  <si>
    <t>Swimmer_pool</t>
  </si>
  <si>
    <t>Nonswimmer_pool</t>
  </si>
  <si>
    <t>Additional information for pools within zone 1</t>
  </si>
  <si>
    <t>supported pool tpyes: Swimmer_pool, Multipurpose_pool, Child_pool, Nonswimmer_pool, Diving_pool, Freeform_pool</t>
  </si>
  <si>
    <t xml:space="preserve">num_pools </t>
  </si>
  <si>
    <t>Pool length</t>
  </si>
  <si>
    <t xml:space="preserve">Pool width </t>
  </si>
  <si>
    <t>supported filter combinations: without_ozone, with_ozone, with_bromine, with_ultrafiltration</t>
  </si>
  <si>
    <t>supported filter types: Activated carbon filter with ozone, Two-layer filter with ozone, Open quick filter, Closed quick filter, Closed sorption filter, Quantozone filter, Quartz gravel filter, Two-layer filter</t>
  </si>
  <si>
    <t>supported pool walls: concrete_with_insulation, stainless_steel</t>
  </si>
  <si>
    <t>pool_name</t>
  </si>
  <si>
    <t>without_ozone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</si>
</sst>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Border="0"/>
  </cellStyleXfs>
  <cellXfs count="14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64" fontId="5" fillId="0" borderId="1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0" fontId="12" fillId="0" borderId="0" xfId="1"/>
    <xf numFmtId="0" fontId="13" fillId="0" borderId="0" xfId="1" applyFont="1" applyBorder="1" applyAlignment="1">
      <alignment vertical="top" wrapText="1"/>
    </xf>
    <xf numFmtId="0" fontId="13" fillId="0" borderId="0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center"/>
    </xf>
    <xf numFmtId="0" fontId="12" fillId="0" borderId="0" xfId="1" applyBorder="1" applyAlignment="1">
      <alignment horizontal="left" vertical="center" wrapText="1"/>
    </xf>
    <xf numFmtId="2" fontId="12" fillId="0" borderId="0" xfId="1" applyNumberFormat="1" applyAlignment="1">
      <alignment horizontal="left" vertical="center"/>
    </xf>
    <xf numFmtId="2" fontId="12" fillId="0" borderId="12" xfId="1" applyNumberFormat="1" applyBorder="1" applyAlignment="1">
      <alignment horizontal="left" vertical="center"/>
    </xf>
    <xf numFmtId="2" fontId="12" fillId="0" borderId="0" xfId="1" applyNumberFormat="1" applyBorder="1" applyAlignment="1">
      <alignment horizontal="left" vertical="center"/>
    </xf>
    <xf numFmtId="0" fontId="12" fillId="0" borderId="7" xfId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0" fontId="12" fillId="0" borderId="12" xfId="1" applyBorder="1" applyAlignment="1">
      <alignment horizontal="left" vertical="center"/>
    </xf>
    <xf numFmtId="0" fontId="12" fillId="0" borderId="0" xfId="1" applyBorder="1" applyAlignment="1">
      <alignment horizontal="left" vertical="center"/>
    </xf>
    <xf numFmtId="0" fontId="12" fillId="0" borderId="3" xfId="1" applyBorder="1" applyAlignment="1">
      <alignment horizontal="left" vertical="center"/>
    </xf>
    <xf numFmtId="0" fontId="12" fillId="0" borderId="0" xfId="1" applyAlignment="1">
      <alignment horizontal="left" vertical="center"/>
    </xf>
    <xf numFmtId="0" fontId="12" fillId="0" borderId="0" xfId="1" applyAlignment="1">
      <alignment vertical="top" wrapText="1"/>
    </xf>
    <xf numFmtId="0" fontId="13" fillId="0" borderId="3" xfId="1" applyFont="1" applyBorder="1" applyAlignment="1">
      <alignment horizontal="left" vertical="center" wrapText="1"/>
    </xf>
    <xf numFmtId="0" fontId="12" fillId="0" borderId="20" xfId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12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1" applyFont="1" applyBorder="1" applyAlignment="1">
      <alignment vertical="top" wrapText="1"/>
    </xf>
    <xf numFmtId="165" fontId="12" fillId="0" borderId="0" xfId="1" applyNumberFormat="1" applyBorder="1" applyAlignment="1">
      <alignment horizontal="left" vertical="center" wrapText="1"/>
    </xf>
    <xf numFmtId="165" fontId="12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2" fillId="0" borderId="3" xfId="1" applyNumberFormat="1" applyBorder="1" applyAlignment="1">
      <alignment horizontal="left" vertical="center"/>
    </xf>
    <xf numFmtId="165" fontId="12" fillId="0" borderId="12" xfId="1" applyNumberFormat="1" applyBorder="1" applyAlignment="1">
      <alignment horizontal="left" vertical="center"/>
    </xf>
    <xf numFmtId="165" fontId="12" fillId="0" borderId="0" xfId="1" applyNumberFormat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12" fillId="0" borderId="7" xfId="1" applyNumberFormat="1" applyBorder="1" applyAlignment="1">
      <alignment horizontal="left" vertical="center"/>
    </xf>
    <xf numFmtId="0" fontId="13" fillId="0" borderId="7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2" fontId="5" fillId="0" borderId="2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2" fillId="0" borderId="7" xfId="1" applyFill="1" applyBorder="1" applyAlignment="1">
      <alignment horizontal="left" vertical="center"/>
    </xf>
    <xf numFmtId="1" fontId="5" fillId="0" borderId="26" xfId="0" applyNumberFormat="1" applyFont="1" applyBorder="1" applyAlignment="1">
      <alignment horizontal="center" vertical="center"/>
    </xf>
    <xf numFmtId="164" fontId="5" fillId="0" borderId="26" xfId="0" applyNumberFormat="1" applyFont="1" applyFill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2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64" fontId="5" fillId="0" borderId="17" xfId="0" applyNumberFormat="1" applyFont="1" applyFill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164" fontId="5" fillId="0" borderId="19" xfId="0" applyNumberFormat="1" applyFont="1" applyFill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center" vertical="center"/>
    </xf>
    <xf numFmtId="164" fontId="5" fillId="0" borderId="20" xfId="0" applyNumberFormat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/>
    </xf>
    <xf numFmtId="2" fontId="0" fillId="0" borderId="0" xfId="0" applyNumberFormat="1" applyFill="1" applyAlignment="1" applyProtection="1">
      <alignment horizontal="left"/>
    </xf>
    <xf numFmtId="2" fontId="12" fillId="0" borderId="12" xfId="1" applyNumberFormat="1" applyFill="1" applyBorder="1" applyAlignment="1">
      <alignment horizontal="left" vertical="center"/>
    </xf>
    <xf numFmtId="0" fontId="0" fillId="0" borderId="12" xfId="0" applyBorder="1"/>
    <xf numFmtId="165" fontId="12" fillId="0" borderId="0" xfId="1" applyNumberFormat="1" applyFill="1" applyBorder="1" applyAlignment="1">
      <alignment horizontal="left" vertical="center"/>
    </xf>
    <xf numFmtId="2" fontId="12" fillId="0" borderId="0" xfId="1" applyNumberFormat="1" applyFill="1" applyBorder="1" applyAlignment="1">
      <alignment horizontal="left" vertical="center"/>
    </xf>
    <xf numFmtId="0" fontId="0" fillId="0" borderId="0" xfId="0" applyFill="1"/>
    <xf numFmtId="0" fontId="15" fillId="0" borderId="0" xfId="0" applyFont="1"/>
    <xf numFmtId="2" fontId="16" fillId="0" borderId="0" xfId="1" applyNumberFormat="1" applyFont="1" applyBorder="1" applyAlignment="1">
      <alignment horizontal="left" vertical="center"/>
    </xf>
    <xf numFmtId="2" fontId="12" fillId="0" borderId="0" xfId="1" applyNumberFormat="1" applyFill="1" applyAlignment="1">
      <alignment horizontal="left"/>
    </xf>
    <xf numFmtId="2" fontId="16" fillId="0" borderId="32" xfId="1" applyNumberFormat="1" applyFont="1" applyBorder="1" applyAlignment="1">
      <alignment horizontal="left"/>
    </xf>
    <xf numFmtId="0" fontId="12" fillId="0" borderId="12" xfId="1" applyBorder="1"/>
    <xf numFmtId="0" fontId="12" fillId="0" borderId="3" xfId="1" applyBorder="1"/>
    <xf numFmtId="2" fontId="0" fillId="0" borderId="0" xfId="0" applyNumberFormat="1" applyFill="1" applyAlignment="1" applyProtection="1">
      <alignment horizontal="left" vertical="center"/>
    </xf>
    <xf numFmtId="0" fontId="12" fillId="0" borderId="7" xfId="1" applyFill="1" applyBorder="1"/>
    <xf numFmtId="0" fontId="3" fillId="0" borderId="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2" fillId="0" borderId="0" xfId="1" applyAlignment="1">
      <alignment vertical="top" wrapText="1"/>
    </xf>
    <xf numFmtId="164" fontId="5" fillId="0" borderId="19" xfId="0" applyNumberFormat="1" applyFont="1" applyFill="1" applyBorder="1" applyAlignment="1">
      <alignment horizontal="center" vertical="center" wrapText="1"/>
    </xf>
    <xf numFmtId="164" fontId="5" fillId="0" borderId="18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164" fontId="5" fillId="0" borderId="40" xfId="0" applyNumberFormat="1" applyFont="1" applyFill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64" fontId="5" fillId="0" borderId="41" xfId="0" applyNumberFormat="1" applyFont="1" applyFill="1" applyBorder="1" applyAlignment="1">
      <alignment horizontal="center" vertical="center"/>
    </xf>
    <xf numFmtId="164" fontId="5" fillId="0" borderId="25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" fontId="5" fillId="0" borderId="41" xfId="0" applyNumberFormat="1" applyFont="1" applyBorder="1" applyAlignment="1">
      <alignment horizontal="center" vertical="center"/>
    </xf>
    <xf numFmtId="164" fontId="5" fillId="0" borderId="42" xfId="0" applyNumberFormat="1" applyFont="1" applyFill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164" fontId="5" fillId="0" borderId="4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J29"/>
  <sheetViews>
    <sheetView zoomScale="70" zoomScaleNormal="70" workbookViewId="0">
      <selection activeCell="A21" sqref="A21"/>
    </sheetView>
  </sheetViews>
  <sheetFormatPr baseColWidth="10" defaultColWidth="11.42578125" defaultRowHeight="15" x14ac:dyDescent="0.25"/>
  <cols>
    <col min="1" max="1" width="11.42578125" style="1"/>
    <col min="2" max="2" width="28.85546875" style="13" customWidth="1"/>
    <col min="3" max="3" width="11.28515625" style="13" customWidth="1"/>
    <col min="4" max="9" width="13.140625" style="1" customWidth="1"/>
    <col min="10" max="16384" width="11.42578125" style="1"/>
  </cols>
  <sheetData>
    <row r="1" spans="1:9" ht="17.25" x14ac:dyDescent="0.25">
      <c r="B1" s="108" t="s">
        <v>0</v>
      </c>
      <c r="C1" s="108"/>
      <c r="D1" s="108"/>
      <c r="E1" s="109"/>
      <c r="F1" s="109"/>
      <c r="G1" s="109"/>
      <c r="H1" s="109"/>
      <c r="I1" s="109"/>
    </row>
    <row r="2" spans="1:9" ht="18" thickBot="1" x14ac:dyDescent="0.3">
      <c r="B2" s="48"/>
      <c r="C2" s="48"/>
      <c r="D2" s="48"/>
      <c r="E2" s="48"/>
      <c r="F2" s="48"/>
      <c r="G2" s="48"/>
      <c r="H2" s="48"/>
      <c r="I2" s="48"/>
    </row>
    <row r="3" spans="1:9" ht="42" customHeight="1" x14ac:dyDescent="0.25">
      <c r="B3" s="47" t="s">
        <v>1</v>
      </c>
      <c r="C3" s="118"/>
      <c r="D3" s="129" t="s">
        <v>2</v>
      </c>
      <c r="E3" s="115" t="s">
        <v>3</v>
      </c>
      <c r="F3" s="116" t="s">
        <v>4</v>
      </c>
      <c r="G3" s="114" t="s">
        <v>5</v>
      </c>
      <c r="H3" s="116" t="s">
        <v>6</v>
      </c>
      <c r="I3" s="117" t="s">
        <v>7</v>
      </c>
    </row>
    <row r="4" spans="1:9" ht="50.1" customHeight="1" thickBot="1" x14ac:dyDescent="0.3">
      <c r="A4" s="1">
        <v>0</v>
      </c>
      <c r="B4" s="3" t="s">
        <v>118</v>
      </c>
      <c r="C4" s="119"/>
      <c r="D4" s="130" t="s">
        <v>113</v>
      </c>
      <c r="E4" s="121" t="s">
        <v>114</v>
      </c>
      <c r="F4" s="121" t="s">
        <v>115</v>
      </c>
      <c r="G4" s="122" t="s">
        <v>112</v>
      </c>
      <c r="H4" s="120" t="s">
        <v>116</v>
      </c>
      <c r="I4" s="121" t="s">
        <v>117</v>
      </c>
    </row>
    <row r="5" spans="1:9" ht="50.1" customHeight="1" thickTop="1" x14ac:dyDescent="0.25">
      <c r="A5" s="1">
        <v>1</v>
      </c>
      <c r="B5" s="106" t="s">
        <v>8</v>
      </c>
      <c r="C5" s="124" t="s">
        <v>9</v>
      </c>
      <c r="D5" s="131">
        <f>10*6.2</f>
        <v>62</v>
      </c>
      <c r="E5" s="70">
        <f>31.5*3.25</f>
        <v>102.375</v>
      </c>
      <c r="F5" s="69">
        <v>0</v>
      </c>
      <c r="G5" s="69">
        <v>0</v>
      </c>
      <c r="H5" s="69">
        <v>0</v>
      </c>
      <c r="I5" s="71">
        <f>6.25*10</f>
        <v>62.5</v>
      </c>
    </row>
    <row r="6" spans="1:9" ht="50.1" customHeight="1" x14ac:dyDescent="0.25">
      <c r="A6" s="1">
        <v>2</v>
      </c>
      <c r="B6" s="106"/>
      <c r="C6" s="125" t="s">
        <v>10</v>
      </c>
      <c r="D6" s="132">
        <v>0</v>
      </c>
      <c r="E6" s="73">
        <f>8.5*3.25</f>
        <v>27.625</v>
      </c>
      <c r="F6" s="73">
        <v>0</v>
      </c>
      <c r="G6" s="72">
        <f>29*6.5</f>
        <v>188.5</v>
      </c>
      <c r="H6" s="73">
        <v>0</v>
      </c>
      <c r="I6" s="74">
        <v>0</v>
      </c>
    </row>
    <row r="7" spans="1:9" ht="50.1" customHeight="1" x14ac:dyDescent="0.25">
      <c r="A7" s="1">
        <v>3</v>
      </c>
      <c r="B7" s="106"/>
      <c r="C7" s="125" t="s">
        <v>11</v>
      </c>
      <c r="D7" s="132">
        <f>(15+24)*6.2+13*2</f>
        <v>267.8</v>
      </c>
      <c r="E7" s="73">
        <v>0</v>
      </c>
      <c r="F7" s="73">
        <v>0</v>
      </c>
      <c r="G7" s="73">
        <v>0</v>
      </c>
      <c r="H7" s="73">
        <v>0</v>
      </c>
      <c r="I7" s="74">
        <v>0</v>
      </c>
    </row>
    <row r="8" spans="1:9" ht="50.1" customHeight="1" thickBot="1" x14ac:dyDescent="0.3">
      <c r="A8" s="1">
        <v>4</v>
      </c>
      <c r="B8" s="106"/>
      <c r="C8" s="126" t="s">
        <v>12</v>
      </c>
      <c r="D8" s="133">
        <f>24.88*6.2</f>
        <v>154.256</v>
      </c>
      <c r="E8" s="76">
        <v>0</v>
      </c>
      <c r="F8" s="76">
        <v>0</v>
      </c>
      <c r="G8" s="75">
        <v>0</v>
      </c>
      <c r="H8" s="76">
        <v>0</v>
      </c>
      <c r="I8" s="77">
        <f>6.25*5+3*3.25</f>
        <v>41</v>
      </c>
    </row>
    <row r="9" spans="1:9" ht="50.1" customHeight="1" x14ac:dyDescent="0.25">
      <c r="A9" s="1">
        <v>5</v>
      </c>
      <c r="B9" s="106" t="s">
        <v>13</v>
      </c>
      <c r="C9" s="127" t="s">
        <v>9</v>
      </c>
      <c r="D9" s="134">
        <f>3*6.2</f>
        <v>18.600000000000001</v>
      </c>
      <c r="E9" s="78">
        <f>(2.26*1)*7</f>
        <v>15.819999999999999</v>
      </c>
      <c r="F9" s="78">
        <v>0</v>
      </c>
      <c r="G9" s="78">
        <v>0</v>
      </c>
      <c r="H9" s="78">
        <v>0</v>
      </c>
      <c r="I9" s="79">
        <f>1.51*2+2*1.51</f>
        <v>6.04</v>
      </c>
    </row>
    <row r="10" spans="1:9" ht="50.1" customHeight="1" x14ac:dyDescent="0.25">
      <c r="A10" s="1">
        <v>6</v>
      </c>
      <c r="B10" s="106"/>
      <c r="C10" s="125" t="s">
        <v>10</v>
      </c>
      <c r="D10" s="132">
        <v>0</v>
      </c>
      <c r="E10" s="73">
        <v>0</v>
      </c>
      <c r="F10" s="73">
        <v>0</v>
      </c>
      <c r="G10" s="80">
        <f>G6-(2.5*6.5)</f>
        <v>172.25</v>
      </c>
      <c r="H10" s="73">
        <v>0</v>
      </c>
      <c r="I10" s="81">
        <v>0</v>
      </c>
    </row>
    <row r="11" spans="1:9" ht="50.1" customHeight="1" x14ac:dyDescent="0.25">
      <c r="A11" s="1">
        <v>7</v>
      </c>
      <c r="B11" s="106"/>
      <c r="C11" s="125" t="s">
        <v>11</v>
      </c>
      <c r="D11" s="135">
        <f>24*6.2+15*4+13*2</f>
        <v>234.8</v>
      </c>
      <c r="E11" s="73">
        <v>0</v>
      </c>
      <c r="F11" s="73">
        <v>0</v>
      </c>
      <c r="G11" s="73">
        <v>0</v>
      </c>
      <c r="H11" s="73">
        <v>0</v>
      </c>
      <c r="I11" s="81">
        <v>0</v>
      </c>
    </row>
    <row r="12" spans="1:9" ht="50.1" customHeight="1" thickBot="1" x14ac:dyDescent="0.3">
      <c r="A12" s="1">
        <v>8</v>
      </c>
      <c r="B12" s="106"/>
      <c r="C12" s="128" t="s">
        <v>12</v>
      </c>
      <c r="D12" s="136">
        <f>24.88*6.2</f>
        <v>154.256</v>
      </c>
      <c r="E12" s="76">
        <v>0</v>
      </c>
      <c r="F12" s="76">
        <v>0</v>
      </c>
      <c r="G12" s="76">
        <v>0</v>
      </c>
      <c r="H12" s="76">
        <v>0</v>
      </c>
      <c r="I12" s="82">
        <f>2.16*2*2</f>
        <v>8.64</v>
      </c>
    </row>
    <row r="13" spans="1:9" ht="69.95" customHeight="1" thickBot="1" x14ac:dyDescent="0.3">
      <c r="A13" s="1">
        <v>9</v>
      </c>
      <c r="B13" s="3" t="s">
        <v>14</v>
      </c>
      <c r="C13" s="83"/>
      <c r="D13" s="137">
        <f>53*25</f>
        <v>1325</v>
      </c>
      <c r="E13" s="84">
        <f>8.5*31.5</f>
        <v>267.75</v>
      </c>
      <c r="F13" s="112">
        <f>8*31.5</f>
        <v>252</v>
      </c>
      <c r="G13" s="84">
        <f>29*8.5</f>
        <v>246.5</v>
      </c>
      <c r="H13" s="84">
        <v>0</v>
      </c>
      <c r="I13" s="85">
        <f>8*17.2</f>
        <v>137.6</v>
      </c>
    </row>
    <row r="14" spans="1:9" ht="69.95" customHeight="1" thickBot="1" x14ac:dyDescent="0.3">
      <c r="A14" s="1">
        <v>10</v>
      </c>
      <c r="B14" s="3" t="s">
        <v>15</v>
      </c>
      <c r="C14" s="83"/>
      <c r="D14" s="138">
        <f>1325-(12.5*10+9.26*25+25*16.66)</f>
        <v>552</v>
      </c>
      <c r="E14" s="84">
        <f>8.5*31.5</f>
        <v>267.75</v>
      </c>
      <c r="F14" s="84">
        <f>8*31.5</f>
        <v>252</v>
      </c>
      <c r="G14" s="5">
        <f>29*8.5</f>
        <v>246.5</v>
      </c>
      <c r="H14" s="5">
        <v>0</v>
      </c>
      <c r="I14" s="113">
        <f>17.2*8+9.26*25+2.23*(25+9.26+9.26)</f>
        <v>466.14960000000002</v>
      </c>
    </row>
    <row r="15" spans="1:9" ht="69.95" customHeight="1" thickBot="1" x14ac:dyDescent="0.3">
      <c r="A15" s="1">
        <v>11</v>
      </c>
      <c r="B15" s="38" t="s">
        <v>16</v>
      </c>
      <c r="C15" s="86"/>
      <c r="D15" s="139">
        <f>6.2*(25*0.5+43*0.5+14)</f>
        <v>297.60000000000002</v>
      </c>
      <c r="E15" s="87">
        <f>(31.5*0.5+8.5)*3.25</f>
        <v>78.8125</v>
      </c>
      <c r="F15" s="87">
        <f>3.25*(31.5+8+8+(7*8)+(2*8))</f>
        <v>388.375</v>
      </c>
      <c r="G15" s="87">
        <f>6.2*((G16/8.51)*0.5+8.51*0.5+8.51) + 6.2*(3.885+5.165)</f>
        <v>135.25300000000001</v>
      </c>
      <c r="H15" s="87">
        <f>(21.2/2)*4*3.25</f>
        <v>137.79999999999998</v>
      </c>
      <c r="I15" s="88">
        <f>0.5*16.66*2.23+(25-16.66)*2.23+17.2*6.25+8*6.25*2</f>
        <v>244.67410000000001</v>
      </c>
    </row>
    <row r="16" spans="1:9" ht="69.95" customHeight="1" thickBot="1" x14ac:dyDescent="0.3">
      <c r="A16" s="1">
        <v>12</v>
      </c>
      <c r="B16" s="38" t="s">
        <v>17</v>
      </c>
      <c r="C16" s="86"/>
      <c r="D16" s="139">
        <v>0</v>
      </c>
      <c r="E16" s="87">
        <v>0</v>
      </c>
      <c r="F16" s="87">
        <f>8*31.5</f>
        <v>252</v>
      </c>
      <c r="G16" s="87">
        <v>0</v>
      </c>
      <c r="H16" s="87">
        <f>11.79+9.41</f>
        <v>21.2</v>
      </c>
      <c r="I16" s="88">
        <f>25*9.26</f>
        <v>231.5</v>
      </c>
    </row>
    <row r="17" spans="1:10" ht="69.95" customHeight="1" thickBot="1" x14ac:dyDescent="0.3">
      <c r="A17" s="1">
        <v>13</v>
      </c>
      <c r="B17" s="3" t="s">
        <v>18</v>
      </c>
      <c r="C17" s="89"/>
      <c r="D17" s="139">
        <f>9.26*25</f>
        <v>231.5</v>
      </c>
      <c r="E17" s="87">
        <v>0</v>
      </c>
      <c r="F17" s="87">
        <v>0</v>
      </c>
      <c r="G17" s="6">
        <v>0</v>
      </c>
      <c r="H17" s="87">
        <f>11.79+9.41</f>
        <v>21.2</v>
      </c>
      <c r="I17" s="90">
        <v>0</v>
      </c>
      <c r="J17" s="7"/>
    </row>
    <row r="18" spans="1:10" ht="69.95" customHeight="1" thickBot="1" x14ac:dyDescent="0.3">
      <c r="A18" s="1">
        <v>14</v>
      </c>
      <c r="B18" s="3" t="s">
        <v>19</v>
      </c>
      <c r="C18" s="83"/>
      <c r="D18" s="137">
        <f>53*25</f>
        <v>1325</v>
      </c>
      <c r="E18" s="84">
        <f>8.5*31.5</f>
        <v>267.75</v>
      </c>
      <c r="F18" s="84">
        <f>8*31.5</f>
        <v>252</v>
      </c>
      <c r="G18" s="5">
        <f>29*8.5</f>
        <v>246.5</v>
      </c>
      <c r="H18" s="84">
        <f>11.79+9.41</f>
        <v>21.2</v>
      </c>
      <c r="I18" s="8">
        <f>8*17.2+9.26*25</f>
        <v>369.1</v>
      </c>
    </row>
    <row r="19" spans="1:10" ht="69.95" customHeight="1" thickBot="1" x14ac:dyDescent="0.3">
      <c r="A19" s="1">
        <v>15</v>
      </c>
      <c r="B19" s="46" t="s">
        <v>20</v>
      </c>
      <c r="C19" s="89"/>
      <c r="D19" s="139">
        <v>8215</v>
      </c>
      <c r="E19" s="87">
        <v>963.9</v>
      </c>
      <c r="F19" s="87">
        <v>819</v>
      </c>
      <c r="G19" s="87">
        <v>1528.3</v>
      </c>
      <c r="H19" s="87">
        <v>68.899999999999991</v>
      </c>
      <c r="I19" s="90">
        <v>1251.5450000000001</v>
      </c>
      <c r="J19" s="7"/>
    </row>
    <row r="20" spans="1:10" ht="58.9" customHeight="1" x14ac:dyDescent="0.25">
      <c r="A20" s="1">
        <v>16</v>
      </c>
      <c r="B20" s="9" t="s">
        <v>124</v>
      </c>
      <c r="C20" s="141"/>
      <c r="D20" s="23">
        <v>2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7"/>
    </row>
    <row r="21" spans="1:10" ht="54.6" customHeight="1" x14ac:dyDescent="0.25">
      <c r="B21" s="11"/>
      <c r="C21" s="11"/>
      <c r="D21" s="11"/>
      <c r="E21" s="11"/>
      <c r="F21" s="11"/>
      <c r="G21" s="11"/>
      <c r="H21" s="11"/>
      <c r="I21" s="10"/>
      <c r="J21" s="7"/>
    </row>
    <row r="22" spans="1:10" ht="57.6" customHeight="1" x14ac:dyDescent="0.25">
      <c r="B22" s="2"/>
      <c r="C22" s="2"/>
      <c r="D22" s="12"/>
      <c r="E22" s="12"/>
      <c r="F22" s="12"/>
      <c r="G22" s="12"/>
      <c r="H22" s="12"/>
      <c r="I22" s="10"/>
      <c r="J22" s="7"/>
    </row>
    <row r="23" spans="1:10" ht="57.6" customHeight="1" x14ac:dyDescent="0.25">
      <c r="B23" s="2"/>
      <c r="C23" s="2"/>
      <c r="D23" s="12"/>
      <c r="E23" s="12"/>
      <c r="F23" s="12"/>
      <c r="G23" s="12"/>
      <c r="H23" s="12"/>
      <c r="I23" s="10"/>
    </row>
    <row r="24" spans="1:10" ht="53.45" customHeight="1" x14ac:dyDescent="0.25">
      <c r="B24" s="2"/>
      <c r="C24" s="2"/>
      <c r="D24" s="12"/>
      <c r="E24" s="12"/>
      <c r="F24" s="12"/>
      <c r="G24" s="12"/>
      <c r="H24" s="12"/>
      <c r="I24" s="10"/>
    </row>
    <row r="25" spans="1:10" ht="43.9" customHeight="1" x14ac:dyDescent="0.25"/>
    <row r="26" spans="1:10" ht="43.9" customHeight="1" x14ac:dyDescent="0.25">
      <c r="J26" s="107"/>
    </row>
    <row r="27" spans="1:10" ht="46.9" customHeight="1" x14ac:dyDescent="0.25">
      <c r="J27" s="107"/>
    </row>
    <row r="28" spans="1:10" ht="44.45" customHeight="1" x14ac:dyDescent="0.25"/>
    <row r="29" spans="1:10" ht="46.9" customHeight="1" x14ac:dyDescent="0.25"/>
  </sheetData>
  <mergeCells count="4">
    <mergeCell ref="B1:I1"/>
    <mergeCell ref="B5:B8"/>
    <mergeCell ref="B9:B12"/>
    <mergeCell ref="J26:J27"/>
  </mergeCells>
  <conditionalFormatting sqref="E23">
    <cfRule type="cellIs" dxfId="6" priority="3" operator="equal">
      <formula>TRUE</formula>
    </cfRule>
  </conditionalFormatting>
  <conditionalFormatting sqref="G23">
    <cfRule type="cellIs" dxfId="5" priority="1" operator="equal">
      <formula>TRUE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  <pageSetUpPr fitToPage="1"/>
  </sheetPr>
  <dimension ref="A1:O35"/>
  <sheetViews>
    <sheetView tabSelected="1" zoomScale="85" zoomScaleNormal="85" workbookViewId="0">
      <pane xSplit="3" ySplit="5" topLeftCell="D12" activePane="bottomRight" state="frozen"/>
      <selection pane="topRight" activeCell="C1" sqref="C1"/>
      <selection pane="bottomLeft" activeCell="A5" sqref="A5"/>
      <selection pane="bottomRight" activeCell="F19" sqref="F19"/>
    </sheetView>
  </sheetViews>
  <sheetFormatPr baseColWidth="10" defaultColWidth="11.42578125" defaultRowHeight="15" x14ac:dyDescent="0.25"/>
  <cols>
    <col min="1" max="1" width="11.42578125" style="1"/>
    <col min="2" max="2" width="25.7109375" style="1" customWidth="1"/>
    <col min="3" max="3" width="13.42578125" style="1" customWidth="1"/>
    <col min="4" max="4" width="15.28515625" style="1" customWidth="1"/>
    <col min="5" max="10" width="26.28515625" style="1" customWidth="1"/>
    <col min="11" max="11" width="16.7109375" style="1" bestFit="1" customWidth="1"/>
    <col min="12" max="16384" width="11.42578125" style="1"/>
  </cols>
  <sheetData>
    <row r="1" spans="1:15" ht="17.25" x14ac:dyDescent="0.25">
      <c r="B1" s="108" t="s">
        <v>122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 spans="1:15" ht="17.25" x14ac:dyDescent="0.25">
      <c r="B2" s="140" t="s">
        <v>123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</row>
    <row r="4" spans="1:15" ht="17.25" thickBot="1" x14ac:dyDescent="0.3">
      <c r="B4" s="110" t="s">
        <v>130</v>
      </c>
      <c r="C4" s="106"/>
      <c r="D4" s="4" t="s">
        <v>21</v>
      </c>
      <c r="E4" s="14" t="s">
        <v>120</v>
      </c>
      <c r="F4" s="14" t="s">
        <v>121</v>
      </c>
      <c r="G4" s="14"/>
      <c r="H4" s="14"/>
      <c r="I4" s="14"/>
      <c r="J4" s="14"/>
    </row>
    <row r="5" spans="1:15" ht="42" customHeight="1" thickBot="1" x14ac:dyDescent="0.3">
      <c r="A5" s="1">
        <v>0</v>
      </c>
      <c r="B5" s="110" t="s">
        <v>119</v>
      </c>
      <c r="C5" s="106"/>
      <c r="D5" s="4"/>
      <c r="E5" s="14" t="s">
        <v>120</v>
      </c>
      <c r="F5" s="14" t="s">
        <v>121</v>
      </c>
      <c r="G5" s="14"/>
      <c r="H5" s="14"/>
      <c r="I5" s="14"/>
      <c r="J5" s="14"/>
    </row>
    <row r="6" spans="1:15" ht="50.1" customHeight="1" x14ac:dyDescent="0.25">
      <c r="A6" s="1">
        <v>1</v>
      </c>
      <c r="B6" s="15" t="s">
        <v>85</v>
      </c>
      <c r="C6" s="16" t="s">
        <v>22</v>
      </c>
      <c r="D6" s="17">
        <f>SUM(E6:J6)</f>
        <v>541</v>
      </c>
      <c r="E6" s="64">
        <v>416</v>
      </c>
      <c r="F6" s="64">
        <v>125</v>
      </c>
      <c r="G6" s="64"/>
      <c r="H6" s="64"/>
      <c r="I6" s="64"/>
      <c r="J6" s="64"/>
    </row>
    <row r="7" spans="1:15" ht="50.1" customHeight="1" x14ac:dyDescent="0.25">
      <c r="A7" s="1">
        <v>2</v>
      </c>
      <c r="B7" s="105" t="s">
        <v>125</v>
      </c>
      <c r="C7" s="16"/>
      <c r="D7" s="17"/>
      <c r="E7" s="64">
        <v>25</v>
      </c>
      <c r="F7" s="64">
        <v>16.600000000000001</v>
      </c>
      <c r="G7" s="64"/>
      <c r="H7" s="64"/>
      <c r="I7" s="64"/>
      <c r="J7" s="64"/>
    </row>
    <row r="8" spans="1:15" ht="50.1" customHeight="1" x14ac:dyDescent="0.25">
      <c r="A8" s="1">
        <v>3</v>
      </c>
      <c r="B8" s="105" t="s">
        <v>126</v>
      </c>
      <c r="C8" s="16"/>
      <c r="D8" s="17"/>
      <c r="E8" s="64">
        <v>16.600000000000001</v>
      </c>
      <c r="F8" s="64">
        <v>7.5</v>
      </c>
      <c r="G8" s="64"/>
      <c r="H8" s="64"/>
      <c r="I8" s="64"/>
      <c r="J8" s="64"/>
    </row>
    <row r="9" spans="1:15" ht="50.1" customHeight="1" x14ac:dyDescent="0.25">
      <c r="A9" s="1">
        <v>4</v>
      </c>
      <c r="B9" s="105" t="s">
        <v>26</v>
      </c>
      <c r="C9" s="16" t="s">
        <v>23</v>
      </c>
      <c r="D9" s="17"/>
      <c r="E9" s="64">
        <v>83.32</v>
      </c>
      <c r="F9" s="64">
        <v>45</v>
      </c>
      <c r="G9" s="64"/>
      <c r="H9" s="64"/>
      <c r="I9" s="64"/>
      <c r="J9" s="64"/>
      <c r="K9" s="23"/>
    </row>
    <row r="10" spans="1:15" ht="69.95" customHeight="1" x14ac:dyDescent="0.25">
      <c r="A10" s="1">
        <v>5</v>
      </c>
      <c r="B10" s="15" t="s">
        <v>97</v>
      </c>
      <c r="C10" s="16" t="s">
        <v>23</v>
      </c>
      <c r="D10" s="17"/>
      <c r="E10" s="64">
        <v>2.2000000000000002</v>
      </c>
      <c r="F10" s="64">
        <v>1</v>
      </c>
      <c r="G10" s="64"/>
      <c r="H10" s="64"/>
      <c r="I10" s="64"/>
      <c r="J10" s="64"/>
      <c r="K10" s="20"/>
    </row>
    <row r="11" spans="1:15" ht="50.1" customHeight="1" x14ac:dyDescent="0.25">
      <c r="A11" s="1">
        <v>6</v>
      </c>
      <c r="B11" s="15" t="s">
        <v>24</v>
      </c>
      <c r="C11" s="16" t="s">
        <v>25</v>
      </c>
      <c r="D11" s="17">
        <f>SUM(E11:J11)</f>
        <v>1040.2</v>
      </c>
      <c r="E11" s="64">
        <v>915.2</v>
      </c>
      <c r="F11" s="64">
        <v>125</v>
      </c>
      <c r="G11" s="64"/>
      <c r="H11" s="64"/>
      <c r="I11" s="64"/>
      <c r="J11" s="64"/>
      <c r="K11" s="23"/>
    </row>
    <row r="12" spans="1:15" ht="50.1" customHeight="1" x14ac:dyDescent="0.25">
      <c r="A12" s="1">
        <v>7</v>
      </c>
      <c r="B12" s="15" t="s">
        <v>27</v>
      </c>
      <c r="C12" s="16" t="s">
        <v>22</v>
      </c>
      <c r="D12" s="17">
        <f>SUM(E12:J12)</f>
        <v>716.32891940711272</v>
      </c>
      <c r="E12" s="64">
        <v>559.82000000000005</v>
      </c>
      <c r="F12" s="64">
        <v>156.5089194071127</v>
      </c>
      <c r="G12" s="64"/>
      <c r="H12" s="64"/>
      <c r="I12" s="64"/>
      <c r="J12" s="64"/>
      <c r="K12" s="24"/>
    </row>
    <row r="13" spans="1:15" ht="50.1" customHeight="1" x14ac:dyDescent="0.25">
      <c r="A13" s="1">
        <v>8</v>
      </c>
      <c r="B13" s="15" t="s">
        <v>28</v>
      </c>
      <c r="C13" s="16" t="s">
        <v>22</v>
      </c>
      <c r="D13" s="17">
        <f>SUM(E13:J13)</f>
        <v>0</v>
      </c>
      <c r="E13" s="64">
        <v>0</v>
      </c>
      <c r="F13" s="64">
        <v>0</v>
      </c>
      <c r="G13" s="64"/>
      <c r="H13" s="64"/>
      <c r="I13" s="64"/>
      <c r="J13" s="64"/>
    </row>
    <row r="14" spans="1:15" ht="50.1" customHeight="1" x14ac:dyDescent="0.25">
      <c r="A14" s="1">
        <v>9</v>
      </c>
      <c r="B14" s="15" t="s">
        <v>29</v>
      </c>
      <c r="C14" s="16" t="s">
        <v>22</v>
      </c>
      <c r="D14" s="17">
        <f>SUM(E14:J14)</f>
        <v>299.82891940711272</v>
      </c>
      <c r="E14" s="64">
        <v>143.32000000000002</v>
      </c>
      <c r="F14" s="64">
        <v>156.5089194071127</v>
      </c>
      <c r="G14" s="64"/>
      <c r="H14" s="64"/>
      <c r="I14" s="64"/>
      <c r="J14" s="64"/>
    </row>
    <row r="15" spans="1:15" ht="50.1" customHeight="1" x14ac:dyDescent="0.25">
      <c r="A15" s="1">
        <v>10</v>
      </c>
      <c r="B15" s="15" t="s">
        <v>30</v>
      </c>
      <c r="C15" s="16" t="s">
        <v>22</v>
      </c>
      <c r="D15" s="17">
        <f>SUM(E15:J15)</f>
        <v>21.658000000000001</v>
      </c>
      <c r="E15" s="64">
        <v>21.658000000000001</v>
      </c>
      <c r="F15" s="64">
        <v>0</v>
      </c>
      <c r="G15" s="64"/>
      <c r="H15" s="64"/>
      <c r="I15" s="64"/>
      <c r="J15" s="64"/>
      <c r="K15" s="25"/>
    </row>
    <row r="16" spans="1:15" ht="50.1" customHeight="1" x14ac:dyDescent="0.25">
      <c r="A16" s="1">
        <v>11</v>
      </c>
      <c r="B16" s="15" t="s">
        <v>31</v>
      </c>
      <c r="C16" s="16" t="s">
        <v>32</v>
      </c>
      <c r="D16" s="17"/>
      <c r="E16" s="65">
        <v>301.14999999999998</v>
      </c>
      <c r="F16" s="66">
        <v>303.14999999999998</v>
      </c>
      <c r="G16" s="65"/>
      <c r="H16" s="66"/>
      <c r="I16" s="65"/>
      <c r="J16" s="65"/>
      <c r="K16" s="23"/>
    </row>
    <row r="17" spans="1:12" ht="69.95" customHeight="1" x14ac:dyDescent="0.25">
      <c r="A17" s="1">
        <v>12</v>
      </c>
      <c r="B17" s="15" t="s">
        <v>33</v>
      </c>
      <c r="C17" s="26" t="s">
        <v>34</v>
      </c>
      <c r="D17" s="17"/>
      <c r="E17" s="27">
        <v>2</v>
      </c>
      <c r="F17" s="28">
        <v>2</v>
      </c>
      <c r="G17" s="27"/>
      <c r="H17" s="28"/>
      <c r="I17" s="27"/>
      <c r="J17" s="27"/>
    </row>
    <row r="18" spans="1:12" ht="69.95" customHeight="1" x14ac:dyDescent="0.25">
      <c r="A18" s="1">
        <v>13</v>
      </c>
      <c r="B18" s="15" t="s">
        <v>35</v>
      </c>
      <c r="C18" s="26" t="s">
        <v>36</v>
      </c>
      <c r="D18" s="17"/>
      <c r="E18" s="27" t="s">
        <v>111</v>
      </c>
      <c r="F18" s="27" t="s">
        <v>111</v>
      </c>
      <c r="G18" s="18"/>
      <c r="H18" s="27"/>
      <c r="I18" s="18"/>
      <c r="J18" s="18"/>
      <c r="L18" s="1" t="s">
        <v>128</v>
      </c>
    </row>
    <row r="19" spans="1:12" ht="69.95" customHeight="1" x14ac:dyDescent="0.25">
      <c r="A19" s="1">
        <v>14</v>
      </c>
      <c r="B19" s="15" t="s">
        <v>37</v>
      </c>
      <c r="C19" s="16" t="s">
        <v>36</v>
      </c>
      <c r="D19" s="17"/>
      <c r="E19" s="27" t="s">
        <v>131</v>
      </c>
      <c r="F19" s="27" t="s">
        <v>131</v>
      </c>
      <c r="G19" s="18"/>
      <c r="H19" s="27"/>
      <c r="I19" s="18"/>
      <c r="J19" s="18"/>
      <c r="L19" s="1" t="s">
        <v>127</v>
      </c>
    </row>
    <row r="20" spans="1:12" ht="69.95" customHeight="1" x14ac:dyDescent="0.25">
      <c r="A20" s="1">
        <v>15</v>
      </c>
      <c r="B20" s="15" t="s">
        <v>38</v>
      </c>
      <c r="C20" s="16" t="s">
        <v>36</v>
      </c>
      <c r="D20" s="17"/>
      <c r="E20" s="18" t="str" cm="1">
        <f t="array" aca="1" ref="E20" ca="1">IF(ISNA(INDIRECT("Datenbank!"&amp;ADDRESS(ROW(INDEX(#REF!,MATCH($B$3,#REF!,0))),COLUMN(INDEX(INDIRECT("Datenbank!$A"&amp;ROW(INDEX(#REF!,MATCH($B$3,#REF!,0)))):INDIRECT("Datenbank!$MS"&amp;ROW(INDEX(#REF!,MATCH($B$3,#REF!,0)))),MATCH(#REF!,INDIRECT("Datenbank!$A"&amp;ROW(INDEX(#REF!,MATCH($B$3,#REF!,0)))):INDIRECT("Datenbank!$MS"&amp;ROW(INDEX(#REF!,MATCH($B$3,#REF!,0)))),0)))))),"","Freshwater")</f>
        <v>Freshwater</v>
      </c>
      <c r="F20" s="18" t="str" cm="1">
        <f t="array" aca="1" ref="F20" ca="1">IF(ISNA(INDIRECT("Datenbank!"&amp;ADDRESS(ROW(INDEX(#REF!,MATCH($B$3,#REF!,0))),COLUMN(INDEX(INDIRECT("Datenbank!$A"&amp;ROW(INDEX(#REF!,MATCH($B$3,#REF!,0)))):INDIRECT("Datenbank!$MS"&amp;ROW(INDEX(#REF!,MATCH($B$3,#REF!,0)))),MATCH(#REF!,INDIRECT("Datenbank!$A"&amp;ROW(INDEX(#REF!,MATCH($B$3,#REF!,0)))):INDIRECT("Datenbank!$MS"&amp;ROW(INDEX(#REF!,MATCH($B$3,#REF!,0)))),0)))))),"","Freshwater")</f>
        <v>Freshwater</v>
      </c>
      <c r="G20" s="18"/>
      <c r="H20" s="18"/>
      <c r="I20" s="18"/>
      <c r="J20" s="18"/>
    </row>
    <row r="21" spans="1:12" ht="69.95" customHeight="1" x14ac:dyDescent="0.25">
      <c r="A21" s="1">
        <v>16</v>
      </c>
      <c r="B21" s="15" t="s">
        <v>39</v>
      </c>
      <c r="C21" s="16" t="s">
        <v>40</v>
      </c>
      <c r="D21" s="17"/>
      <c r="E21" s="18" t="s">
        <v>100</v>
      </c>
      <c r="F21" s="19" t="s">
        <v>100</v>
      </c>
      <c r="G21" s="18"/>
      <c r="H21" s="19"/>
      <c r="I21" s="18"/>
      <c r="J21" s="18"/>
    </row>
    <row r="22" spans="1:12" ht="69.95" customHeight="1" x14ac:dyDescent="0.25">
      <c r="A22" s="1">
        <v>17</v>
      </c>
      <c r="B22" s="15" t="s">
        <v>41</v>
      </c>
      <c r="C22" s="16"/>
      <c r="D22" s="17"/>
      <c r="E22" s="21">
        <v>0.8</v>
      </c>
      <c r="F22" s="22">
        <v>0.8</v>
      </c>
      <c r="G22" s="21"/>
      <c r="H22" s="22"/>
      <c r="I22" s="21"/>
      <c r="J22" s="21"/>
      <c r="L22" s="7"/>
    </row>
    <row r="23" spans="1:12" ht="69.95" customHeight="1" x14ac:dyDescent="0.25">
      <c r="A23" s="1">
        <v>18</v>
      </c>
      <c r="B23" s="67" t="s">
        <v>99</v>
      </c>
      <c r="C23" s="16" t="s">
        <v>98</v>
      </c>
      <c r="D23" s="17"/>
      <c r="E23" s="21">
        <v>350</v>
      </c>
      <c r="F23" s="22">
        <v>350</v>
      </c>
      <c r="G23" s="21"/>
      <c r="H23" s="22"/>
      <c r="I23" s="21"/>
      <c r="J23" s="21"/>
      <c r="L23" s="7"/>
    </row>
    <row r="24" spans="1:12" ht="69.95" customHeight="1" x14ac:dyDescent="0.25">
      <c r="A24" s="1">
        <v>19</v>
      </c>
      <c r="B24" s="15" t="s">
        <v>42</v>
      </c>
      <c r="C24" s="16" t="s">
        <v>43</v>
      </c>
      <c r="D24" s="17"/>
      <c r="E24" s="21" t="s">
        <v>86</v>
      </c>
      <c r="F24" s="19" t="s">
        <v>86</v>
      </c>
      <c r="G24" s="18"/>
      <c r="H24" s="19"/>
      <c r="I24" s="18"/>
      <c r="J24" s="18"/>
      <c r="L24" s="7"/>
    </row>
    <row r="25" spans="1:12" ht="58.9" customHeight="1" x14ac:dyDescent="0.25">
      <c r="A25" s="1">
        <v>20</v>
      </c>
      <c r="B25" s="15" t="s">
        <v>44</v>
      </c>
      <c r="C25" s="16" t="s">
        <v>45</v>
      </c>
      <c r="D25" s="17"/>
      <c r="E25" s="21">
        <v>0</v>
      </c>
      <c r="F25" s="22">
        <v>0</v>
      </c>
      <c r="G25" s="21"/>
      <c r="H25" s="22"/>
      <c r="I25" s="21"/>
      <c r="J25" s="21"/>
      <c r="L25" s="7"/>
    </row>
    <row r="26" spans="1:12" ht="57.6" customHeight="1" x14ac:dyDescent="0.25">
      <c r="A26" s="1">
        <v>21</v>
      </c>
      <c r="B26" s="15" t="s">
        <v>46</v>
      </c>
      <c r="C26" s="16" t="s">
        <v>43</v>
      </c>
      <c r="D26" s="17"/>
      <c r="E26" s="21" t="s">
        <v>100</v>
      </c>
      <c r="F26" s="19" t="s">
        <v>100</v>
      </c>
      <c r="G26" s="18"/>
      <c r="H26" s="19"/>
      <c r="I26" s="18"/>
      <c r="J26" s="18"/>
      <c r="L26" s="7"/>
    </row>
    <row r="27" spans="1:12" ht="54.6" customHeight="1" x14ac:dyDescent="0.25">
      <c r="A27" s="1">
        <v>22</v>
      </c>
      <c r="B27" s="15" t="s">
        <v>47</v>
      </c>
      <c r="C27" s="16" t="s">
        <v>45</v>
      </c>
      <c r="D27" s="17"/>
      <c r="E27" s="21">
        <v>30</v>
      </c>
      <c r="F27" s="22">
        <v>30</v>
      </c>
      <c r="G27" s="21"/>
      <c r="H27" s="22"/>
      <c r="I27" s="21"/>
      <c r="J27" s="21"/>
      <c r="L27" s="7"/>
    </row>
    <row r="28" spans="1:12" ht="57.6" customHeight="1" x14ac:dyDescent="0.25">
      <c r="A28" s="1">
        <v>23</v>
      </c>
      <c r="B28" s="15" t="s">
        <v>48</v>
      </c>
      <c r="C28" s="26" t="s">
        <v>49</v>
      </c>
      <c r="D28" s="17"/>
      <c r="E28" s="27">
        <v>30</v>
      </c>
      <c r="F28" s="28">
        <v>30</v>
      </c>
      <c r="G28" s="27"/>
      <c r="H28" s="28"/>
      <c r="I28" s="27"/>
      <c r="J28" s="27"/>
    </row>
    <row r="29" spans="1:12" ht="53.45" customHeight="1" x14ac:dyDescent="0.25">
      <c r="A29" s="1">
        <v>24</v>
      </c>
      <c r="B29" s="15" t="s">
        <v>50</v>
      </c>
      <c r="C29" s="16" t="s">
        <v>43</v>
      </c>
      <c r="D29" s="17"/>
      <c r="E29" s="18" t="s">
        <v>86</v>
      </c>
      <c r="F29" s="19" t="s">
        <v>86</v>
      </c>
      <c r="G29" s="18"/>
      <c r="H29" s="19"/>
      <c r="I29" s="18"/>
      <c r="J29" s="18"/>
    </row>
    <row r="30" spans="1:12" ht="43.9" customHeight="1" x14ac:dyDescent="0.25">
      <c r="A30" s="1">
        <v>25</v>
      </c>
      <c r="B30" s="15" t="s">
        <v>51</v>
      </c>
      <c r="C30" s="16" t="s">
        <v>43</v>
      </c>
      <c r="D30" s="17"/>
      <c r="E30" s="18" t="s">
        <v>86</v>
      </c>
      <c r="F30" s="19" t="s">
        <v>86</v>
      </c>
      <c r="G30" s="18"/>
      <c r="H30" s="19"/>
      <c r="I30" s="18"/>
      <c r="J30" s="18"/>
    </row>
    <row r="31" spans="1:12" ht="43.9" customHeight="1" x14ac:dyDescent="0.25">
      <c r="A31" s="1">
        <v>26</v>
      </c>
      <c r="B31" s="15" t="s">
        <v>52</v>
      </c>
      <c r="C31" s="16" t="s">
        <v>23</v>
      </c>
      <c r="D31" s="17"/>
      <c r="E31" s="18">
        <v>0</v>
      </c>
      <c r="F31" s="19">
        <v>0</v>
      </c>
      <c r="G31" s="18"/>
      <c r="H31" s="19"/>
      <c r="I31" s="18"/>
      <c r="J31" s="18"/>
      <c r="L31" s="107"/>
    </row>
    <row r="32" spans="1:12" ht="46.9" customHeight="1" x14ac:dyDescent="0.25">
      <c r="A32" s="1">
        <v>27</v>
      </c>
      <c r="B32" s="15" t="s">
        <v>53</v>
      </c>
      <c r="C32" s="16" t="s">
        <v>23</v>
      </c>
      <c r="D32" s="17"/>
      <c r="E32" s="18">
        <v>0</v>
      </c>
      <c r="F32" s="19">
        <v>0</v>
      </c>
      <c r="G32" s="18"/>
      <c r="H32" s="19"/>
      <c r="I32" s="18"/>
      <c r="J32" s="18"/>
      <c r="L32" s="107"/>
    </row>
    <row r="33" spans="1:12" ht="44.45" customHeight="1" x14ac:dyDescent="0.25">
      <c r="A33" s="1">
        <v>28</v>
      </c>
      <c r="B33" s="15" t="s">
        <v>54</v>
      </c>
      <c r="C33" s="16" t="s">
        <v>55</v>
      </c>
      <c r="D33" s="17"/>
      <c r="E33" s="18">
        <v>0</v>
      </c>
      <c r="F33" s="19">
        <v>0</v>
      </c>
      <c r="G33" s="18"/>
      <c r="H33" s="19"/>
      <c r="I33" s="18"/>
      <c r="J33" s="18"/>
    </row>
    <row r="34" spans="1:12" ht="46.9" customHeight="1" x14ac:dyDescent="0.25">
      <c r="A34" s="1">
        <v>29</v>
      </c>
      <c r="B34" s="15" t="s">
        <v>56</v>
      </c>
      <c r="C34" s="16" t="s">
        <v>57</v>
      </c>
      <c r="D34" s="17"/>
      <c r="E34" s="18">
        <v>0</v>
      </c>
      <c r="F34" s="19">
        <v>0</v>
      </c>
      <c r="G34" s="18"/>
      <c r="H34" s="19"/>
      <c r="I34" s="18"/>
      <c r="J34" s="18"/>
    </row>
    <row r="35" spans="1:12" ht="43.5" customHeight="1" x14ac:dyDescent="0.25">
      <c r="A35" s="1">
        <v>30</v>
      </c>
      <c r="B35" s="15" t="s">
        <v>58</v>
      </c>
      <c r="C35" s="16" t="s">
        <v>59</v>
      </c>
      <c r="D35" s="17"/>
      <c r="E35" s="18" t="s">
        <v>87</v>
      </c>
      <c r="F35" s="19" t="s">
        <v>87</v>
      </c>
      <c r="G35" s="18"/>
      <c r="H35" s="19"/>
      <c r="I35" s="18"/>
      <c r="J35" s="18"/>
      <c r="L35" s="1" t="s">
        <v>129</v>
      </c>
    </row>
  </sheetData>
  <mergeCells count="4">
    <mergeCell ref="B1:O1"/>
    <mergeCell ref="B5:C5"/>
    <mergeCell ref="L31:L32"/>
    <mergeCell ref="B4:C4"/>
  </mergeCells>
  <conditionalFormatting sqref="G18 I18:J18 E20:J35 E6:J17 G19:J19">
    <cfRule type="cellIs" dxfId="4" priority="7" operator="lessThan">
      <formula>0</formula>
    </cfRule>
  </conditionalFormatting>
  <conditionalFormatting sqref="E18:F18">
    <cfRule type="cellIs" dxfId="3" priority="6" operator="lessThan">
      <formula>0</formula>
    </cfRule>
  </conditionalFormatting>
  <conditionalFormatting sqref="E19:F19">
    <cfRule type="cellIs" dxfId="2" priority="3" operator="lessThan">
      <formula>0</formula>
    </cfRule>
  </conditionalFormatting>
  <conditionalFormatting sqref="H18">
    <cfRule type="cellIs" dxfId="1" priority="2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N35"/>
  <sheetViews>
    <sheetView zoomScale="70" zoomScaleNormal="70" workbookViewId="0">
      <pane xSplit="1" ySplit="4" topLeftCell="C5" activePane="bottomRight" state="frozen"/>
      <selection pane="topRight" activeCell="B1" sqref="B1"/>
      <selection pane="bottomLeft" activeCell="A4" sqref="A4"/>
      <selection pane="bottomRight" activeCell="E48" sqref="E48"/>
    </sheetView>
  </sheetViews>
  <sheetFormatPr baseColWidth="10" defaultColWidth="9.140625" defaultRowHeight="15" x14ac:dyDescent="0.25"/>
  <cols>
    <col min="1" max="1" width="36.42578125" style="42" customWidth="1"/>
    <col min="2" max="3" width="12.5703125" style="42" customWidth="1"/>
    <col min="4" max="4" width="24" style="42" customWidth="1"/>
    <col min="5" max="5" width="39.28515625" style="42" customWidth="1"/>
    <col min="6" max="6" width="43.140625" style="42" customWidth="1"/>
    <col min="7" max="11" width="12.5703125" style="42" customWidth="1"/>
    <col min="12" max="16384" width="9.140625" style="29"/>
  </cols>
  <sheetData>
    <row r="1" spans="1:14" ht="15" customHeight="1" x14ac:dyDescent="0.25">
      <c r="A1" s="44" t="s">
        <v>60</v>
      </c>
      <c r="B1" s="44"/>
      <c r="C1" s="41"/>
      <c r="D1" s="41"/>
      <c r="E1" s="41"/>
      <c r="F1" s="41"/>
      <c r="G1" s="41"/>
      <c r="H1" s="41"/>
      <c r="I1" s="41"/>
      <c r="J1" s="44"/>
      <c r="K1" s="44"/>
    </row>
    <row r="2" spans="1:14" ht="15" customHeight="1" x14ac:dyDescent="0.25">
      <c r="A2" s="63" t="e">
        <f>#REF!</f>
        <v>#REF!</v>
      </c>
      <c r="B2" s="62"/>
      <c r="C2" s="37"/>
      <c r="D2" s="37"/>
      <c r="E2" s="37"/>
      <c r="F2" s="37"/>
      <c r="G2" s="37"/>
      <c r="H2" s="37"/>
      <c r="I2" s="37"/>
      <c r="J2" s="62"/>
      <c r="K2" s="62"/>
    </row>
    <row r="3" spans="1:14" s="43" customFormat="1" ht="44.25" customHeight="1" x14ac:dyDescent="0.25">
      <c r="A3" s="31" t="s">
        <v>61</v>
      </c>
      <c r="B3" s="30" t="s">
        <v>92</v>
      </c>
      <c r="C3" s="31" t="s">
        <v>64</v>
      </c>
      <c r="D3" s="31" t="s">
        <v>95</v>
      </c>
      <c r="E3" s="31" t="s">
        <v>96</v>
      </c>
      <c r="F3" s="31" t="s">
        <v>65</v>
      </c>
      <c r="G3" s="31" t="s">
        <v>93</v>
      </c>
      <c r="H3" s="31" t="s">
        <v>66</v>
      </c>
      <c r="I3" s="31" t="s">
        <v>94</v>
      </c>
      <c r="J3" s="31" t="s">
        <v>62</v>
      </c>
      <c r="K3" s="31" t="s">
        <v>63</v>
      </c>
    </row>
    <row r="4" spans="1:14" ht="18" thickBot="1" x14ac:dyDescent="0.3">
      <c r="A4" s="49"/>
      <c r="B4" s="53"/>
      <c r="C4" s="32" t="s">
        <v>67</v>
      </c>
      <c r="D4" s="32"/>
      <c r="E4" s="32"/>
      <c r="F4" s="49"/>
      <c r="G4" s="32" t="s">
        <v>68</v>
      </c>
      <c r="H4" s="32" t="s">
        <v>69</v>
      </c>
      <c r="I4" s="32" t="s">
        <v>70</v>
      </c>
      <c r="J4" s="32" t="s">
        <v>91</v>
      </c>
      <c r="K4" s="32" t="s">
        <v>91</v>
      </c>
    </row>
    <row r="5" spans="1:14" ht="15" customHeight="1" x14ac:dyDescent="0.25">
      <c r="A5" s="45" t="s">
        <v>71</v>
      </c>
      <c r="B5" s="42">
        <v>1</v>
      </c>
      <c r="C5" s="55">
        <v>25</v>
      </c>
      <c r="D5" s="55" t="s">
        <v>89</v>
      </c>
      <c r="E5" s="34"/>
      <c r="F5" t="s">
        <v>72</v>
      </c>
      <c r="G5" s="91">
        <v>1.9375</v>
      </c>
      <c r="H5" s="91">
        <v>2104.1999999999998</v>
      </c>
      <c r="I5" s="91">
        <v>0.77584580000000003</v>
      </c>
      <c r="J5" s="54"/>
      <c r="K5" s="54"/>
      <c r="L5" s="33"/>
      <c r="M5" s="33"/>
    </row>
    <row r="6" spans="1:14" x14ac:dyDescent="0.25">
      <c r="B6" s="42">
        <v>2</v>
      </c>
      <c r="C6" s="55">
        <v>16</v>
      </c>
      <c r="D6" s="55" t="s">
        <v>101</v>
      </c>
      <c r="E6" s="34"/>
      <c r="F6" t="s">
        <v>103</v>
      </c>
      <c r="G6" s="34">
        <v>0.04</v>
      </c>
      <c r="H6" s="91">
        <v>31</v>
      </c>
      <c r="I6" s="91">
        <v>1.45</v>
      </c>
      <c r="J6" s="54"/>
      <c r="K6" s="54"/>
    </row>
    <row r="7" spans="1:14" x14ac:dyDescent="0.25">
      <c r="B7" s="42">
        <v>3</v>
      </c>
      <c r="C7" s="55">
        <v>0.5</v>
      </c>
      <c r="D7" s="55" t="s">
        <v>102</v>
      </c>
      <c r="E7" s="34"/>
      <c r="F7" t="s">
        <v>104</v>
      </c>
      <c r="G7" s="91">
        <v>0.7</v>
      </c>
      <c r="H7" s="91">
        <v>1645</v>
      </c>
      <c r="I7" s="91">
        <v>10</v>
      </c>
      <c r="J7" s="54"/>
      <c r="K7" s="54"/>
    </row>
    <row r="8" spans="1:14" x14ac:dyDescent="0.25">
      <c r="B8" s="42">
        <v>4</v>
      </c>
      <c r="C8" s="55">
        <v>0.3</v>
      </c>
      <c r="D8" s="55" t="s">
        <v>102</v>
      </c>
      <c r="E8" s="34"/>
      <c r="F8" t="s">
        <v>105</v>
      </c>
      <c r="G8" s="34">
        <v>0.7</v>
      </c>
      <c r="H8" s="91">
        <v>1690</v>
      </c>
      <c r="I8" s="91">
        <v>1</v>
      </c>
      <c r="J8" s="54"/>
      <c r="K8" s="54"/>
    </row>
    <row r="9" spans="1:14" x14ac:dyDescent="0.25">
      <c r="B9" s="42">
        <v>5</v>
      </c>
      <c r="C9" s="34"/>
      <c r="D9" s="34"/>
      <c r="E9" s="34"/>
      <c r="G9" s="55"/>
      <c r="H9" s="55"/>
      <c r="I9" s="57"/>
      <c r="J9" s="54"/>
      <c r="K9" s="54"/>
    </row>
    <row r="10" spans="1:14" ht="16.5" customHeight="1" x14ac:dyDescent="0.25">
      <c r="A10" s="39" t="s">
        <v>73</v>
      </c>
      <c r="B10" s="39">
        <v>1</v>
      </c>
      <c r="C10" s="92">
        <v>12.5</v>
      </c>
      <c r="D10" s="35"/>
      <c r="E10" s="35"/>
      <c r="F10" s="93" t="s">
        <v>74</v>
      </c>
      <c r="G10" s="58"/>
      <c r="H10" s="58"/>
      <c r="I10" s="55"/>
      <c r="J10" s="58"/>
      <c r="K10" s="58"/>
      <c r="L10" s="111"/>
      <c r="M10" s="111"/>
      <c r="N10" s="111"/>
    </row>
    <row r="11" spans="1:14" x14ac:dyDescent="0.25">
      <c r="A11" s="40"/>
      <c r="B11" s="40">
        <v>2</v>
      </c>
      <c r="C11" s="40">
        <v>7</v>
      </c>
      <c r="D11" s="40"/>
      <c r="E11" s="40"/>
      <c r="F11" t="s">
        <v>75</v>
      </c>
      <c r="G11" s="59"/>
      <c r="H11" s="59"/>
      <c r="I11" s="55"/>
      <c r="J11" s="59"/>
      <c r="K11" s="59"/>
      <c r="L11" s="111"/>
      <c r="M11" s="111"/>
      <c r="N11" s="111"/>
    </row>
    <row r="12" spans="1:14" x14ac:dyDescent="0.25">
      <c r="A12" s="40"/>
      <c r="B12" s="42">
        <v>3</v>
      </c>
      <c r="C12" s="42">
        <v>12.5</v>
      </c>
      <c r="F12" t="s">
        <v>74</v>
      </c>
      <c r="G12" s="55"/>
      <c r="H12" s="55"/>
      <c r="I12" s="55"/>
      <c r="J12" s="59"/>
      <c r="K12" s="59"/>
      <c r="L12" s="111"/>
      <c r="M12" s="111"/>
      <c r="N12" s="111"/>
    </row>
    <row r="13" spans="1:14" x14ac:dyDescent="0.25">
      <c r="A13" s="40"/>
      <c r="B13" s="42">
        <v>4</v>
      </c>
      <c r="C13" s="40"/>
      <c r="D13" s="40"/>
      <c r="E13" s="40"/>
      <c r="F13" s="51"/>
      <c r="G13" s="59"/>
      <c r="H13" s="59"/>
      <c r="I13" s="59"/>
      <c r="J13" s="59"/>
      <c r="K13" s="59"/>
      <c r="L13" s="111"/>
      <c r="M13" s="111"/>
      <c r="N13" s="111"/>
    </row>
    <row r="14" spans="1:14" x14ac:dyDescent="0.25">
      <c r="A14" s="40"/>
      <c r="B14" s="41">
        <v>5</v>
      </c>
      <c r="C14" s="41"/>
      <c r="D14" s="41"/>
      <c r="E14" s="41"/>
      <c r="F14" s="52"/>
      <c r="G14" s="57"/>
      <c r="H14" s="57"/>
      <c r="I14" s="57"/>
      <c r="J14" s="59"/>
      <c r="K14" s="59"/>
      <c r="L14" s="111"/>
      <c r="M14" s="111"/>
      <c r="N14" s="111"/>
    </row>
    <row r="15" spans="1:14" x14ac:dyDescent="0.25">
      <c r="A15" s="39" t="s">
        <v>76</v>
      </c>
      <c r="B15" s="42">
        <v>1</v>
      </c>
      <c r="C15" s="58">
        <f>0.88</f>
        <v>0.88</v>
      </c>
      <c r="D15" s="36" t="s">
        <v>90</v>
      </c>
      <c r="E15" s="36"/>
      <c r="F15" t="s">
        <v>77</v>
      </c>
      <c r="G15" s="35">
        <v>48</v>
      </c>
      <c r="H15" s="91">
        <v>7800</v>
      </c>
      <c r="I15" s="39">
        <v>0.47699999999999998</v>
      </c>
      <c r="J15" s="58"/>
      <c r="K15" s="58"/>
    </row>
    <row r="16" spans="1:14" x14ac:dyDescent="0.25">
      <c r="A16" s="40"/>
      <c r="B16" s="42">
        <v>2</v>
      </c>
      <c r="C16" s="59">
        <f>0.5</f>
        <v>0.5</v>
      </c>
      <c r="D16" t="s">
        <v>106</v>
      </c>
      <c r="E16" s="36"/>
      <c r="F16" t="s">
        <v>107</v>
      </c>
      <c r="G16" s="36">
        <v>5</v>
      </c>
      <c r="H16" s="91">
        <v>1200</v>
      </c>
      <c r="I16" s="40">
        <v>1</v>
      </c>
      <c r="J16" s="59"/>
      <c r="K16" s="59"/>
    </row>
    <row r="17" spans="1:11" x14ac:dyDescent="0.25">
      <c r="A17" s="40"/>
      <c r="B17" s="42">
        <v>3</v>
      </c>
      <c r="C17" s="94">
        <f>25.2</f>
        <v>25.2</v>
      </c>
      <c r="D17" s="95" t="s">
        <v>101</v>
      </c>
      <c r="E17" s="36"/>
      <c r="F17" s="96" t="s">
        <v>103</v>
      </c>
      <c r="G17" s="95">
        <v>0.04</v>
      </c>
      <c r="H17" s="99">
        <v>31</v>
      </c>
      <c r="I17" s="40">
        <v>1.45</v>
      </c>
      <c r="J17" s="59"/>
      <c r="K17" s="59"/>
    </row>
    <row r="18" spans="1:11" x14ac:dyDescent="0.25">
      <c r="A18" s="40"/>
      <c r="B18" s="42">
        <v>4</v>
      </c>
      <c r="C18" s="59">
        <f>0.4</f>
        <v>0.4</v>
      </c>
      <c r="D18" t="s">
        <v>106</v>
      </c>
      <c r="E18" s="36"/>
      <c r="F18" t="s">
        <v>107</v>
      </c>
      <c r="G18" s="36">
        <v>5</v>
      </c>
      <c r="H18" s="91">
        <v>1200</v>
      </c>
      <c r="I18" s="40">
        <v>1</v>
      </c>
      <c r="J18" s="59"/>
      <c r="K18" s="59"/>
    </row>
    <row r="19" spans="1:11" x14ac:dyDescent="0.25">
      <c r="A19" s="40"/>
      <c r="B19" s="41">
        <v>5</v>
      </c>
      <c r="C19" s="59">
        <f>5</f>
        <v>5</v>
      </c>
      <c r="D19" s="36"/>
      <c r="E19" s="36"/>
      <c r="F19" s="97" t="s">
        <v>108</v>
      </c>
      <c r="G19" s="98">
        <v>0.35</v>
      </c>
      <c r="H19" s="100">
        <v>900</v>
      </c>
      <c r="I19" s="41">
        <v>2.2999999999999998</v>
      </c>
      <c r="J19" s="59"/>
      <c r="K19" s="59"/>
    </row>
    <row r="20" spans="1:11" x14ac:dyDescent="0.25">
      <c r="A20" s="39" t="s">
        <v>78</v>
      </c>
      <c r="B20" s="42">
        <v>1</v>
      </c>
      <c r="C20" s="39">
        <v>5</v>
      </c>
      <c r="D20" s="39" t="s">
        <v>109</v>
      </c>
      <c r="E20" s="39"/>
      <c r="F20" s="101" t="s">
        <v>79</v>
      </c>
      <c r="G20" s="39">
        <v>1.4</v>
      </c>
      <c r="H20" s="39">
        <v>250</v>
      </c>
      <c r="I20" s="103">
        <v>2</v>
      </c>
      <c r="J20" s="58"/>
      <c r="K20" s="58"/>
    </row>
    <row r="21" spans="1:11" x14ac:dyDescent="0.25">
      <c r="A21" s="40"/>
      <c r="B21" s="42">
        <v>2</v>
      </c>
      <c r="C21" s="40">
        <f>0.4</f>
        <v>0.4</v>
      </c>
      <c r="D21" t="s">
        <v>110</v>
      </c>
      <c r="E21" s="40"/>
      <c r="F21" t="s">
        <v>108</v>
      </c>
      <c r="G21" s="40">
        <v>0.35</v>
      </c>
      <c r="H21" s="40">
        <v>900</v>
      </c>
      <c r="I21" s="103">
        <v>2.2999999999999998</v>
      </c>
      <c r="J21" s="59"/>
      <c r="K21" s="59"/>
    </row>
    <row r="22" spans="1:11" x14ac:dyDescent="0.25">
      <c r="A22" s="40"/>
      <c r="B22" s="42">
        <v>3</v>
      </c>
      <c r="C22" s="40">
        <v>5</v>
      </c>
      <c r="D22" s="40" t="s">
        <v>109</v>
      </c>
      <c r="E22" s="40"/>
      <c r="F22" t="s">
        <v>79</v>
      </c>
      <c r="G22" s="40">
        <v>1.4</v>
      </c>
      <c r="H22" s="40">
        <v>250</v>
      </c>
      <c r="I22" s="103">
        <v>2</v>
      </c>
      <c r="J22" s="59"/>
      <c r="K22" s="59"/>
    </row>
    <row r="23" spans="1:11" x14ac:dyDescent="0.25">
      <c r="A23" s="40"/>
      <c r="B23" s="42">
        <v>4</v>
      </c>
      <c r="C23" s="40">
        <v>20</v>
      </c>
      <c r="D23" s="40" t="s">
        <v>89</v>
      </c>
      <c r="E23" s="40"/>
      <c r="F23" t="s">
        <v>72</v>
      </c>
      <c r="G23" s="40">
        <v>1.94</v>
      </c>
      <c r="H23" s="40">
        <v>2104.1999999999998</v>
      </c>
      <c r="I23" s="103">
        <v>0.77584580000000003</v>
      </c>
      <c r="J23" s="59"/>
      <c r="K23" s="59"/>
    </row>
    <row r="24" spans="1:11" x14ac:dyDescent="0.25">
      <c r="A24" s="40"/>
      <c r="B24" s="41">
        <v>5</v>
      </c>
      <c r="C24" s="41">
        <v>10</v>
      </c>
      <c r="D24" t="s">
        <v>88</v>
      </c>
      <c r="E24" s="40"/>
      <c r="F24" s="102" t="s">
        <v>80</v>
      </c>
      <c r="G24" s="41">
        <v>4.1000000000000002E-2</v>
      </c>
      <c r="H24" s="41">
        <v>30</v>
      </c>
      <c r="I24" s="41">
        <v>1.38</v>
      </c>
      <c r="J24" s="59"/>
      <c r="K24" s="59"/>
    </row>
    <row r="25" spans="1:11" x14ac:dyDescent="0.25">
      <c r="A25" s="39" t="s">
        <v>81</v>
      </c>
      <c r="B25" s="42">
        <v>1</v>
      </c>
      <c r="C25" s="39"/>
      <c r="D25" s="39"/>
      <c r="E25" s="39"/>
      <c r="F25" s="39"/>
      <c r="G25" s="58"/>
      <c r="H25" s="58"/>
      <c r="I25" s="56"/>
      <c r="J25" s="58"/>
      <c r="K25" s="58"/>
    </row>
    <row r="26" spans="1:11" x14ac:dyDescent="0.25">
      <c r="A26" s="40"/>
      <c r="B26" s="42">
        <v>2</v>
      </c>
      <c r="C26" s="40"/>
      <c r="D26" s="40"/>
      <c r="E26" s="40"/>
      <c r="F26" s="50"/>
      <c r="G26" s="59"/>
      <c r="H26" s="59"/>
      <c r="I26" s="56"/>
      <c r="J26" s="59"/>
      <c r="K26" s="59"/>
    </row>
    <row r="27" spans="1:11" x14ac:dyDescent="0.25">
      <c r="A27" s="40"/>
      <c r="B27" s="42">
        <v>3</v>
      </c>
      <c r="C27" s="40"/>
      <c r="D27" s="40"/>
      <c r="E27" s="40"/>
      <c r="F27" s="50"/>
      <c r="G27" s="59"/>
      <c r="H27" s="59"/>
      <c r="I27" s="56"/>
      <c r="J27" s="59"/>
      <c r="K27" s="59"/>
    </row>
    <row r="28" spans="1:11" x14ac:dyDescent="0.25">
      <c r="A28" s="40"/>
      <c r="B28" s="42">
        <v>4</v>
      </c>
      <c r="C28" s="40"/>
      <c r="D28" s="40"/>
      <c r="E28" s="40"/>
      <c r="F28" s="50"/>
      <c r="G28" s="59"/>
      <c r="H28" s="59"/>
      <c r="I28" s="56"/>
      <c r="J28" s="59"/>
      <c r="K28" s="59"/>
    </row>
    <row r="29" spans="1:11" x14ac:dyDescent="0.25">
      <c r="A29" s="40"/>
      <c r="B29" s="41">
        <v>5</v>
      </c>
      <c r="C29" s="40"/>
      <c r="D29" s="40"/>
      <c r="E29" s="40"/>
      <c r="F29" s="50"/>
      <c r="G29" s="59"/>
      <c r="H29" s="59"/>
      <c r="I29" s="57"/>
      <c r="J29" s="59"/>
      <c r="K29" s="59"/>
    </row>
    <row r="30" spans="1:11" x14ac:dyDescent="0.25">
      <c r="A30" s="39" t="s">
        <v>82</v>
      </c>
      <c r="B30" s="42">
        <v>1</v>
      </c>
      <c r="C30" s="39"/>
      <c r="D30" s="39"/>
      <c r="E30" s="39"/>
      <c r="F30" s="39"/>
      <c r="G30" s="58"/>
      <c r="H30" s="58"/>
      <c r="I30" s="56"/>
      <c r="J30" s="58"/>
      <c r="K30" s="58"/>
    </row>
    <row r="31" spans="1:11" x14ac:dyDescent="0.25">
      <c r="A31" s="40"/>
      <c r="B31" s="42">
        <v>2</v>
      </c>
      <c r="C31" s="40"/>
      <c r="D31" s="40"/>
      <c r="E31" s="40"/>
      <c r="F31" s="50"/>
      <c r="G31" s="59"/>
      <c r="H31" s="59"/>
      <c r="I31" s="56"/>
      <c r="J31" s="59"/>
      <c r="K31" s="59"/>
    </row>
    <row r="32" spans="1:11" x14ac:dyDescent="0.25">
      <c r="A32" s="40"/>
      <c r="B32" s="42">
        <v>3</v>
      </c>
      <c r="C32" s="40"/>
      <c r="D32" s="40"/>
      <c r="E32" s="40"/>
      <c r="F32" s="50"/>
      <c r="G32" s="59"/>
      <c r="H32" s="59"/>
      <c r="I32" s="56"/>
      <c r="J32" s="59"/>
      <c r="K32" s="59"/>
    </row>
    <row r="33" spans="1:11" x14ac:dyDescent="0.25">
      <c r="A33" s="40"/>
      <c r="B33" s="42">
        <v>4</v>
      </c>
      <c r="C33" s="40"/>
      <c r="D33" s="40"/>
      <c r="E33" s="40"/>
      <c r="F33" s="50"/>
      <c r="G33" s="59"/>
      <c r="H33" s="59"/>
      <c r="I33" s="56"/>
      <c r="J33" s="59"/>
      <c r="K33" s="59"/>
    </row>
    <row r="34" spans="1:11" x14ac:dyDescent="0.25">
      <c r="A34" s="40"/>
      <c r="B34" s="42">
        <v>5</v>
      </c>
      <c r="C34" s="40"/>
      <c r="D34" s="40"/>
      <c r="E34" s="40"/>
      <c r="F34" s="50"/>
      <c r="G34" s="59"/>
      <c r="H34" s="59"/>
      <c r="I34" s="55"/>
      <c r="J34" s="59"/>
      <c r="K34" s="59"/>
    </row>
    <row r="35" spans="1:11" x14ac:dyDescent="0.25">
      <c r="A35" s="37" t="s">
        <v>83</v>
      </c>
      <c r="B35" s="37">
        <v>1</v>
      </c>
      <c r="C35" s="68">
        <v>2.4</v>
      </c>
      <c r="D35" s="37"/>
      <c r="E35" s="37"/>
      <c r="F35" s="104" t="s">
        <v>84</v>
      </c>
      <c r="G35" s="60">
        <v>0.02</v>
      </c>
      <c r="H35" s="61"/>
      <c r="I35" s="61"/>
      <c r="J35" s="61">
        <v>0.5</v>
      </c>
      <c r="K35" s="61">
        <v>7.0000000000000007E-2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Zone Data</vt:lpstr>
      <vt:lpstr>Pool Data</vt:lpstr>
      <vt:lpstr>Envelope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Kuehn, Larissa</cp:lastModifiedBy>
  <dcterms:created xsi:type="dcterms:W3CDTF">2021-11-02T11:09:10Z</dcterms:created>
  <dcterms:modified xsi:type="dcterms:W3CDTF">2024-01-25T16:19:17Z</dcterms:modified>
</cp:coreProperties>
</file>